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510" windowWidth="12120" windowHeight="7320"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现房" sheetId="43" state="hidden"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剩余法-待开发" sheetId="12" r:id="rId29"/>
    <sheet name="不动产收益法" sheetId="15" r:id="rId30"/>
    <sheet name="酒店收入计算" sheetId="57" state="hidden" r:id="rId31"/>
    <sheet name="成本逼近法" sheetId="11" state="hidden" r:id="rId32"/>
    <sheet name="不动产比较法-住宅" sheetId="69" r:id="rId33"/>
    <sheet name="不动产比较法"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s>
  <externalReferences>
    <externalReference r:id="rId43"/>
    <externalReference r:id="rId44"/>
    <externalReference r:id="rId45"/>
    <externalReference r:id="rId46"/>
  </externalReferences>
  <definedNames>
    <definedName name="_xlnm._FilterDatabase" localSheetId="41" hidden="1">Sheet1!$A$1:$A$55</definedName>
    <definedName name="_xlnm._FilterDatabase" localSheetId="19" hidden="1">'比较法-工业'!$A$1:$L$45</definedName>
    <definedName name="_xlnm._FilterDatabase" localSheetId="17" hidden="1">'比较法-住宅、综合'!$A$1:$L$50</definedName>
    <definedName name="_xlnm._FilterDatabase" localSheetId="33" hidden="1">不动产比较法!$A$1:$L$49</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2">'[1]不动产比较法-办公'!$B$119:$M$119</definedName>
    <definedName name="办公层高">'不动产比较法-办公'!$B$119:$M$119</definedName>
    <definedName name="办公朝向" localSheetId="32">'[1]不动产比较法-办公'!$B$91:$M$91</definedName>
    <definedName name="办公朝向">'不动产比较法-办公'!$B$91:$M$91</definedName>
    <definedName name="办公道路级别" localSheetId="32">'[1]不动产比较法-办公'!$B$87:$M$87</definedName>
    <definedName name="办公道路级别">'不动产比较法-办公'!$B$87:$M$87</definedName>
    <definedName name="办公公共部分装修" localSheetId="32">'[1]不动产比较法-办公'!$B$108:$M$108</definedName>
    <definedName name="办公公共部分装修">'不动产比较法-办公'!$B$108:$M$108</definedName>
    <definedName name="办公基础设施水平" localSheetId="32">'[1]不动产比较法-办公'!$B$117:$M$117</definedName>
    <definedName name="办公基础设施水平">'不动产比较法-办公'!$B$117:$M$117</definedName>
    <definedName name="办公集聚程度" localSheetId="32">[1]定义!$M$1:$M$6</definedName>
    <definedName name="办公集聚程度">定义!$M$1:$M$6</definedName>
    <definedName name="办公建筑结构" localSheetId="32">'[1]不动产比较法-办公'!$B$106:$M$106</definedName>
    <definedName name="办公建筑结构">'不动产比较法-办公'!$B$106:$M$106</definedName>
    <definedName name="办公建筑类型" localSheetId="32">'[1]不动产比较法-办公'!$B$101:$M$101</definedName>
    <definedName name="办公建筑类型">'不动产比较法-办公'!$B$101:$M$101</definedName>
    <definedName name="办公交易情况" localSheetId="32">'[1]不动产比较法-办公'!$A$62:$M$62</definedName>
    <definedName name="办公交易情况">'不动产比较法-办公'!$A$62:$M$62</definedName>
    <definedName name="办公楼层" localSheetId="32">'[1]不动产比较法-办公'!$B$89:$M$89</definedName>
    <definedName name="办公楼层">'不动产比较法-办公'!$B$89:$M$89</definedName>
    <definedName name="办公内部装修" localSheetId="32">'[1]不动产比较法-办公'!$B$123:$M$123</definedName>
    <definedName name="办公内部装修">'不动产比较法-办公'!$B$123:$M$123</definedName>
    <definedName name="办公物业管理" localSheetId="32">'[1]不动产比较法-办公'!$B$115:$M$115</definedName>
    <definedName name="办公物业管理">'不动产比较法-办公'!$B$115:$M$115</definedName>
    <definedName name="办公用途" localSheetId="32">'[1]不动产比较法-办公'!$B$64:$M$64</definedName>
    <definedName name="办公用途">'不动产比较法-办公'!$B$64:$M$64</definedName>
    <definedName name="仓储公共部分装修" localSheetId="32">'[1]不动产比较法-仓储'!$B$77:$M$77</definedName>
    <definedName name="仓储公共部分装修">'不动产比较法-仓储'!$B$77:$M$77</definedName>
    <definedName name="仓储交易情况" localSheetId="32">'[1]不动产比较法-仓储'!$A$49:$M$49</definedName>
    <definedName name="仓储交易情况">'不动产比较法-仓储'!$A$49:$M$49</definedName>
    <definedName name="仓储楼层" localSheetId="32">'[1]不动产比较法-仓储'!$B$69:$M$69</definedName>
    <definedName name="仓储楼层">'不动产比较法-仓储'!$B$69:$M$69</definedName>
    <definedName name="仓储物业等级" localSheetId="32">'[1]不动产比较法-仓储'!$B$82:$M$82</definedName>
    <definedName name="仓储物业等级">'不动产比较法-仓储'!$B$82:$M$82</definedName>
    <definedName name="仓储用途" localSheetId="32">'[1]不动产比较法-仓储'!$B$51:$M$51</definedName>
    <definedName name="仓储用途">'不动产比较法-仓储'!$B$51:$M$51</definedName>
    <definedName name="产业集聚程度" localSheetId="32">[1]定义!$N$1:$N$6</definedName>
    <definedName name="产业集聚程度">定义!$N$1:$N$6</definedName>
    <definedName name="车位公共部分装修" localSheetId="32">'[1]不动产比较法-车位'!$B$83:$M$83</definedName>
    <definedName name="车位公共部分装修">'不动产比较法-车位'!$B$83:$M$83</definedName>
    <definedName name="车位交易情况" localSheetId="32">'[1]不动产比较法-车位'!$A$51:$M$51</definedName>
    <definedName name="车位交易情况">'不动产比较法-车位'!$A$51:$M$51</definedName>
    <definedName name="车位类型" localSheetId="32">'[1]不动产比较法-车位'!$B$93:$M$93</definedName>
    <definedName name="车位类型">'不动产比较法-车位'!$B$93:$M$93</definedName>
    <definedName name="车位楼层" localSheetId="32">'[1]不动产比较法-车位'!$B$71:$M$71</definedName>
    <definedName name="车位楼层">'不动产比较法-车位'!$B$71:$M$71</definedName>
    <definedName name="车位配套类型" localSheetId="32">'[1]不动产比较法-车位'!$B$79:$M$79</definedName>
    <definedName name="车位配套类型">'不动产比较法-车位'!$B$79:$M$79</definedName>
    <definedName name="车位物业等级" localSheetId="32">'[1]不动产比较法-车位'!$B$88:$M$88</definedName>
    <definedName name="车位物业等级">'不动产比较法-车位'!$B$88:$M$88</definedName>
    <definedName name="车位用途" localSheetId="32">'[1]不动产比较法-车位'!$B$53:$M$53</definedName>
    <definedName name="车位用途">'不动产比较法-车位'!$B$53:$M$53</definedName>
    <definedName name="城镇土地纳税等级分级范围" localSheetId="32">'[1]数据-取费表'!$A$53:$A$63</definedName>
    <definedName name="城镇土地纳税等级分级范围">'数据-取费表'!$A$53:$A$63</definedName>
    <definedName name="单价内涵" localSheetId="32">[1]定义!$V$1:$V$3</definedName>
    <definedName name="单价内涵">定义!$V$1:$V$3</definedName>
    <definedName name="地类判定" localSheetId="32">[1]定义!$H$1:$H$9</definedName>
    <definedName name="地类判定">定义!$H$1:$H$9</definedName>
    <definedName name="二级">区片价!$J$1:$J$20</definedName>
    <definedName name="二级分类" localSheetId="32">[1]修正!$C$17:$C$39</definedName>
    <definedName name="二级分类">修正!$C$17:$C$39</definedName>
    <definedName name="法定最高年限" localSheetId="32">[1]定义!$G$2:$G$4</definedName>
    <definedName name="法定最高年限">定义!$G$2:$G$4</definedName>
    <definedName name="工业公共部分装修" localSheetId="32">'[1]不动产比较法-工业'!$B$95:$M$95</definedName>
    <definedName name="工业公共部分装修">'不动产比较法-工业'!$B$95:$M$95</definedName>
    <definedName name="工业基础设施水平" localSheetId="32">'[1]不动产比较法-工业'!$B$102:$M$102</definedName>
    <definedName name="工业基础设施水平">'不动产比较法-工业'!$B$102:$M$102</definedName>
    <definedName name="工业建筑结构" localSheetId="32">'[1]不动产比较法-工业'!$B$93:$M$93</definedName>
    <definedName name="工业建筑结构">'不动产比较法-工业'!$B$93:$M$93</definedName>
    <definedName name="工业建筑类型" localSheetId="32">'[1]不动产比较法-工业'!$B$88:$M$88</definedName>
    <definedName name="工业建筑类型">'不动产比较法-工业'!$B$88:$M$88</definedName>
    <definedName name="工业交易情况" localSheetId="32">'[1]不动产比较法-工业'!$A$55:$M$55</definedName>
    <definedName name="工业交易情况">'不动产比较法-工业'!$A$55:$M$55</definedName>
    <definedName name="工业内部装修" localSheetId="32">'[1]不动产比较法-工业'!$B$104:$M$104</definedName>
    <definedName name="工业内部装修">'不动产比较法-工业'!$B$104:$M$104</definedName>
    <definedName name="工业物业管理" localSheetId="32">'[1]不动产比较法-工业'!$B$100:$M$100</definedName>
    <definedName name="工业物业管理">'不动产比较法-工业'!$B$100:$M$100</definedName>
    <definedName name="工业用途" localSheetId="32">'[1]不动产比较法-工业'!$B$57:$M$57</definedName>
    <definedName name="工业用途">'不动产比较法-工业'!$B$57:$M$57</definedName>
    <definedName name="公共配套设施" localSheetId="32">[1]定义!$Q$1:$Q$6</definedName>
    <definedName name="公共配套设施">定义!$Q$1:$Q$6</definedName>
    <definedName name="估价方法" localSheetId="32">[1]定义!$B$1:$B$50</definedName>
    <definedName name="估价方法">定义!$B$1:$B$50</definedName>
    <definedName name="环境" localSheetId="32">[1]定义!$S$1:$S$6</definedName>
    <definedName name="环境">定义!$S$1:$S$6</definedName>
    <definedName name="基础设施水平" localSheetId="32">[1]定义!$R$1:$R$6</definedName>
    <definedName name="基础设施水平">定义!$R$1:$R$6</definedName>
    <definedName name="季度">基准地价!$N$19:$AG$19</definedName>
    <definedName name="季度2014">地价!$A$2:$A$25</definedName>
    <definedName name="价值类型2" localSheetId="32">[1]定义!$B$54:$B$56</definedName>
    <definedName name="价值类型2">定义!$B$54:$B$56</definedName>
    <definedName name="交通便捷度" localSheetId="32">[1]定义!$O$1:$O$6</definedName>
    <definedName name="交通便捷度">定义!$O$1:$O$6</definedName>
    <definedName name="九级">区片价!$Q$1:$Q$46</definedName>
    <definedName name="居住社区成熟度" localSheetId="32">[1]定义!$K$1:$K$6</definedName>
    <definedName name="居住社区成熟度">定义!$K$1:$K$6</definedName>
    <definedName name="类别" localSheetId="32">[1]定义!$J$1:$J$3</definedName>
    <definedName name="类别">定义!$J$1:$J$3</definedName>
    <definedName name="临街状况" localSheetId="32">[1]定义!$T$1:$T$5</definedName>
    <definedName name="临街状况">定义!$T$1:$T$5</definedName>
    <definedName name="六级">区片价!$N$1:$N$49</definedName>
    <definedName name="内部装修维护情况" localSheetId="32">[1]定义!$U$1:$U$6</definedName>
    <definedName name="内部装修维护情况">定义!$U$1:$U$6</definedName>
    <definedName name="判定" localSheetId="32">[1]定义!$D$1:$D$4</definedName>
    <definedName name="判定">定义!$D$1:$D$4</definedName>
    <definedName name="七级">区片价!$O$1:$O$49</definedName>
    <definedName name="七通一平" localSheetId="32">[1]修正!$A$6:$A$14</definedName>
    <definedName name="七通一平">修正!$A$6:$A$14</definedName>
    <definedName name="区域土地利用方向" localSheetId="32">[1]定义!$P$1:$P$6</definedName>
    <definedName name="区域土地利用方向">定义!$P$1:$P$6</definedName>
    <definedName name="三级">区片价!$K$1:$K$21</definedName>
    <definedName name="商业层高" localSheetId="32">'[1]不动产比较法-商业'!$B$116:$M$116</definedName>
    <definedName name="商业层高">'不动产比较法-商业'!$B$116:$M$116</definedName>
    <definedName name="商业成新度">'不动产比较法-商业'!$B$109:$M$109</definedName>
    <definedName name="商业繁华度" localSheetId="32">[1]定义!$L$1:$L$6</definedName>
    <definedName name="商业繁华度">定义!$L$1:$L$6</definedName>
    <definedName name="商业公共部分装修" localSheetId="32">'[1]不动产比较法-商业'!$B$107:$M$107</definedName>
    <definedName name="商业公共部分装修">'不动产比较法-商业'!$B$107:$M$107</definedName>
    <definedName name="商业基础设施水平" localSheetId="32">'[1]不动产比较法-商业'!$B$112:$M$112</definedName>
    <definedName name="商业基础设施水平">'不动产比较法-商业'!$B$112:$M$112</definedName>
    <definedName name="商业建筑结构" localSheetId="32">'[1]不动产比较法-商业'!$B$105:$M$105</definedName>
    <definedName name="商业建筑结构">'不动产比较法-商业'!$B$105:$M$105</definedName>
    <definedName name="商业交易情况" localSheetId="32">'[1]不动产比较法-商业'!$A$61:$M$61</definedName>
    <definedName name="商业交易情况">'不动产比较法-商业'!$A$61:$M$61</definedName>
    <definedName name="商业街名称" localSheetId="32">[1]修正!$C$59:$C$119</definedName>
    <definedName name="商业街名称">修正!$C$59:$C$119</definedName>
    <definedName name="商业进深比" localSheetId="32">'[1]不动产比较法-商业'!$B$120:$M$120</definedName>
    <definedName name="商业进深比">'不动产比较法-商业'!$B$120:$M$120</definedName>
    <definedName name="商业类型" localSheetId="32">'[1]不动产比较法-商业'!$B$100:$M$100</definedName>
    <definedName name="商业类型">'不动产比较法-商业'!$B$100:$M$100</definedName>
    <definedName name="商业临街状况" localSheetId="32">'[1]不动产比较法-商业'!$B$86:$M$86</definedName>
    <definedName name="商业临街状况">'不动产比较法-商业'!$B$86:$M$86</definedName>
    <definedName name="商业楼层" localSheetId="32">'[1]不动产比较法-商业'!$B$92:$M$92</definedName>
    <definedName name="商业楼层">'不动产比较法-商业'!$B$92:$M$92</definedName>
    <definedName name="商业内部装修" localSheetId="32">'[1]不动产比较法-商业'!$B$122:$M$122</definedName>
    <definedName name="商业内部装修">'不动产比较法-商业'!$B$122:$M$122</definedName>
    <definedName name="商业人流量" localSheetId="32">'[1]不动产比较法-商业'!$B$90:$M$90</definedName>
    <definedName name="商业人流量">'不动产比较法-商业'!$B$90:$M$90</definedName>
    <definedName name="商业业态" localSheetId="32">'[1]不动产比较法-商业'!$B$114:$M$114</definedName>
    <definedName name="商业业态">'不动产比较法-商业'!$B$114:$M$114</definedName>
    <definedName name="商业用途" localSheetId="3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2">'[1]不动产比较法-仓储'!$B$89:$M$89</definedName>
    <definedName name="是否封闭">'不动产比较法-仓储'!$B$89:$M$89</definedName>
    <definedName name="是否直接入户" localSheetId="32">'[1]不动产比较法-车位'!$B$95:$M$95</definedName>
    <definedName name="是否直接入户">'不动产比较法-车位'!$B$95:$M$95</definedName>
    <definedName name="四级">区片价!$L$1:$L$28</definedName>
    <definedName name="套工工程地质条件" localSheetId="32">'[1]比较法-工业'!$B$116:$M$116</definedName>
    <definedName name="套工工程地质条件">'比较法-工业'!$B$116:$M$116</definedName>
    <definedName name="套工交易情况" localSheetId="32">'[1]比较法-住宅、综合'!$A$75:$M$75</definedName>
    <definedName name="套工交易情况">'比较法-住宅、综合'!$A$75:$M$75</definedName>
    <definedName name="套工开发程度" localSheetId="32">'[1]比较法-工业'!$B$114:$M$114</definedName>
    <definedName name="套工开发程度">'比较法-工业'!$B$114:$M$114</definedName>
    <definedName name="套工临街等级" localSheetId="32">'[1]比较法-工业'!$B$99:$M$99</definedName>
    <definedName name="套工临街等级">'比较法-工业'!$B$99:$M$99</definedName>
    <definedName name="套工土地级别" localSheetId="32">'[1]比较法-工业'!$B$101:$M$101</definedName>
    <definedName name="套工土地级别">'比较法-工业'!$B$101:$M$101</definedName>
    <definedName name="套工用途" localSheetId="32">'[1]比较法-工业'!$B$72:$M$72</definedName>
    <definedName name="套工用途">'比较法-工业'!$B$72:$M$72</definedName>
    <definedName name="套工宗地形状" localSheetId="32">'[1]比较法-工业'!$B$112:$M$112</definedName>
    <definedName name="套工宗地形状">'比较法-工业'!$B$112:$M$112</definedName>
    <definedName name="套综道路等级" localSheetId="32">'[1]比较法-住宅、综合'!$B$108:$M$108</definedName>
    <definedName name="套综道路等级">'比较法-住宅、综合'!$B$108:$M$108</definedName>
    <definedName name="套综工程地质条件" localSheetId="32">'[1]比较法-住宅、综合'!$B$127:$M$127</definedName>
    <definedName name="套综工程地质条件">'比较法-住宅、综合'!$B$127:$M$127</definedName>
    <definedName name="套综交易情况" localSheetId="32">'[1]比较法-住宅、综合'!$A$75:$M$75</definedName>
    <definedName name="套综交易情况">'比较法-住宅、综合'!$A$75:$M$75</definedName>
    <definedName name="套综临街宽度及深度" localSheetId="32">'[1]比较法-住宅、综合'!$B$123:$M$123</definedName>
    <definedName name="套综临街宽度及深度">'比较法-住宅、综合'!$B$123:$M$123</definedName>
    <definedName name="套综土地级别" localSheetId="32">'[1]比较法-住宅、综合'!$B$110:$M$110</definedName>
    <definedName name="套综土地级别">'比较法-住宅、综合'!$B$110:$M$110</definedName>
    <definedName name="套综用途" localSheetId="32">'[1]比较法-住宅、综合'!$B$77:$M$77</definedName>
    <definedName name="套综用途">'比较法-住宅、综合'!$B$77:$M$77</definedName>
    <definedName name="套综宗地内开发程度" localSheetId="32">'[1]比较法-住宅、综合'!$B$125:$M$125</definedName>
    <definedName name="套综宗地内开发程度">'比较法-住宅、综合'!$B$125:$M$125</definedName>
    <definedName name="套综宗地形状" localSheetId="32">'[1]比较法-住宅、综合'!$B$121:$M$121</definedName>
    <definedName name="套综宗地形状">'比较法-住宅、综合'!$B$121:$M$121</definedName>
    <definedName name="土地估价师" localSheetId="32">[1]估价师及机构信息!$D$3:$D$24</definedName>
    <definedName name="土地估价师">估价师及机构信息!$D$3:$D$24</definedName>
    <definedName name="土地级别" localSheetId="32">[1]定义!$C$1:$C$14</definedName>
    <definedName name="土地级别">定义!$C$1:$C$14</definedName>
    <definedName name="土地利用方向">定义!$P$1:$P$6</definedName>
    <definedName name="土地年限区间" localSheetId="32">[1]定义!$I$1:$I$8</definedName>
    <definedName name="土地年限区间">定义!$I$1:$I$8</definedName>
    <definedName name="位置" localSheetId="32">[1]定义!$E$2:$E$4</definedName>
    <definedName name="位置">定义!$E$2:$E$4</definedName>
    <definedName name="五等判定" localSheetId="32">[1]定义!$W$1:$W$6</definedName>
    <definedName name="五等判定">定义!$W$1:$W$6</definedName>
    <definedName name="五级">区片价!$M$1:$M$35</definedName>
    <definedName name="项目类型" localSheetId="32">'[1]数据-汇总表'!$C$17:$C$26</definedName>
    <definedName name="项目类型">'数据-汇总表'!$C$17:$C$26</definedName>
    <definedName name="写字楼等级" localSheetId="32">'[1]不动产比较法-办公'!$B$113:$M$113</definedName>
    <definedName name="写字楼等级">'不动产比较法-办公'!$B$113:$M$113</definedName>
    <definedName name="一级">区片价!$I$1:$I$6</definedName>
    <definedName name="一修多修正项2" localSheetId="32">[1]典型户型修正!$5:$5</definedName>
    <definedName name="一修多修正项2">典型户型修正!$5:$5</definedName>
    <definedName name="一修多修正项3" localSheetId="32">[1]典型户型修正!$7:$7</definedName>
    <definedName name="一修多修正项3">典型户型修正!$7:$7</definedName>
    <definedName name="一修多修正项4" localSheetId="32">[1]典型户型修正!$9:$9</definedName>
    <definedName name="一修多修正项4">典型户型修正!$9:$9</definedName>
    <definedName name="一修多修正项5" localSheetId="32">[1]典型户型修正!$11:$11</definedName>
    <definedName name="一修多修正项5">典型户型修正!$11:$11</definedName>
    <definedName name="一修多修正项6" localSheetId="32">[1]典型户型修正!$13:$13</definedName>
    <definedName name="一修多修正项6">典型户型修正!$13:$13</definedName>
    <definedName name="一修多修正项7" localSheetId="32">[1]典型户型修正!$15:$15</definedName>
    <definedName name="一修多修正项7">典型户型修正!$15:$15</definedName>
    <definedName name="一修多修正项8" localSheetId="32">[1]典型户型修正!$17:$17</definedName>
    <definedName name="一修多修正项8">典型户型修正!$17:$17</definedName>
    <definedName name="用途类型" localSheetId="32">[1]定义!$A$1:$A$50</definedName>
    <definedName name="用途类型">定义!$A$1:$A$50</definedName>
    <definedName name="有无电梯" localSheetId="32">'[1]不动产比较法-仓储'!$B$84:$M$84</definedName>
    <definedName name="有无电梯">'不动产比较法-仓储'!$B$84:$M$84</definedName>
    <definedName name="主用途" localSheetId="32">[1]定义!$F$1:$F$10</definedName>
    <definedName name="主用途">定义!$F$1:$F$10</definedName>
    <definedName name="住宅朝向" localSheetId="32">'不动产比较法-住宅'!$B$88:$M$88</definedName>
    <definedName name="住宅朝向">不动产比较法!$B$88:$M$88</definedName>
    <definedName name="住宅房型" localSheetId="32">'不动产比较法-住宅'!$B$118:$M$118</definedName>
    <definedName name="住宅房型">不动产比较法!$B$118:$M$118</definedName>
    <definedName name="住宅公共部分装修" localSheetId="32">'不动产比较法-住宅'!$B$109:$M$109</definedName>
    <definedName name="住宅公共部分装修">不动产比较法!$B$109:$M$109</definedName>
    <definedName name="住宅基础设施水平" localSheetId="32">'不动产比较法-住宅'!$B$116:$M$116</definedName>
    <definedName name="住宅基础设施水平">不动产比较法!$B$116:$M$116</definedName>
    <definedName name="住宅建筑结构" localSheetId="32">'不动产比较法-住宅'!$B$105:$M$105</definedName>
    <definedName name="住宅建筑结构">不动产比较法!$B$105:$M$105</definedName>
    <definedName name="住宅建筑类型" localSheetId="32">'不动产比较法-住宅'!$B$100:$M$100</definedName>
    <definedName name="住宅建筑类型">不动产比较法!$B$100:$M$100</definedName>
    <definedName name="住宅建筑品质" localSheetId="32">'不动产比较法-住宅'!$B$107:$M$107</definedName>
    <definedName name="住宅建筑品质">不动产比较法!$B$107:$M$107</definedName>
    <definedName name="住宅交易情况" localSheetId="32">'不动产比较法-住宅'!$A$61:$M$61</definedName>
    <definedName name="住宅交易情况">不动产比较法!$A$61:$M$61</definedName>
    <definedName name="住宅楼层" localSheetId="32">'不动产比较法-住宅'!$B$86:$M$86</definedName>
    <definedName name="住宅楼层">不动产比较法!$B$86:$M$86</definedName>
    <definedName name="住宅内部装修" localSheetId="32">'不动产比较法-住宅'!$B$122:$M$122</definedName>
    <definedName name="住宅内部装修">不动产比较法!$B$122:$M$122</definedName>
    <definedName name="住宅物业管理" localSheetId="32">'不动产比较法-住宅'!$B$114:$M$114</definedName>
    <definedName name="住宅物业管理">不动产比较法!$B$114:$M$114</definedName>
    <definedName name="住宅用途" localSheetId="32">'不动产比较法-住宅'!$B$63:$M$63</definedName>
    <definedName name="住宅用途">不动产比较法!$B$63:$M$63</definedName>
    <definedName name="住宅主力户型面积" localSheetId="32">'不动产比较法-住宅'!$B$120:$M$120</definedName>
    <definedName name="住宅主力户型面积">不动产比较法!$B$120:$M$120</definedName>
    <definedName name="注册房地产估价师">估价师及机构信息!$A$3:$A$24</definedName>
  </definedNames>
  <calcPr calcId="144525"/>
</workbook>
</file>

<file path=xl/calcChain.xml><?xml version="1.0" encoding="utf-8"?>
<calcChain xmlns="http://schemas.openxmlformats.org/spreadsheetml/2006/main">
  <c r="E40" i="39" l="1"/>
  <c r="E48" i="39"/>
  <c r="E7" i="39"/>
  <c r="C17" i="66" l="1"/>
  <c r="B17" i="66"/>
  <c r="C16" i="66"/>
  <c r="B16" i="66"/>
  <c r="C15" i="66"/>
  <c r="B15" i="66"/>
  <c r="D16" i="66" l="1"/>
  <c r="D15" i="66" l="1"/>
  <c r="I48" i="39" l="1"/>
  <c r="G48" i="39"/>
  <c r="I40" i="39"/>
  <c r="G40" i="39"/>
  <c r="I9" i="39"/>
  <c r="G9" i="39"/>
  <c r="E9" i="39"/>
  <c r="I7" i="39"/>
  <c r="G7" i="39"/>
  <c r="E47" i="69" l="1"/>
  <c r="I47" i="69"/>
  <c r="L7" i="1" l="1"/>
  <c r="L19" i="1"/>
  <c r="C23" i="69" l="1"/>
  <c r="C21" i="69"/>
  <c r="C19" i="69"/>
  <c r="C17" i="69"/>
  <c r="C15" i="69"/>
  <c r="C11" i="69"/>
  <c r="C145" i="69" l="1"/>
  <c r="J142" i="69"/>
  <c r="J140" i="69"/>
  <c r="K145" i="69" s="1"/>
  <c r="K139" i="69"/>
  <c r="B130" i="69"/>
  <c r="B128" i="69"/>
  <c r="J45" i="69" s="1"/>
  <c r="AC45" i="69" s="1"/>
  <c r="B126" i="69"/>
  <c r="D125" i="69"/>
  <c r="E125" i="69" s="1"/>
  <c r="F125" i="69" s="1"/>
  <c r="G125" i="69" s="1"/>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D113" i="69"/>
  <c r="E113" i="69" s="1"/>
  <c r="F113" i="69" s="1"/>
  <c r="G113" i="69" s="1"/>
  <c r="H111" i="69"/>
  <c r="G111" i="69"/>
  <c r="F111" i="69"/>
  <c r="E111" i="69"/>
  <c r="D111" i="69"/>
  <c r="C111" i="69"/>
  <c r="D110" i="69"/>
  <c r="E110" i="69" s="1"/>
  <c r="F110" i="69" s="1"/>
  <c r="G110" i="69" s="1"/>
  <c r="H110" i="69" s="1"/>
  <c r="I110" i="69" s="1"/>
  <c r="J110" i="69" s="1"/>
  <c r="K110" i="69" s="1"/>
  <c r="L110" i="69" s="1"/>
  <c r="M110" i="69" s="1"/>
  <c r="D108" i="69"/>
  <c r="E108" i="69" s="1"/>
  <c r="F108" i="69" s="1"/>
  <c r="G108" i="69" s="1"/>
  <c r="H108" i="69" s="1"/>
  <c r="I108" i="69" s="1"/>
  <c r="J108" i="69" s="1"/>
  <c r="K108" i="69" s="1"/>
  <c r="L108" i="69" s="1"/>
  <c r="M108" i="69" s="1"/>
  <c r="D106" i="69"/>
  <c r="E106" i="69" s="1"/>
  <c r="F106" i="69" s="1"/>
  <c r="G106" i="69" s="1"/>
  <c r="H106" i="69" s="1"/>
  <c r="I106" i="69" s="1"/>
  <c r="J106" i="69" s="1"/>
  <c r="K106" i="69" s="1"/>
  <c r="L106" i="69" s="1"/>
  <c r="M106" i="69" s="1"/>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B96" i="69"/>
  <c r="B94" i="69"/>
  <c r="B92" i="69"/>
  <c r="B90" i="69"/>
  <c r="D89" i="69"/>
  <c r="E89" i="69" s="1"/>
  <c r="F89" i="69" s="1"/>
  <c r="G89" i="69" s="1"/>
  <c r="H89" i="69" s="1"/>
  <c r="I89" i="69" s="1"/>
  <c r="J89" i="69" s="1"/>
  <c r="K89" i="69" s="1"/>
  <c r="L89" i="69" s="1"/>
  <c r="M89" i="69" s="1"/>
  <c r="M87" i="69"/>
  <c r="L87" i="69"/>
  <c r="K87" i="69"/>
  <c r="J87" i="69"/>
  <c r="I87" i="69"/>
  <c r="H87" i="69"/>
  <c r="G87" i="69"/>
  <c r="F87" i="69"/>
  <c r="E87" i="69"/>
  <c r="D87" i="69"/>
  <c r="D85" i="69"/>
  <c r="E85" i="69" s="1"/>
  <c r="F85" i="69" s="1"/>
  <c r="G85" i="69" s="1"/>
  <c r="D83" i="69"/>
  <c r="E83" i="69" s="1"/>
  <c r="F83" i="69" s="1"/>
  <c r="G83" i="69" s="1"/>
  <c r="D81" i="69"/>
  <c r="E81" i="69" s="1"/>
  <c r="F81" i="69" s="1"/>
  <c r="G81" i="69" s="1"/>
  <c r="D79" i="69"/>
  <c r="E79" i="69" s="1"/>
  <c r="F79" i="69" s="1"/>
  <c r="G79" i="69" s="1"/>
  <c r="D77" i="69"/>
  <c r="E77" i="69" s="1"/>
  <c r="F77" i="69" s="1"/>
  <c r="G77" i="69" s="1"/>
  <c r="B74" i="69"/>
  <c r="B72" i="69"/>
  <c r="B70" i="69"/>
  <c r="D69" i="69"/>
  <c r="E69" i="69" s="1"/>
  <c r="F69" i="69" s="1"/>
  <c r="G69" i="69" s="1"/>
  <c r="H69" i="69" s="1"/>
  <c r="I69" i="69" s="1"/>
  <c r="J69" i="69" s="1"/>
  <c r="K69" i="69" s="1"/>
  <c r="L69" i="69" s="1"/>
  <c r="M69" i="69" s="1"/>
  <c r="M67" i="69"/>
  <c r="L67" i="69"/>
  <c r="K67" i="69"/>
  <c r="J67" i="69"/>
  <c r="I67" i="69"/>
  <c r="H67" i="69"/>
  <c r="G67" i="69"/>
  <c r="F67" i="69"/>
  <c r="E67" i="69"/>
  <c r="D67" i="69"/>
  <c r="C67" i="69"/>
  <c r="D66" i="69"/>
  <c r="E66" i="69" s="1"/>
  <c r="F66" i="69" s="1"/>
  <c r="G66" i="69" s="1"/>
  <c r="H66" i="69" s="1"/>
  <c r="I66" i="69" s="1"/>
  <c r="C63" i="69"/>
  <c r="I54" i="69"/>
  <c r="J54" i="69" s="1"/>
  <c r="G54" i="69"/>
  <c r="H54" i="69" s="1"/>
  <c r="E54" i="69"/>
  <c r="F54" i="69" s="1"/>
  <c r="P49" i="69"/>
  <c r="P48" i="69"/>
  <c r="V47" i="69"/>
  <c r="T47" i="69"/>
  <c r="R47" i="69"/>
  <c r="P47" i="69"/>
  <c r="Q46" i="69"/>
  <c r="Z46" i="69" s="1"/>
  <c r="J46" i="69"/>
  <c r="AC46" i="69" s="1"/>
  <c r="H46" i="69"/>
  <c r="AB46" i="69" s="1"/>
  <c r="F46" i="69"/>
  <c r="AA46" i="69" s="1"/>
  <c r="Q45" i="69"/>
  <c r="Z45" i="69" s="1"/>
  <c r="H45" i="69"/>
  <c r="AB45" i="69" s="1"/>
  <c r="Q44" i="69"/>
  <c r="Z44" i="69" s="1"/>
  <c r="J44" i="69"/>
  <c r="AC44" i="69" s="1"/>
  <c r="H44" i="69"/>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Q32" i="69"/>
  <c r="Z32" i="69" s="1"/>
  <c r="J32" i="69"/>
  <c r="AC32" i="69" s="1"/>
  <c r="H32" i="69"/>
  <c r="AB32" i="69" s="1"/>
  <c r="F32" i="69"/>
  <c r="AA32" i="69" s="1"/>
  <c r="Q31" i="69"/>
  <c r="Z31" i="69" s="1"/>
  <c r="J31" i="69"/>
  <c r="AC31" i="69" s="1"/>
  <c r="H31" i="69"/>
  <c r="AB31" i="69" s="1"/>
  <c r="F31" i="69"/>
  <c r="AA31" i="69" s="1"/>
  <c r="Q30" i="69"/>
  <c r="Z30" i="69" s="1"/>
  <c r="J30" i="69"/>
  <c r="AC30" i="69" s="1"/>
  <c r="H30" i="69"/>
  <c r="AB30" i="69" s="1"/>
  <c r="F30" i="69"/>
  <c r="AA30" i="69" s="1"/>
  <c r="Q29" i="69"/>
  <c r="Z29" i="69" s="1"/>
  <c r="J29" i="69"/>
  <c r="AC29" i="69" s="1"/>
  <c r="H29" i="69"/>
  <c r="AB29" i="69" s="1"/>
  <c r="F29" i="69"/>
  <c r="AA29" i="69" s="1"/>
  <c r="Q28" i="69"/>
  <c r="Z28" i="69" s="1"/>
  <c r="J28" i="69"/>
  <c r="AC28" i="69" s="1"/>
  <c r="H28" i="69"/>
  <c r="AB28" i="69" s="1"/>
  <c r="F28" i="69"/>
  <c r="AA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AA25" i="69" s="1"/>
  <c r="Q23" i="69"/>
  <c r="Z23" i="69" s="1"/>
  <c r="J23" i="69"/>
  <c r="AC23" i="69" s="1"/>
  <c r="H23" i="69"/>
  <c r="AB23" i="69" s="1"/>
  <c r="F23" i="69"/>
  <c r="AA23" i="69" s="1"/>
  <c r="Q21" i="69"/>
  <c r="Z21" i="69" s="1"/>
  <c r="H21" i="69"/>
  <c r="AB21" i="69" s="1"/>
  <c r="Q19" i="69"/>
  <c r="Z19" i="69" s="1"/>
  <c r="J19" i="69"/>
  <c r="AC19" i="69" s="1"/>
  <c r="H19" i="69"/>
  <c r="AB19" i="69" s="1"/>
  <c r="F19" i="69"/>
  <c r="AA19" i="69" s="1"/>
  <c r="Q17" i="69"/>
  <c r="Z17" i="69" s="1"/>
  <c r="J17" i="69"/>
  <c r="AC17" i="69" s="1"/>
  <c r="H17" i="69"/>
  <c r="AB17" i="69" s="1"/>
  <c r="F17" i="69"/>
  <c r="AA17" i="69" s="1"/>
  <c r="Q15" i="69"/>
  <c r="Z15" i="69" s="1"/>
  <c r="J15" i="69"/>
  <c r="AC15" i="69" s="1"/>
  <c r="H15" i="69"/>
  <c r="AB15" i="69" s="1"/>
  <c r="F15" i="69"/>
  <c r="AA15" i="69" s="1"/>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F12" i="69"/>
  <c r="AA12" i="69" s="1"/>
  <c r="Q11" i="69"/>
  <c r="Z11" i="69" s="1"/>
  <c r="H11" i="69"/>
  <c r="Q10" i="69"/>
  <c r="Z10" i="69" s="1"/>
  <c r="J10" i="69"/>
  <c r="AC10" i="69" s="1"/>
  <c r="H10" i="69"/>
  <c r="AB10" i="69" s="1"/>
  <c r="F10" i="69"/>
  <c r="AA10" i="69" s="1"/>
  <c r="Q9" i="69"/>
  <c r="Z9" i="69" s="1"/>
  <c r="J9" i="69"/>
  <c r="AC9" i="69" s="1"/>
  <c r="H9" i="69"/>
  <c r="AB9" i="69" s="1"/>
  <c r="F9" i="69"/>
  <c r="AA9" i="69" s="1"/>
  <c r="W8" i="69"/>
  <c r="S8" i="69"/>
  <c r="J8" i="69"/>
  <c r="AC8" i="69" s="1"/>
  <c r="H8" i="69"/>
  <c r="AB8" i="69" s="1"/>
  <c r="F8" i="69"/>
  <c r="AA8" i="69" s="1"/>
  <c r="I7" i="69"/>
  <c r="G7" i="69"/>
  <c r="F21" i="69" l="1"/>
  <c r="AA21" i="69" s="1"/>
  <c r="J21" i="69"/>
  <c r="AC21" i="69" s="1"/>
  <c r="F45" i="69"/>
  <c r="AA45" i="69" s="1"/>
  <c r="H113" i="69"/>
  <c r="F37" i="69"/>
  <c r="AA37" i="69" s="1"/>
  <c r="H37" i="69"/>
  <c r="AB37" i="69" s="1"/>
  <c r="J37" i="69"/>
  <c r="AC37" i="69" s="1"/>
  <c r="AB11" i="69"/>
  <c r="U11" i="69"/>
  <c r="U8" i="69"/>
  <c r="U9" i="69"/>
  <c r="S10" i="69"/>
  <c r="W10" i="69"/>
  <c r="F11" i="69"/>
  <c r="J11" i="69"/>
  <c r="U12" i="69"/>
  <c r="S13" i="69"/>
  <c r="W13" i="69"/>
  <c r="U14" i="69"/>
  <c r="U15" i="69"/>
  <c r="W17" i="69"/>
  <c r="S9" i="69"/>
  <c r="W9" i="69"/>
  <c r="U10" i="69"/>
  <c r="S12" i="69"/>
  <c r="W12" i="69"/>
  <c r="U13" i="69"/>
  <c r="S14" i="69"/>
  <c r="W14" i="69"/>
  <c r="S15" i="69"/>
  <c r="W15" i="69"/>
  <c r="S17" i="69"/>
  <c r="S19" i="69"/>
  <c r="W19" i="69"/>
  <c r="S23" i="69"/>
  <c r="W23" i="69"/>
  <c r="U25" i="69"/>
  <c r="S26" i="69"/>
  <c r="W26" i="69"/>
  <c r="U27" i="69"/>
  <c r="S28" i="69"/>
  <c r="W28" i="69"/>
  <c r="U29" i="69"/>
  <c r="S30" i="69"/>
  <c r="W30" i="69"/>
  <c r="U31" i="69"/>
  <c r="S32" i="69"/>
  <c r="W32" i="69"/>
  <c r="U34" i="69"/>
  <c r="S35" i="69"/>
  <c r="W35" i="69"/>
  <c r="U36" i="69"/>
  <c r="S37" i="69"/>
  <c r="W37" i="69"/>
  <c r="U38" i="69"/>
  <c r="S39" i="69"/>
  <c r="W39" i="69"/>
  <c r="U40" i="69"/>
  <c r="S41" i="69"/>
  <c r="W41" i="69"/>
  <c r="U42" i="69"/>
  <c r="S43" i="69"/>
  <c r="W43" i="69"/>
  <c r="AB44" i="69"/>
  <c r="U44" i="69"/>
  <c r="W44" i="69"/>
  <c r="U17" i="69"/>
  <c r="U19" i="69"/>
  <c r="U21" i="69"/>
  <c r="U23" i="69"/>
  <c r="S25" i="69"/>
  <c r="W25" i="69"/>
  <c r="U26" i="69"/>
  <c r="S27" i="69"/>
  <c r="W27" i="69"/>
  <c r="U28" i="69"/>
  <c r="S29" i="69"/>
  <c r="W29" i="69"/>
  <c r="U30" i="69"/>
  <c r="S31" i="69"/>
  <c r="W31" i="69"/>
  <c r="U32" i="69"/>
  <c r="S34" i="69"/>
  <c r="W34" i="69"/>
  <c r="U35" i="69"/>
  <c r="S36" i="69"/>
  <c r="W36" i="69"/>
  <c r="S38" i="69"/>
  <c r="W38" i="69"/>
  <c r="U39" i="69"/>
  <c r="S40" i="69"/>
  <c r="W40" i="69"/>
  <c r="U41" i="69"/>
  <c r="S42" i="69"/>
  <c r="W42" i="69"/>
  <c r="U43" i="69"/>
  <c r="S44" i="69"/>
  <c r="U45" i="69"/>
  <c r="S46" i="69"/>
  <c r="W46" i="69"/>
  <c r="K141" i="69"/>
  <c r="K143" i="69"/>
  <c r="S45" i="69"/>
  <c r="W45" i="69"/>
  <c r="U46" i="69"/>
  <c r="K144" i="69"/>
  <c r="W21" i="69" l="1"/>
  <c r="S21" i="69"/>
  <c r="U37" i="69"/>
  <c r="AA11" i="69"/>
  <c r="S11" i="69"/>
  <c r="AC11" i="69"/>
  <c r="W11" i="69"/>
  <c r="A16" i="3" l="1"/>
  <c r="C33" i="69" s="1"/>
  <c r="H33" i="69" l="1"/>
  <c r="F33" i="69"/>
  <c r="J33" i="69"/>
  <c r="AC33" i="69" l="1"/>
  <c r="W33" i="69"/>
  <c r="S33" i="69"/>
  <c r="AA33" i="69"/>
  <c r="AB33" i="69"/>
  <c r="U33" i="69"/>
  <c r="I13" i="3" l="1"/>
  <c r="K13" i="3" s="1"/>
  <c r="C33" i="33"/>
  <c r="F20" i="6" l="1"/>
  <c r="C40" i="39"/>
  <c r="C33" i="21" l="1"/>
  <c r="F19" i="6"/>
  <c r="AH5" i="59"/>
  <c r="AG5" i="59"/>
  <c r="AF5" i="59"/>
  <c r="AE5" i="59"/>
  <c r="AD5" i="59"/>
  <c r="Q5" i="59"/>
  <c r="P5" i="59"/>
  <c r="O5" i="59"/>
  <c r="N5" i="59"/>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1" i="55"/>
  <c r="A10" i="55"/>
  <c r="A9" i="55"/>
  <c r="A8" i="55"/>
  <c r="A6" i="54"/>
  <c r="A8" i="54"/>
  <c r="A7" i="54"/>
  <c r="A28" i="51"/>
  <c r="N4" i="63" s="1"/>
  <c r="A27" i="51"/>
  <c r="Q11" i="59"/>
  <c r="AB9" i="59"/>
  <c r="O11" i="59"/>
  <c r="Y9" i="59"/>
  <c r="Z9" i="59"/>
  <c r="N12" i="59"/>
  <c r="O12" i="59"/>
  <c r="P12" i="59"/>
  <c r="Q12" i="59"/>
  <c r="N11" i="59"/>
  <c r="X9" i="59"/>
  <c r="P11" i="59"/>
  <c r="AA9" i="59"/>
  <c r="B13" i="59"/>
  <c r="C13" i="59"/>
  <c r="D13" i="59"/>
  <c r="E13" i="59"/>
  <c r="F13" i="59"/>
  <c r="K75" i="9"/>
  <c r="K6" i="4"/>
  <c r="O76" i="9" s="1"/>
  <c r="B22" i="31"/>
  <c r="E15" i="66"/>
  <c r="F15" i="66"/>
  <c r="E16" i="66"/>
  <c r="F16" i="66"/>
  <c r="E18" i="66"/>
  <c r="F18" i="66"/>
  <c r="E19" i="66"/>
  <c r="F19" i="66"/>
  <c r="E20" i="66"/>
  <c r="F20" i="66"/>
  <c r="E21" i="66"/>
  <c r="F21" i="66"/>
  <c r="E22" i="66"/>
  <c r="F22"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B76" i="63"/>
  <c r="M5" i="54"/>
  <c r="B41" i="63" s="1"/>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c r="A14" i="51"/>
  <c r="B11" i="63" s="1"/>
  <c r="B66" i="63"/>
  <c r="A4" i="55"/>
  <c r="B57" i="63"/>
  <c r="G5" i="54"/>
  <c r="B34" i="63"/>
  <c r="E5" i="54"/>
  <c r="B32" i="63" s="1"/>
  <c r="R2" i="54"/>
  <c r="B24" i="63" s="1"/>
  <c r="B19" i="63"/>
  <c r="B49" i="50"/>
  <c r="B5" i="63"/>
  <c r="B40" i="50"/>
  <c r="B3" i="63" s="1"/>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A12" i="1"/>
  <c r="R12" i="1"/>
  <c r="A13" i="1"/>
  <c r="B13" i="1"/>
  <c r="E13" i="1"/>
  <c r="A7" i="1"/>
  <c r="A8" i="1"/>
  <c r="A9" i="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G8" i="1" s="1"/>
  <c r="E19" i="4"/>
  <c r="F7" i="1"/>
  <c r="G7" i="1" s="1"/>
  <c r="B2" i="52"/>
  <c r="B15"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E20" i="6"/>
  <c r="D3" i="33" s="1"/>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c r="H40" i="39"/>
  <c r="AB40" i="39" s="1"/>
  <c r="H42" i="39"/>
  <c r="AB42" i="39" s="1"/>
  <c r="J10" i="39"/>
  <c r="AC10" i="39"/>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s="1"/>
  <c r="H9" i="33"/>
  <c r="AB9" i="33" s="1"/>
  <c r="F9" i="33"/>
  <c r="S9" i="33" s="1"/>
  <c r="J8" i="33"/>
  <c r="W8" i="33"/>
  <c r="H8" i="33"/>
  <c r="U8" i="33" s="1"/>
  <c r="F8" i="33"/>
  <c r="S8" i="33" s="1"/>
  <c r="C7" i="33"/>
  <c r="C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L13" i="3" s="1"/>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s="1"/>
  <c r="J9" i="21"/>
  <c r="AC9" i="21" s="1"/>
  <c r="H8" i="21"/>
  <c r="H9" i="21"/>
  <c r="AB9" i="21" s="1"/>
  <c r="H10" i="21"/>
  <c r="U10" i="21" s="1"/>
  <c r="H39" i="21"/>
  <c r="AB39" i="21"/>
  <c r="J34" i="21"/>
  <c r="W34" i="21"/>
  <c r="H36" i="21"/>
  <c r="U36" i="21"/>
  <c r="F35" i="21"/>
  <c r="AA35" i="21"/>
  <c r="J33" i="21"/>
  <c r="W33" i="21" s="1"/>
  <c r="H33" i="21"/>
  <c r="U33" i="21" s="1"/>
  <c r="F33" i="21"/>
  <c r="AA33" i="21" s="1"/>
  <c r="J10" i="21"/>
  <c r="AC10" i="21" s="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33" i="33"/>
  <c r="W38" i="33"/>
  <c r="S40" i="33"/>
  <c r="S33" i="33"/>
  <c r="U38" i="33"/>
  <c r="W8" i="21"/>
  <c r="H39" i="37"/>
  <c r="AB39" i="37"/>
  <c r="AB27" i="35"/>
  <c r="S10" i="40"/>
  <c r="W10" i="40"/>
  <c r="S11" i="40"/>
  <c r="U11" i="40"/>
  <c r="S36" i="40"/>
  <c r="U36" i="40"/>
  <c r="S36" i="39"/>
  <c r="F11" i="21"/>
  <c r="S11" i="21" s="1"/>
  <c r="AC40" i="21"/>
  <c r="AA38" i="21"/>
  <c r="AB36" i="21"/>
  <c r="AC35" i="21"/>
  <c r="C29" i="39"/>
  <c r="C23" i="39"/>
  <c r="U36" i="39"/>
  <c r="S42" i="39"/>
  <c r="H32" i="33"/>
  <c r="AB32" i="33"/>
  <c r="H11" i="21"/>
  <c r="U11" i="21" s="1"/>
  <c r="J11" i="21"/>
  <c r="W11" i="21"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s="1"/>
  <c r="F19" i="33"/>
  <c r="S19" i="33"/>
  <c r="J19" i="33"/>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s="1"/>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U39" i="21"/>
  <c r="W9" i="21"/>
  <c r="J32" i="21"/>
  <c r="AC32" i="21"/>
  <c r="AC5" i="3"/>
  <c r="F17" i="21"/>
  <c r="S17" i="21"/>
  <c r="H17" i="21"/>
  <c r="AB17" i="21"/>
  <c r="J17" i="21"/>
  <c r="AC17" i="21"/>
  <c r="H37" i="21"/>
  <c r="U37" i="21" s="1"/>
  <c r="F40" i="21"/>
  <c r="S40" i="21"/>
  <c r="H40" i="21"/>
  <c r="AB40" i="21"/>
  <c r="E119" i="21"/>
  <c r="F119" i="21"/>
  <c r="G119" i="21"/>
  <c r="H119" i="21"/>
  <c r="I119" i="21"/>
  <c r="J119" i="21"/>
  <c r="K119" i="21"/>
  <c r="L119" i="21"/>
  <c r="M119" i="21"/>
  <c r="AA8" i="33"/>
  <c r="AC8" i="33"/>
  <c r="H66" i="33"/>
  <c r="F10" i="33"/>
  <c r="AA10" i="33" s="1"/>
  <c r="F11" i="33"/>
  <c r="S11" i="33" s="1"/>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s="1"/>
  <c r="H34" i="39"/>
  <c r="AB34" i="39" s="1"/>
  <c r="J34" i="39"/>
  <c r="AC34" i="39" s="1"/>
  <c r="F39" i="39"/>
  <c r="AA39" i="39" s="1"/>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U8" i="21"/>
  <c r="AB8" i="21"/>
  <c r="S34" i="21"/>
  <c r="AC36" i="21"/>
  <c r="AB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s="1"/>
  <c r="H37" i="34"/>
  <c r="F15" i="39"/>
  <c r="AA15" i="39"/>
  <c r="H15" i="39"/>
  <c r="U15" i="39"/>
  <c r="J15" i="39"/>
  <c r="AC15" i="39"/>
  <c r="H25" i="39"/>
  <c r="U25" i="39" s="1"/>
  <c r="J25" i="39"/>
  <c r="AC25" i="39" s="1"/>
  <c r="F25" i="39"/>
  <c r="AA25" i="39" s="1"/>
  <c r="F45" i="39"/>
  <c r="AA45" i="39"/>
  <c r="H45" i="39"/>
  <c r="U45" i="39"/>
  <c r="J45" i="39"/>
  <c r="AC45" i="39"/>
  <c r="F47" i="39"/>
  <c r="AA47" i="39"/>
  <c r="H47" i="39"/>
  <c r="AB47" i="39" s="1"/>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40" i="3"/>
  <c r="AZ48" i="3"/>
  <c r="AZ56" i="3"/>
  <c r="AZ63" i="3"/>
  <c r="AZ71" i="3"/>
  <c r="AZ79" i="3"/>
  <c r="AZ91" i="3"/>
  <c r="AZ99" i="3"/>
  <c r="AZ107" i="3"/>
  <c r="AZ112" i="3"/>
  <c r="H47" i="46"/>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U39" i="39"/>
  <c r="J29" i="39"/>
  <c r="AC29" i="39" s="1"/>
  <c r="AB33" i="36"/>
  <c r="AA11" i="36"/>
  <c r="AA14" i="35"/>
  <c r="S14" i="35"/>
  <c r="G99" i="37"/>
  <c r="F33" i="37"/>
  <c r="U46" i="34"/>
  <c r="AC30" i="34"/>
  <c r="AA14" i="34"/>
  <c r="W12" i="34"/>
  <c r="U29" i="33"/>
  <c r="AC13" i="33"/>
  <c r="U17" i="34"/>
  <c r="AA11" i="34"/>
  <c r="W32" i="33"/>
  <c r="H15" i="33"/>
  <c r="U15" i="33"/>
  <c r="AA40" i="21"/>
  <c r="U17" i="21"/>
  <c r="U16" i="40"/>
  <c r="W34" i="40"/>
  <c r="AB34" i="40"/>
  <c r="AB42" i="40"/>
  <c r="U42" i="40"/>
  <c r="AC16" i="40"/>
  <c r="W32" i="40"/>
  <c r="H25" i="40"/>
  <c r="AB25" i="40"/>
  <c r="F94" i="40"/>
  <c r="G94" i="40"/>
  <c r="W15" i="39"/>
  <c r="J37" i="34"/>
  <c r="AC37" i="34"/>
  <c r="J36" i="33"/>
  <c r="W36" i="33" s="1"/>
  <c r="S41" i="40"/>
  <c r="AB23" i="40"/>
  <c r="H23" i="39"/>
  <c r="AB23" i="39" s="1"/>
  <c r="J23" i="39"/>
  <c r="AC23" i="39" s="1"/>
  <c r="F97" i="39"/>
  <c r="G97" i="39"/>
  <c r="S16" i="39"/>
  <c r="S15" i="34"/>
  <c r="AA15" i="34"/>
  <c r="AA41" i="33"/>
  <c r="AA34" i="33"/>
  <c r="F106" i="33"/>
  <c r="G106" i="33"/>
  <c r="H106" i="33"/>
  <c r="I106" i="33"/>
  <c r="J106" i="33"/>
  <c r="K106" i="33"/>
  <c r="L106" i="33"/>
  <c r="M106" i="33"/>
  <c r="J34" i="33"/>
  <c r="AC34" i="33"/>
  <c r="U30" i="40"/>
  <c r="W29" i="35"/>
  <c r="AC39" i="39"/>
  <c r="W39" i="39"/>
  <c r="S39" i="39"/>
  <c r="AB46" i="39"/>
  <c r="AB44" i="39"/>
  <c r="W33" i="39"/>
  <c r="AA33" i="39"/>
  <c r="S33"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s="1"/>
  <c r="H10" i="33"/>
  <c r="U10" i="33" s="1"/>
  <c r="I66" i="33"/>
  <c r="J10" i="33"/>
  <c r="AC10" i="33" s="1"/>
  <c r="U40" i="21"/>
  <c r="U11" i="37"/>
  <c r="AC16" i="35"/>
  <c r="AC13" i="40"/>
  <c r="J11" i="34"/>
  <c r="W11" i="34"/>
  <c r="S17" i="34"/>
  <c r="AC36" i="33"/>
  <c r="F25" i="40"/>
  <c r="AA25" i="40"/>
  <c r="J11" i="33"/>
  <c r="W11" i="33" s="1"/>
  <c r="H33" i="37"/>
  <c r="AB33" i="37"/>
  <c r="W15" i="34"/>
  <c r="AC15" i="34"/>
  <c r="U20" i="35"/>
  <c r="AB20" i="35"/>
  <c r="W23" i="40"/>
  <c r="D73" i="9"/>
  <c r="N73" i="9"/>
  <c r="AP11" i="1"/>
  <c r="B11" i="1"/>
  <c r="E11" i="1"/>
  <c r="K11" i="1"/>
  <c r="M11" i="1" s="1"/>
  <c r="O11" i="1" s="1"/>
  <c r="B9" i="1"/>
  <c r="E9" i="1"/>
  <c r="K9" i="1"/>
  <c r="M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W13" i="21"/>
  <c r="AA11" i="21"/>
  <c r="AC23"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S27" i="39"/>
  <c r="S14" i="39"/>
  <c r="AB15" i="39"/>
  <c r="U11" i="39"/>
  <c r="U41" i="39"/>
  <c r="S38" i="39"/>
  <c r="S22" i="31"/>
  <c r="M20" i="15"/>
  <c r="D96" i="9"/>
  <c r="F28" i="15"/>
  <c r="M18" i="15"/>
  <c r="BA16" i="3"/>
  <c r="BA17" i="3"/>
  <c r="AZ17" i="3"/>
  <c r="F3" i="35"/>
  <c r="K1" i="43"/>
  <c r="K1" i="12"/>
  <c r="G1" i="44"/>
  <c r="AZ15" i="3"/>
  <c r="BK5" i="3"/>
  <c r="BO5" i="3"/>
  <c r="BP5" i="3"/>
  <c r="BN5" i="3"/>
  <c r="BL18" i="3"/>
  <c r="AZ18" i="3"/>
  <c r="BC5" i="3"/>
  <c r="BD5" i="3"/>
  <c r="BR5" i="3"/>
  <c r="G28" i="6"/>
  <c r="BS5" i="3"/>
  <c r="BQ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D5" i="46" s="1"/>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AP8" i="1"/>
  <c r="I20" i="46"/>
  <c r="C20" i="46" s="1"/>
  <c r="B6" i="63"/>
  <c r="B46" i="50"/>
  <c r="B4" i="63" s="1"/>
  <c r="C46" i="36"/>
  <c r="D46" i="36" s="1"/>
  <c r="C48" i="35"/>
  <c r="D48" i="35" s="1"/>
  <c r="E48" i="35" s="1"/>
  <c r="C52" i="37"/>
  <c r="D52" i="37" s="1"/>
  <c r="E52" i="37" s="1"/>
  <c r="F52" i="37" s="1"/>
  <c r="O19" i="46"/>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c r="B12" i="1"/>
  <c r="E12" i="1"/>
  <c r="S12" i="1"/>
  <c r="K6" i="1"/>
  <c r="M6" i="1" s="1"/>
  <c r="O6" i="1" s="1"/>
  <c r="O9"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S45" i="39"/>
  <c r="AB43" i="39"/>
  <c r="AB33" i="39"/>
  <c r="AC46" i="39"/>
  <c r="S34" i="39"/>
  <c r="W42" i="39"/>
  <c r="W36" i="39"/>
  <c r="U14" i="39"/>
  <c r="W16" i="39"/>
  <c r="S15" i="39"/>
  <c r="W45" i="39"/>
  <c r="AA44" i="39"/>
  <c r="AA46" i="39"/>
  <c r="W10" i="39"/>
  <c r="W11" i="39"/>
  <c r="U42" i="39"/>
  <c r="W40" i="39"/>
  <c r="S32" i="40"/>
  <c r="C27" i="39"/>
  <c r="C17" i="40"/>
  <c r="C19" i="40"/>
  <c r="C17" i="39"/>
  <c r="C19" i="39"/>
  <c r="C21" i="39"/>
  <c r="C23" i="40"/>
  <c r="B48" i="46"/>
  <c r="B51" i="46"/>
  <c r="B55" i="46"/>
  <c r="B59" i="46"/>
  <c r="B62" i="46"/>
  <c r="B66" i="46"/>
  <c r="B53" i="46"/>
  <c r="B64" i="46"/>
  <c r="D24" i="15"/>
  <c r="F29" i="6"/>
  <c r="F28" i="6"/>
  <c r="E28"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T6" i="3"/>
  <c r="G29" i="6"/>
  <c r="AZ16" i="3"/>
  <c r="F30" i="6"/>
  <c r="H70" i="46"/>
  <c r="H72" i="46"/>
  <c r="A9" i="64"/>
  <c r="A9" i="51"/>
  <c r="B9" i="63" s="1"/>
  <c r="E46" i="36"/>
  <c r="F46" i="36" s="1"/>
  <c r="G46" i="36" s="1"/>
  <c r="H46" i="36" s="1"/>
  <c r="I46" i="36" s="1"/>
  <c r="G66" i="36"/>
  <c r="J18" i="36"/>
  <c r="AE8" i="1"/>
  <c r="AE6" i="1"/>
  <c r="W18" i="36"/>
  <c r="AC18" i="36"/>
  <c r="AG6" i="1"/>
  <c r="L20" i="6"/>
  <c r="S8" i="1"/>
  <c r="S9" i="1"/>
  <c r="R9" i="1"/>
  <c r="R8" i="1"/>
  <c r="C45" i="9"/>
  <c r="H14" i="66" s="1"/>
  <c r="B7" i="66" s="1"/>
  <c r="O40" i="9"/>
  <c r="K31" i="9"/>
  <c r="K32" i="9" s="1"/>
  <c r="R7" i="54"/>
  <c r="B52" i="63" s="1"/>
  <c r="N76" i="9"/>
  <c r="C46" i="9"/>
  <c r="I14" i="66" s="1"/>
  <c r="B8" i="66" s="1"/>
  <c r="K33" i="9"/>
  <c r="K34" i="9" s="1"/>
  <c r="M28" i="15"/>
  <c r="M29" i="15"/>
  <c r="N6" i="65"/>
  <c r="N5" i="65"/>
  <c r="J17" i="44"/>
  <c r="F14" i="67"/>
  <c r="M23" i="15"/>
  <c r="B12" i="67"/>
  <c r="M25" i="44"/>
  <c r="M23" i="44"/>
  <c r="M8" i="15"/>
  <c r="B9" i="67"/>
  <c r="F13" i="67"/>
  <c r="F10" i="44"/>
  <c r="M6" i="15"/>
  <c r="M26" i="15"/>
  <c r="E9" i="67"/>
  <c r="F11" i="44"/>
  <c r="C19" i="44"/>
  <c r="F37" i="44"/>
  <c r="M8" i="44"/>
  <c r="F15" i="44"/>
  <c r="M24" i="15"/>
  <c r="F13" i="15"/>
  <c r="B14" i="67"/>
  <c r="F7" i="15"/>
  <c r="L48" i="15"/>
  <c r="F37" i="15"/>
  <c r="M22" i="15"/>
  <c r="E14" i="67"/>
  <c r="F42" i="15"/>
  <c r="M10" i="44"/>
  <c r="F40" i="15"/>
  <c r="E8" i="67"/>
  <c r="F6" i="15"/>
  <c r="F38" i="15"/>
  <c r="F8" i="15"/>
  <c r="F38" i="44"/>
  <c r="E12" i="67"/>
  <c r="F12" i="67"/>
  <c r="F10" i="67"/>
  <c r="F11" i="67"/>
  <c r="M28" i="44"/>
  <c r="F8" i="67"/>
  <c r="F9" i="67"/>
  <c r="M27" i="15"/>
  <c r="J15" i="15"/>
  <c r="F43" i="15"/>
  <c r="B11" i="67"/>
  <c r="E10" i="67"/>
  <c r="F36" i="15"/>
  <c r="F43" i="44"/>
  <c r="E11" i="67"/>
  <c r="L48" i="44"/>
  <c r="F9" i="44"/>
  <c r="M31" i="44"/>
  <c r="L49" i="44"/>
  <c r="F26" i="15"/>
  <c r="B13" i="67"/>
  <c r="F9" i="15"/>
  <c r="M24" i="44"/>
  <c r="F16" i="15"/>
  <c r="F40" i="44"/>
  <c r="E13" i="67"/>
  <c r="M9" i="15"/>
  <c r="L47" i="15"/>
  <c r="N3" i="65"/>
  <c r="F28" i="44"/>
  <c r="M26" i="44"/>
  <c r="M29" i="44"/>
  <c r="N7" i="65"/>
  <c r="F18" i="44"/>
  <c r="N4" i="65"/>
  <c r="M30" i="44"/>
  <c r="F45" i="44"/>
  <c r="B8" i="67"/>
  <c r="F8" i="44"/>
  <c r="M11" i="44"/>
  <c r="B10" i="67"/>
  <c r="F39" i="44"/>
  <c r="F46" i="44"/>
  <c r="J36" i="15"/>
  <c r="U13" i="39" l="1"/>
  <c r="F13" i="39"/>
  <c r="C42" i="1"/>
  <c r="C7" i="69"/>
  <c r="C58" i="69" s="1"/>
  <c r="L76" i="9"/>
  <c r="S23" i="39"/>
  <c r="U23" i="39"/>
  <c r="E32" i="6"/>
  <c r="D3" i="69"/>
  <c r="F31" i="39"/>
  <c r="AA31" i="39" s="1"/>
  <c r="F105" i="39"/>
  <c r="G105" i="39" s="1"/>
  <c r="J31" i="39"/>
  <c r="AC31" i="39" s="1"/>
  <c r="H31" i="39"/>
  <c r="AB29" i="39"/>
  <c r="F95" i="39"/>
  <c r="G95" i="39" s="1"/>
  <c r="F21" i="39"/>
  <c r="J21" i="39"/>
  <c r="H21" i="39"/>
  <c r="U21" i="39" s="1"/>
  <c r="F93" i="39"/>
  <c r="G93" i="39" s="1"/>
  <c r="H19" i="39"/>
  <c r="U19" i="39" s="1"/>
  <c r="F19" i="39"/>
  <c r="J19" i="39"/>
  <c r="F91" i="39"/>
  <c r="G91" i="39" s="1"/>
  <c r="H17" i="39"/>
  <c r="F17" i="39"/>
  <c r="J17" i="39"/>
  <c r="W17" i="39" s="1"/>
  <c r="S29" i="39"/>
  <c r="AC44" i="39"/>
  <c r="W41" i="39"/>
  <c r="S41" i="39"/>
  <c r="W34" i="39"/>
  <c r="AC37" i="39"/>
  <c r="AB38" i="39"/>
  <c r="AC38" i="39"/>
  <c r="U34" i="39"/>
  <c r="AA37" i="39"/>
  <c r="AB37" i="39"/>
  <c r="W29" i="39"/>
  <c r="W27" i="39"/>
  <c r="U27" i="39"/>
  <c r="W25" i="39"/>
  <c r="S25" i="39"/>
  <c r="AB25" i="39"/>
  <c r="W23" i="39"/>
  <c r="C5" i="46"/>
  <c r="A18" i="64"/>
  <c r="B74" i="63" s="1"/>
  <c r="C53" i="10"/>
  <c r="A25" i="64" s="1"/>
  <c r="A18" i="51"/>
  <c r="B14" i="63" s="1"/>
  <c r="L5" i="54"/>
  <c r="B39" i="63" s="1"/>
  <c r="K5" i="54"/>
  <c r="T41" i="4"/>
  <c r="A17" i="51" s="1"/>
  <c r="B13" i="63" s="1"/>
  <c r="B21" i="63"/>
  <c r="O41" i="9"/>
  <c r="R8" i="54" s="1"/>
  <c r="B54" i="63" s="1"/>
  <c r="K76" i="9"/>
  <c r="K77" i="9" s="1"/>
  <c r="K79" i="9" s="1"/>
  <c r="K81" i="9" s="1"/>
  <c r="H1" i="65"/>
  <c r="D58" i="21"/>
  <c r="E58" i="21" s="1"/>
  <c r="F58" i="21" s="1"/>
  <c r="G58" i="21" s="1"/>
  <c r="H58" i="21" s="1"/>
  <c r="I58" i="21" s="1"/>
  <c r="J58" i="21" s="1"/>
  <c r="K58" i="21" s="1"/>
  <c r="L58" i="21" s="1"/>
  <c r="M58" i="21" s="1"/>
  <c r="N58" i="21" s="1"/>
  <c r="O58" i="21" s="1"/>
  <c r="J7" i="21"/>
  <c r="W7" i="21" s="1"/>
  <c r="F7" i="21"/>
  <c r="AA7" i="21" s="1"/>
  <c r="H7" i="21"/>
  <c r="AB7" i="21" s="1"/>
  <c r="C72" i="39"/>
  <c r="D70" i="39"/>
  <c r="J51" i="15"/>
  <c r="BA28" i="3"/>
  <c r="AZ28" i="3" s="1"/>
  <c r="BA31" i="3"/>
  <c r="AZ31" i="3" s="1"/>
  <c r="BA32" i="3"/>
  <c r="AZ32" i="3" s="1"/>
  <c r="AZ33" i="3"/>
  <c r="G31" i="3"/>
  <c r="G32" i="3"/>
  <c r="G33" i="3"/>
  <c r="G13" i="3"/>
  <c r="I4" i="6"/>
  <c r="G3" i="46" s="1"/>
  <c r="J22" i="46" s="1"/>
  <c r="E5" i="6"/>
  <c r="D12" i="11" s="1"/>
  <c r="C12" i="11" s="1"/>
  <c r="E15" i="6"/>
  <c r="E67" i="39" s="1"/>
  <c r="E13" i="6"/>
  <c r="E60" i="40" s="1"/>
  <c r="BA13" i="3"/>
  <c r="BA5" i="3" s="1"/>
  <c r="E14" i="6"/>
  <c r="E61" i="40" s="1"/>
  <c r="S40" i="39"/>
  <c r="AC33" i="21"/>
  <c r="Q16" i="1"/>
  <c r="F24" i="43" s="1"/>
  <c r="C26" i="43" s="1"/>
  <c r="D24" i="43" s="1"/>
  <c r="G5" i="3"/>
  <c r="B3" i="3" s="1"/>
  <c r="U40" i="39"/>
  <c r="E66" i="39"/>
  <c r="AB33" i="21"/>
  <c r="D18" i="9"/>
  <c r="M44" i="9" s="1"/>
  <c r="M43" i="9"/>
  <c r="A30" i="51"/>
  <c r="B22" i="63" s="1"/>
  <c r="A30" i="64"/>
  <c r="W10" i="33"/>
  <c r="S10" i="33"/>
  <c r="AB10" i="33"/>
  <c r="W9" i="33"/>
  <c r="U9" i="33"/>
  <c r="AA9" i="33"/>
  <c r="W33" i="33"/>
  <c r="AA11" i="33"/>
  <c r="AC11" i="33"/>
  <c r="AB11" i="33"/>
  <c r="S46" i="33"/>
  <c r="S33" i="21"/>
  <c r="AB11" i="21"/>
  <c r="R48" i="21"/>
  <c r="E48" i="21" s="1"/>
  <c r="S8" i="21"/>
  <c r="AC7" i="21"/>
  <c r="V48" i="21" s="1"/>
  <c r="I48" i="21" s="1"/>
  <c r="W10" i="21"/>
  <c r="S10" i="21"/>
  <c r="AB10" i="21"/>
  <c r="L16" i="4"/>
  <c r="G13" i="1"/>
  <c r="E8" i="6"/>
  <c r="F27" i="6" s="1"/>
  <c r="E399" i="3"/>
  <c r="E100" i="3"/>
  <c r="E237" i="3"/>
  <c r="E253"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E65" i="39"/>
  <c r="E14" i="52"/>
  <c r="G9" i="1"/>
  <c r="D23" i="15"/>
  <c r="E413" i="3"/>
  <c r="AO6" i="3"/>
  <c r="M6" i="3"/>
  <c r="E475" i="3"/>
  <c r="E241" i="3"/>
  <c r="E421" i="3"/>
  <c r="E69" i="3"/>
  <c r="E206" i="3"/>
  <c r="E446" i="3"/>
  <c r="E132" i="3"/>
  <c r="E152" i="3"/>
  <c r="E333" i="3"/>
  <c r="E437" i="3"/>
  <c r="E91" i="3"/>
  <c r="E46" i="3"/>
  <c r="E115" i="3"/>
  <c r="E221" i="3"/>
  <c r="E359" i="3"/>
  <c r="E457" i="3"/>
  <c r="E195" i="3"/>
  <c r="E31" i="3"/>
  <c r="E391" i="3"/>
  <c r="X6" i="3"/>
  <c r="E321" i="3"/>
  <c r="E561" i="3"/>
  <c r="E283" i="3"/>
  <c r="E23" i="3"/>
  <c r="E535" i="3"/>
  <c r="E443" i="3"/>
  <c r="E156" i="3"/>
  <c r="E265" i="3"/>
  <c r="E381" i="3"/>
  <c r="E194" i="3"/>
  <c r="E49" i="3"/>
  <c r="AM6" i="3"/>
  <c r="E427" i="3"/>
  <c r="E78" i="3"/>
  <c r="E193" i="3"/>
  <c r="E337" i="3"/>
  <c r="E278" i="3"/>
  <c r="E390" i="3"/>
  <c r="E104" i="3"/>
  <c r="E158" i="3"/>
  <c r="E94"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K14" i="1"/>
  <c r="P6" i="1"/>
  <c r="C15" i="12" s="1"/>
  <c r="P9" i="1"/>
  <c r="AZ13" i="3"/>
  <c r="BL5" i="3"/>
  <c r="P12" i="1"/>
  <c r="G30" i="6"/>
  <c r="G31" i="6" s="1"/>
  <c r="E29" i="6"/>
  <c r="L19" i="6" s="1"/>
  <c r="L27" i="6" s="1"/>
  <c r="O10" i="1"/>
  <c r="P10" i="1" s="1"/>
  <c r="O7" i="1"/>
  <c r="P7" i="1" s="1"/>
  <c r="P11" i="1"/>
  <c r="E12" i="6"/>
  <c r="E10" i="6"/>
  <c r="E11" i="6"/>
  <c r="O13" i="1"/>
  <c r="P13" i="1" s="1"/>
  <c r="H16" i="1"/>
  <c r="S7" i="21"/>
  <c r="U7" i="21"/>
  <c r="J46" i="36"/>
  <c r="K46" i="36" s="1"/>
  <c r="L46" i="36" s="1"/>
  <c r="M46" i="36" s="1"/>
  <c r="N46" i="36" s="1"/>
  <c r="O46" i="36" s="1"/>
  <c r="F48" i="35"/>
  <c r="G52" i="37"/>
  <c r="E59" i="34"/>
  <c r="D58" i="33"/>
  <c r="E58" i="33" s="1"/>
  <c r="F58" i="33" s="1"/>
  <c r="G58" i="33" s="1"/>
  <c r="H58" i="33" s="1"/>
  <c r="I58" i="33" s="1"/>
  <c r="J58" i="33" s="1"/>
  <c r="K58" i="33" s="1"/>
  <c r="L58" i="33" s="1"/>
  <c r="M58" i="33" s="1"/>
  <c r="N58" i="33" s="1"/>
  <c r="O58" i="33" s="1"/>
  <c r="F7" i="36"/>
  <c r="D65" i="40"/>
  <c r="C67" i="40"/>
  <c r="C27" i="43"/>
  <c r="C31" i="43"/>
  <c r="C25" i="12"/>
  <c r="C28" i="15"/>
  <c r="C15" i="43"/>
  <c r="C30" i="44"/>
  <c r="K17" i="4"/>
  <c r="A22" i="51" s="1"/>
  <c r="B16" i="63" s="1"/>
  <c r="H22" i="46"/>
  <c r="AI11" i="46"/>
  <c r="AI13" i="46" s="1"/>
  <c r="C23" i="46"/>
  <c r="C21" i="46" s="1"/>
  <c r="AD11" i="46"/>
  <c r="AD13" i="46" s="1"/>
  <c r="F101" i="46"/>
  <c r="K101" i="46"/>
  <c r="E101" i="46"/>
  <c r="L101" i="46"/>
  <c r="B113" i="46"/>
  <c r="G101" i="46"/>
  <c r="AE11" i="46"/>
  <c r="AE13" i="46" s="1"/>
  <c r="AF11" i="46"/>
  <c r="AF13" i="46" s="1"/>
  <c r="AG11" i="46"/>
  <c r="AG13" i="46" s="1"/>
  <c r="E22" i="46"/>
  <c r="M101" i="46"/>
  <c r="I101" i="46"/>
  <c r="AP16" i="1"/>
  <c r="F22" i="11" s="1"/>
  <c r="G6" i="1"/>
  <c r="G16" i="1" s="1"/>
  <c r="U47" i="39"/>
  <c r="C6" i="59"/>
  <c r="C5" i="59" s="1"/>
  <c r="D5" i="59" s="1"/>
  <c r="B6" i="52"/>
  <c r="E7" i="52"/>
  <c r="E6" i="52"/>
  <c r="E4" i="52"/>
  <c r="B7" i="52"/>
  <c r="E5" i="52"/>
  <c r="P21" i="46"/>
  <c r="B6" i="59"/>
  <c r="B5" i="59" s="1"/>
  <c r="M20" i="46" s="1"/>
  <c r="C19" i="46" s="1"/>
  <c r="D6"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4" i="4" s="1"/>
  <c r="B21" i="55" s="1"/>
  <c r="B72" i="63" s="1"/>
  <c r="E15" i="52"/>
  <c r="E13" i="52"/>
  <c r="B14" i="52"/>
  <c r="E8" i="52"/>
  <c r="E16" i="52"/>
  <c r="B5" i="52"/>
  <c r="B9" i="52"/>
  <c r="B16" i="52"/>
  <c r="B8" i="52"/>
  <c r="B13" i="52"/>
  <c r="E10" i="52"/>
  <c r="E21" i="52"/>
  <c r="C4" i="4" s="1"/>
  <c r="B20" i="55" s="1"/>
  <c r="B70" i="63" s="1"/>
  <c r="M17" i="15"/>
  <c r="M19" i="44"/>
  <c r="F58" i="15"/>
  <c r="F33" i="44"/>
  <c r="F31" i="15"/>
  <c r="C18" i="44"/>
  <c r="J3" i="65"/>
  <c r="C16" i="15"/>
  <c r="J6" i="65"/>
  <c r="I4" i="65"/>
  <c r="I7" i="65"/>
  <c r="J7" i="65"/>
  <c r="J4" i="65"/>
  <c r="I5" i="65"/>
  <c r="I6" i="65"/>
  <c r="I3" i="65"/>
  <c r="J5" i="65"/>
  <c r="AA13" i="39" l="1"/>
  <c r="S13" i="39"/>
  <c r="H7" i="36"/>
  <c r="D58" i="69"/>
  <c r="E58" i="69" s="1"/>
  <c r="F58" i="69" s="1"/>
  <c r="G58" i="69" s="1"/>
  <c r="H58" i="69" s="1"/>
  <c r="I58" i="69" s="1"/>
  <c r="J58" i="69" s="1"/>
  <c r="K58" i="69" s="1"/>
  <c r="L58" i="69" s="1"/>
  <c r="M58" i="69" s="1"/>
  <c r="N58" i="69" s="1"/>
  <c r="O58" i="69" s="1"/>
  <c r="F7" i="69" s="1"/>
  <c r="H7" i="69"/>
  <c r="J7" i="69"/>
  <c r="AC17" i="39"/>
  <c r="AB19" i="39"/>
  <c r="W31" i="39"/>
  <c r="S31" i="39"/>
  <c r="U31" i="39"/>
  <c r="AB31" i="39"/>
  <c r="S21" i="39"/>
  <c r="AA21" i="39"/>
  <c r="AB21" i="39"/>
  <c r="W21" i="39"/>
  <c r="AC21" i="39"/>
  <c r="S19" i="39"/>
  <c r="AA19" i="39"/>
  <c r="W19" i="39"/>
  <c r="AC19" i="39"/>
  <c r="U17" i="39"/>
  <c r="AB17" i="39"/>
  <c r="AA17" i="39"/>
  <c r="S17" i="39"/>
  <c r="A25" i="51"/>
  <c r="B18" i="63" s="1"/>
  <c r="A17" i="64"/>
  <c r="B38" i="63"/>
  <c r="A3" i="55"/>
  <c r="B56" i="63" s="1"/>
  <c r="J1" i="65"/>
  <c r="E20" i="46"/>
  <c r="P17" i="46" s="1"/>
  <c r="J7" i="36"/>
  <c r="E33" i="3"/>
  <c r="E223" i="3"/>
  <c r="E428" i="3"/>
  <c r="E187" i="3"/>
  <c r="E225"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86" i="3"/>
  <c r="E476" i="3"/>
  <c r="E68" i="3"/>
  <c r="E192" i="3"/>
  <c r="E135" i="3"/>
  <c r="E114" i="3"/>
  <c r="E147" i="3"/>
  <c r="E348" i="3"/>
  <c r="E22" i="3"/>
  <c r="E93" i="3"/>
  <c r="E439" i="3"/>
  <c r="E394" i="3"/>
  <c r="E459" i="3"/>
  <c r="E55" i="3"/>
  <c r="E117" i="3"/>
  <c r="E282" i="3"/>
  <c r="E231" i="3"/>
  <c r="E570" i="3"/>
  <c r="E528" i="3"/>
  <c r="E375" i="3"/>
  <c r="E470" i="3"/>
  <c r="E409" i="3"/>
  <c r="E349" i="3"/>
  <c r="E297" i="3"/>
  <c r="E411" i="3"/>
  <c r="E395" i="3"/>
  <c r="E250" i="3"/>
  <c r="AN6" i="3"/>
  <c r="E41" i="3"/>
  <c r="E280" i="3"/>
  <c r="E471" i="3"/>
  <c r="E59" i="3"/>
  <c r="E418" i="3"/>
  <c r="E270" i="3"/>
  <c r="E408" i="3"/>
  <c r="E464" i="3"/>
  <c r="E92" i="3"/>
  <c r="E157" i="3"/>
  <c r="E238" i="3"/>
  <c r="E209" i="3"/>
  <c r="E414" i="3"/>
  <c r="E161" i="3"/>
  <c r="E44" i="3"/>
  <c r="E450" i="3"/>
  <c r="F7" i="33"/>
  <c r="AA7" i="33" s="1"/>
  <c r="R48" i="33" s="1"/>
  <c r="E70" i="39"/>
  <c r="D72" i="39"/>
  <c r="G22" i="46"/>
  <c r="D101" i="46"/>
  <c r="H101" i="46"/>
  <c r="AC11" i="46"/>
  <c r="AC13" i="46" s="1"/>
  <c r="Y11" i="46"/>
  <c r="Y13" i="46" s="1"/>
  <c r="AJ11" i="46"/>
  <c r="AJ13" i="46" s="1"/>
  <c r="C101" i="46"/>
  <c r="J101" i="46"/>
  <c r="N104" i="45"/>
  <c r="F22" i="46"/>
  <c r="Z7" i="46"/>
  <c r="N101" i="46"/>
  <c r="Z11" i="46"/>
  <c r="Z13" i="46" s="1"/>
  <c r="AH11" i="46"/>
  <c r="AH13" i="46" s="1"/>
  <c r="AA11" i="46"/>
  <c r="AA13" i="46" s="1"/>
  <c r="AB11" i="46"/>
  <c r="AB13" i="46" s="1"/>
  <c r="AZ5" i="3"/>
  <c r="AY6" i="3" s="1"/>
  <c r="F18" i="11"/>
  <c r="C18" i="11" s="1"/>
  <c r="E62" i="40"/>
  <c r="T48" i="21"/>
  <c r="G48" i="21" s="1"/>
  <c r="G52" i="21" s="1"/>
  <c r="H52" i="21" s="1"/>
  <c r="D21" i="12"/>
  <c r="C21" i="12" s="1"/>
  <c r="F33" i="12"/>
  <c r="C34" i="12" s="1"/>
  <c r="D33" i="12" s="1"/>
  <c r="E27" i="6"/>
  <c r="K23" i="6" s="1"/>
  <c r="M23" i="6" s="1"/>
  <c r="I23" i="6" s="1"/>
  <c r="S23" i="6" s="1"/>
  <c r="F31" i="6"/>
  <c r="R6" i="3"/>
  <c r="E294" i="3"/>
  <c r="E387" i="3"/>
  <c r="E376" i="3"/>
  <c r="E131" i="3"/>
  <c r="E304" i="3"/>
  <c r="E165" i="3"/>
  <c r="E374" i="3"/>
  <c r="E205" i="3"/>
  <c r="E478" i="3"/>
  <c r="E404" i="3"/>
  <c r="E30" i="3"/>
  <c r="E441" i="3"/>
  <c r="E367" i="3"/>
  <c r="E415" i="3"/>
  <c r="E80" i="3"/>
  <c r="E36" i="3"/>
  <c r="E149" i="3"/>
  <c r="E249" i="3"/>
  <c r="E549" i="3"/>
  <c r="E460" i="3"/>
  <c r="I3" i="6"/>
  <c r="E463" i="3"/>
  <c r="E292" i="3"/>
  <c r="E426" i="3"/>
  <c r="E60" i="3"/>
  <c r="E317" i="3"/>
  <c r="E28" i="3"/>
  <c r="E357" i="3"/>
  <c r="E141" i="3"/>
  <c r="E295" i="3"/>
  <c r="E89" i="3"/>
  <c r="E201" i="3"/>
  <c r="E170" i="3"/>
  <c r="E274" i="3"/>
  <c r="E547" i="3"/>
  <c r="E447" i="3"/>
  <c r="E75" i="3"/>
  <c r="Q6" i="3"/>
  <c r="E178" i="3"/>
  <c r="E119" i="3"/>
  <c r="J6" i="3"/>
  <c r="E500" i="3"/>
  <c r="E48" i="3"/>
  <c r="E97" i="3"/>
  <c r="E438" i="3"/>
  <c r="AE6" i="3"/>
  <c r="E455" i="3"/>
  <c r="E289" i="3"/>
  <c r="E363" i="3"/>
  <c r="E113" i="3"/>
  <c r="E79" i="3"/>
  <c r="E425" i="3"/>
  <c r="E401" i="3"/>
  <c r="E257" i="3"/>
  <c r="E272" i="3"/>
  <c r="E139" i="3"/>
  <c r="E52" i="3"/>
  <c r="E445" i="3"/>
  <c r="E451"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179" i="3"/>
  <c r="AS6" i="3"/>
  <c r="E444" i="3"/>
  <c r="E383" i="3"/>
  <c r="E247" i="3"/>
  <c r="E568" i="3"/>
  <c r="E539" i="3"/>
  <c r="E245" i="3"/>
  <c r="E166" i="3"/>
  <c r="O6" i="3"/>
  <c r="E172" i="3"/>
  <c r="E288" i="3"/>
  <c r="E255" i="3"/>
  <c r="E393" i="3"/>
  <c r="E417" i="3"/>
  <c r="E88" i="3"/>
  <c r="E145" i="3"/>
  <c r="E480" i="3"/>
  <c r="E279" i="3"/>
  <c r="E220" i="3"/>
  <c r="E347" i="3"/>
  <c r="E517" i="3"/>
  <c r="E400" i="3"/>
  <c r="E453" i="3"/>
  <c r="E58" i="3"/>
  <c r="AQ6" i="3"/>
  <c r="E197" i="3"/>
  <c r="E162" i="3"/>
  <c r="E285" i="3"/>
  <c r="E235" i="3"/>
  <c r="E61" i="3"/>
  <c r="E229" i="3"/>
  <c r="E433" i="3"/>
  <c r="E120" i="3"/>
  <c r="E529"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68" i="3"/>
  <c r="E34" i="3"/>
  <c r="E407" i="3"/>
  <c r="E550" i="3"/>
  <c r="E136" i="3"/>
  <c r="E85" i="3"/>
  <c r="E332" i="3"/>
  <c r="E102" i="3"/>
  <c r="E25" i="3"/>
  <c r="E116" i="3"/>
  <c r="E214" i="3"/>
  <c r="E372" i="3"/>
  <c r="E486" i="3"/>
  <c r="E465" i="3"/>
  <c r="E543" i="3"/>
  <c r="E154" i="3"/>
  <c r="E264" i="3"/>
  <c r="E243" i="3"/>
  <c r="E369" i="3"/>
  <c r="E309" i="3"/>
  <c r="V6" i="3"/>
  <c r="E448" i="3"/>
  <c r="E105" i="3"/>
  <c r="E74" i="3"/>
  <c r="AG6" i="3"/>
  <c r="E121" i="3"/>
  <c r="E505" i="3"/>
  <c r="E224" i="3"/>
  <c r="E419" i="3"/>
  <c r="E123" i="3"/>
  <c r="E302" i="3"/>
  <c r="E66" i="3"/>
  <c r="E386"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14" i="3"/>
  <c r="E169"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35" i="3"/>
  <c r="E361"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2" i="3"/>
  <c r="R49" i="21"/>
  <c r="I53" i="21"/>
  <c r="J53" i="21" s="1"/>
  <c r="I52" i="21"/>
  <c r="J52" i="21" s="1"/>
  <c r="K22" i="6"/>
  <c r="M22" i="6" s="1"/>
  <c r="I22" i="6" s="1"/>
  <c r="S22" i="6" s="1"/>
  <c r="E53" i="40"/>
  <c r="E58" i="39"/>
  <c r="E16" i="6"/>
  <c r="E58" i="40"/>
  <c r="E63" i="39"/>
  <c r="E59" i="40"/>
  <c r="E64" i="39"/>
  <c r="K15" i="1"/>
  <c r="K16" i="1" s="1"/>
  <c r="E30" i="6"/>
  <c r="M14" i="1"/>
  <c r="E65" i="40"/>
  <c r="D67" i="40"/>
  <c r="AB7" i="36"/>
  <c r="T36" i="36" s="1"/>
  <c r="G36" i="36" s="1"/>
  <c r="U7" i="36"/>
  <c r="H7" i="33"/>
  <c r="J7" i="33"/>
  <c r="H52" i="37"/>
  <c r="G48" i="35"/>
  <c r="S7" i="36"/>
  <c r="AA7" i="36"/>
  <c r="R36" i="36" s="1"/>
  <c r="S7" i="33"/>
  <c r="F59" i="34"/>
  <c r="G59" i="34" s="1"/>
  <c r="H59" i="34" s="1"/>
  <c r="I59" i="34" s="1"/>
  <c r="J59" i="34" s="1"/>
  <c r="K59" i="34" s="1"/>
  <c r="L59" i="34" s="1"/>
  <c r="M59" i="34" s="1"/>
  <c r="N59" i="34" s="1"/>
  <c r="O59" i="34" s="1"/>
  <c r="W7" i="36"/>
  <c r="AC7" i="36"/>
  <c r="V36" i="36" s="1"/>
  <c r="I36" i="36" s="1"/>
  <c r="E52" i="21"/>
  <c r="F52" i="21" s="1"/>
  <c r="N109" i="46"/>
  <c r="N105" i="46"/>
  <c r="N102" i="46"/>
  <c r="N107" i="46"/>
  <c r="N103" i="46"/>
  <c r="N106" i="46"/>
  <c r="N104" i="46"/>
  <c r="I102" i="46"/>
  <c r="I109" i="46"/>
  <c r="I107" i="46"/>
  <c r="I105" i="46"/>
  <c r="I103" i="46"/>
  <c r="I104" i="46"/>
  <c r="I106" i="46"/>
  <c r="M104" i="46"/>
  <c r="M103" i="46"/>
  <c r="M105" i="46"/>
  <c r="M107" i="46"/>
  <c r="M109" i="46"/>
  <c r="M102" i="46"/>
  <c r="M106" i="46"/>
  <c r="C104" i="46"/>
  <c r="C107" i="46"/>
  <c r="C106" i="46"/>
  <c r="C105" i="46"/>
  <c r="C102" i="46"/>
  <c r="C103" i="46"/>
  <c r="C109" i="46"/>
  <c r="J107" i="46"/>
  <c r="J104" i="46"/>
  <c r="J103" i="46"/>
  <c r="J105" i="46"/>
  <c r="J109" i="46"/>
  <c r="J102" i="46"/>
  <c r="J106" i="46"/>
  <c r="D102" i="46"/>
  <c r="D104" i="46"/>
  <c r="D106" i="46"/>
  <c r="D109" i="46"/>
  <c r="D103" i="46"/>
  <c r="D105" i="46"/>
  <c r="D107" i="46"/>
  <c r="H104" i="46"/>
  <c r="H105" i="46"/>
  <c r="H106" i="46"/>
  <c r="H109" i="46"/>
  <c r="H102" i="46"/>
  <c r="H103" i="46"/>
  <c r="H107" i="46"/>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B117" i="46"/>
  <c r="C117" i="46" s="1"/>
  <c r="I115" i="46"/>
  <c r="J115" i="46" s="1"/>
  <c r="K115" i="46" s="1"/>
  <c r="L115" i="46" s="1"/>
  <c r="M115" i="46" s="1"/>
  <c r="B118" i="46"/>
  <c r="C118" i="46" s="1"/>
  <c r="L102" i="46"/>
  <c r="L105" i="46"/>
  <c r="L104" i="46"/>
  <c r="L107" i="46"/>
  <c r="L103" i="46"/>
  <c r="L109" i="46"/>
  <c r="L106" i="46"/>
  <c r="E104" i="46"/>
  <c r="E106" i="46"/>
  <c r="E105" i="46"/>
  <c r="E109" i="46"/>
  <c r="E107" i="46"/>
  <c r="E102" i="46"/>
  <c r="E103" i="46"/>
  <c r="K107" i="46"/>
  <c r="K109" i="46"/>
  <c r="K104" i="46"/>
  <c r="K105" i="46"/>
  <c r="K103" i="46"/>
  <c r="K102" i="46"/>
  <c r="K106" i="46"/>
  <c r="F106" i="46"/>
  <c r="F103" i="46"/>
  <c r="F109" i="46"/>
  <c r="F107" i="46"/>
  <c r="F105" i="46"/>
  <c r="F102" i="46"/>
  <c r="F104" i="46"/>
  <c r="H12" i="39"/>
  <c r="F12" i="39"/>
  <c r="J12" i="40"/>
  <c r="H12" i="40"/>
  <c r="F12" i="40"/>
  <c r="J12" i="39"/>
  <c r="C39" i="46"/>
  <c r="G39" i="46" s="1"/>
  <c r="I39" i="46" s="1"/>
  <c r="C35" i="46"/>
  <c r="T12" i="46"/>
  <c r="V12" i="46" s="1"/>
  <c r="T9" i="46"/>
  <c r="V9" i="46" s="1"/>
  <c r="C37" i="46"/>
  <c r="G37" i="46" s="1"/>
  <c r="I37" i="46" s="1"/>
  <c r="C33" i="46"/>
  <c r="G33" i="46" s="1"/>
  <c r="I33" i="46" s="1"/>
  <c r="T8" i="46"/>
  <c r="V8" i="46" s="1"/>
  <c r="T16" i="46"/>
  <c r="V16" i="46" s="1"/>
  <c r="T13" i="46"/>
  <c r="V13" i="46" s="1"/>
  <c r="C36" i="46"/>
  <c r="E36" i="46" s="1"/>
  <c r="C34" i="46"/>
  <c r="E34" i="46" s="1"/>
  <c r="T15" i="46"/>
  <c r="V15" i="46" s="1"/>
  <c r="T11" i="46"/>
  <c r="V11" i="46" s="1"/>
  <c r="T14" i="46"/>
  <c r="V14" i="46" s="1"/>
  <c r="T10" i="46"/>
  <c r="V10" i="46" s="1"/>
  <c r="C29" i="46"/>
  <c r="C30" i="46" s="1"/>
  <c r="E30" i="46" s="1"/>
  <c r="C38" i="46"/>
  <c r="E38" i="46" s="1"/>
  <c r="G36" i="46"/>
  <c r="I36" i="46" s="1"/>
  <c r="E39" i="46"/>
  <c r="C48" i="15"/>
  <c r="Q61" i="15"/>
  <c r="Q74" i="15"/>
  <c r="Q76" i="44"/>
  <c r="Q63" i="44"/>
  <c r="Q54" i="44"/>
  <c r="F1" i="44"/>
  <c r="F13" i="44"/>
  <c r="C12" i="44" s="1"/>
  <c r="C7" i="44" s="1"/>
  <c r="M11" i="15"/>
  <c r="J10" i="15" s="1"/>
  <c r="J5" i="15" s="1"/>
  <c r="F11" i="15"/>
  <c r="M13" i="44"/>
  <c r="J12" i="44" s="1"/>
  <c r="J7" i="44" s="1"/>
  <c r="F1" i="15"/>
  <c r="Q53" i="15"/>
  <c r="Q75" i="15"/>
  <c r="Q62" i="15"/>
  <c r="Q75" i="44"/>
  <c r="Q62" i="44"/>
  <c r="E2" i="65"/>
  <c r="E3" i="65"/>
  <c r="AE7" i="1"/>
  <c r="K19" i="1" l="1"/>
  <c r="M19" i="1" s="1"/>
  <c r="K18" i="1"/>
  <c r="M18" i="1" s="1"/>
  <c r="J7" i="34"/>
  <c r="AB7" i="69"/>
  <c r="T48" i="69" s="1"/>
  <c r="G48" i="69" s="1"/>
  <c r="U7" i="69"/>
  <c r="W7" i="69"/>
  <c r="AC7" i="69"/>
  <c r="V48" i="69" s="1"/>
  <c r="I48" i="69" s="1"/>
  <c r="S7" i="69"/>
  <c r="AA7" i="69"/>
  <c r="R48" i="69" s="1"/>
  <c r="O17" i="46"/>
  <c r="B40" i="1"/>
  <c r="F24" i="15" s="1"/>
  <c r="C24" i="15" s="1"/>
  <c r="E31" i="6"/>
  <c r="M17" i="46"/>
  <c r="N17" i="46"/>
  <c r="K26" i="6"/>
  <c r="M26" i="6" s="1"/>
  <c r="I26" i="6" s="1"/>
  <c r="S26" i="6" s="1"/>
  <c r="K25" i="6"/>
  <c r="M25" i="6" s="1"/>
  <c r="I25" i="6" s="1"/>
  <c r="S25" i="6" s="1"/>
  <c r="K21" i="6"/>
  <c r="M21" i="6" s="1"/>
  <c r="I21" i="6" s="1"/>
  <c r="S21" i="6" s="1"/>
  <c r="F17" i="11"/>
  <c r="C17" i="11" s="1"/>
  <c r="C19" i="11" s="1"/>
  <c r="C20" i="11" s="1"/>
  <c r="C21" i="11" s="1"/>
  <c r="C22" i="11" s="1"/>
  <c r="C23" i="11" s="1"/>
  <c r="B2" i="11" s="1"/>
  <c r="E3" i="6"/>
  <c r="K19" i="6"/>
  <c r="S6" i="1" s="1"/>
  <c r="K24" i="6"/>
  <c r="M24" i="6" s="1"/>
  <c r="I24" i="6" s="1"/>
  <c r="S24" i="6" s="1"/>
  <c r="K20" i="6"/>
  <c r="M20" i="6" s="1"/>
  <c r="I20" i="6" s="1"/>
  <c r="S20" i="6" s="1"/>
  <c r="D22" i="46"/>
  <c r="AC6" i="3"/>
  <c r="E53" i="21"/>
  <c r="F53" i="21" s="1"/>
  <c r="G53" i="21"/>
  <c r="H53" i="21" s="1"/>
  <c r="H7" i="34"/>
  <c r="AB7" i="34" s="1"/>
  <c r="T49" i="34" s="1"/>
  <c r="G49" i="34" s="1"/>
  <c r="E72" i="39"/>
  <c r="F70" i="39"/>
  <c r="H6" i="3"/>
  <c r="E6" i="3" s="1"/>
  <c r="S7" i="1"/>
  <c r="C49" i="21"/>
  <c r="B3" i="21" s="1"/>
  <c r="C48" i="21"/>
  <c r="E33" i="46"/>
  <c r="E29" i="46"/>
  <c r="E68" i="39"/>
  <c r="D16" i="43"/>
  <c r="C16" i="43" s="1"/>
  <c r="C21" i="4"/>
  <c r="O5" i="54" s="1"/>
  <c r="B45" i="63" s="1"/>
  <c r="D10" i="11"/>
  <c r="D16" i="12"/>
  <c r="E6" i="6"/>
  <c r="D45" i="9"/>
  <c r="D46" i="9"/>
  <c r="L38" i="9"/>
  <c r="B14" i="66" s="1"/>
  <c r="B1" i="66" s="1"/>
  <c r="O14" i="1"/>
  <c r="O16" i="1" s="1"/>
  <c r="M16" i="1"/>
  <c r="N16" i="1" s="1"/>
  <c r="C29" i="43" s="1"/>
  <c r="AY504" i="3"/>
  <c r="AY537" i="3"/>
  <c r="AY73" i="3"/>
  <c r="AY144" i="3"/>
  <c r="AY57" i="3"/>
  <c r="AY262" i="3"/>
  <c r="AY349"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74" i="3"/>
  <c r="AY136" i="3"/>
  <c r="AY448" i="3"/>
  <c r="AY46" i="3"/>
  <c r="AY219" i="3"/>
  <c r="AY569" i="3"/>
  <c r="AY148" i="3"/>
  <c r="AY371" i="3"/>
  <c r="BA6" i="3"/>
  <c r="AY283" i="3"/>
  <c r="AY446" i="3"/>
  <c r="AY380" i="3"/>
  <c r="AY211" i="3"/>
  <c r="AY396" i="3"/>
  <c r="AY221" i="3"/>
  <c r="AY245" i="3"/>
  <c r="AY127" i="3"/>
  <c r="AY32" i="3"/>
  <c r="AY498" i="3"/>
  <c r="AY456" i="3"/>
  <c r="AY518" i="3"/>
  <c r="AY112"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3" i="3"/>
  <c r="AY98" i="3"/>
  <c r="AY232" i="3"/>
  <c r="AY392" i="3"/>
  <c r="AY176" i="3"/>
  <c r="AY356" i="3"/>
  <c r="AY44" i="3"/>
  <c r="AY288" i="3"/>
  <c r="AY318" i="3"/>
  <c r="AY147" i="3"/>
  <c r="AY561" i="3"/>
  <c r="AY162" i="3"/>
  <c r="AY22" i="3"/>
  <c r="AY562" i="3"/>
  <c r="AY406" i="3"/>
  <c r="AY303" i="3"/>
  <c r="AY370" i="3"/>
  <c r="AY531" i="3"/>
  <c r="AY388" i="3"/>
  <c r="AY137" i="3"/>
  <c r="AY485" i="3"/>
  <c r="AY565"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68" i="3"/>
  <c r="AY421" i="3"/>
  <c r="AY502" i="3"/>
  <c r="AY331" i="3"/>
  <c r="AY377" i="3"/>
  <c r="AY362" i="3"/>
  <c r="AY110" i="3"/>
  <c r="AY270" i="3"/>
  <c r="BI6" i="3"/>
  <c r="AY205" i="3"/>
  <c r="AY298" i="3"/>
  <c r="AY164" i="3"/>
  <c r="AY403" i="3"/>
  <c r="AY469" i="3"/>
  <c r="AY514" i="3"/>
  <c r="AY177" i="3"/>
  <c r="AY454" i="3"/>
  <c r="AY263" i="3"/>
  <c r="AY499" i="3"/>
  <c r="AY524" i="3"/>
  <c r="AY391" i="3"/>
  <c r="AY231" i="3"/>
  <c r="AY507" i="3"/>
  <c r="AY300" i="3"/>
  <c r="AY487" i="3"/>
  <c r="AY252" i="3"/>
  <c r="AY571" i="3"/>
  <c r="BM6" i="3"/>
  <c r="AY509" i="3"/>
  <c r="AY260" i="3"/>
  <c r="AY554" i="3"/>
  <c r="AY423" i="3"/>
  <c r="AY539" i="3"/>
  <c r="AY228" i="3"/>
  <c r="AY532" i="3"/>
  <c r="AY18" i="3"/>
  <c r="AY564" i="3"/>
  <c r="AY334" i="3"/>
  <c r="AY195" i="3"/>
  <c r="AY475" i="3"/>
  <c r="AY235" i="3"/>
  <c r="AY60" i="3"/>
  <c r="AY440" i="3"/>
  <c r="AY240" i="3"/>
  <c r="AY190" i="3"/>
  <c r="AY108" i="3"/>
  <c r="AY71" i="3"/>
  <c r="AY506" i="3"/>
  <c r="AY223" i="3"/>
  <c r="AY483" i="3"/>
  <c r="AY63" i="3"/>
  <c r="AY559" i="3"/>
  <c r="AY344" i="3"/>
  <c r="AY185" i="3"/>
  <c r="AY328" i="3"/>
  <c r="AY375" i="3"/>
  <c r="AY358" i="3"/>
  <c r="AY447" i="3"/>
  <c r="AY351" i="3"/>
  <c r="AY153" i="3"/>
  <c r="AY90" i="3"/>
  <c r="AY299" i="3"/>
  <c r="AY174" i="3"/>
  <c r="AY78" i="3"/>
  <c r="AY480" i="3"/>
  <c r="AY208" i="3"/>
  <c r="AY199" i="3"/>
  <c r="AY20" i="3"/>
  <c r="AY553" i="3"/>
  <c r="AY503" i="3"/>
  <c r="AY399" i="3"/>
  <c r="AY247" i="3"/>
  <c r="BP6" i="3"/>
  <c r="AY415" i="3"/>
  <c r="AY244" i="3"/>
  <c r="AY107" i="3"/>
  <c r="AY500" i="3"/>
  <c r="AY239" i="3"/>
  <c r="AY431" i="3"/>
  <c r="AY24" i="3"/>
  <c r="AY86" i="3"/>
  <c r="AY493" i="3"/>
  <c r="BH6" i="3"/>
  <c r="AY544" i="3"/>
  <c r="AY465" i="3"/>
  <c r="AY437" i="3"/>
  <c r="AY321" i="3"/>
  <c r="AY282" i="3"/>
  <c r="AY76" i="3"/>
  <c r="AY359" i="3"/>
  <c r="AY197" i="3"/>
  <c r="AY394" i="3"/>
  <c r="AY341" i="3"/>
  <c r="AY254" i="3"/>
  <c r="AY25" i="3"/>
  <c r="BS6" i="3"/>
  <c r="AY337" i="3"/>
  <c r="AY257" i="3"/>
  <c r="AY183" i="3"/>
  <c r="AY172" i="3"/>
  <c r="AY123" i="3"/>
  <c r="AY311" i="3"/>
  <c r="AY374" i="3"/>
  <c r="AY280" i="3"/>
  <c r="AY117" i="3"/>
  <c r="AY28" i="3"/>
  <c r="AY408" i="3"/>
  <c r="AY361" i="3"/>
  <c r="AY291" i="3"/>
  <c r="AY106" i="3"/>
  <c r="AY126" i="3"/>
  <c r="AY47" i="3"/>
  <c r="AY1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13" i="3"/>
  <c r="AY103" i="3"/>
  <c r="AY21" i="3"/>
  <c r="AY52" i="3"/>
  <c r="AY191" i="3"/>
  <c r="AY204" i="3"/>
  <c r="AY92" i="3"/>
  <c r="AY31" i="3"/>
  <c r="AY118" i="3"/>
  <c r="AY234" i="3"/>
  <c r="AY209" i="3"/>
  <c r="AY317" i="3"/>
  <c r="AY416"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213" i="3"/>
  <c r="AY84" i="3"/>
  <c r="AY327"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552" i="3"/>
  <c r="AY407" i="3"/>
  <c r="BN6" i="3"/>
  <c r="AY268" i="3"/>
  <c r="AY27" i="3"/>
  <c r="AY320" i="3"/>
  <c r="AY193" i="3"/>
  <c r="AY314" i="3"/>
  <c r="AY378" i="3"/>
  <c r="AY430" i="3"/>
  <c r="AY14" i="3"/>
  <c r="AY229" i="3"/>
  <c r="AY156" i="3"/>
  <c r="AY369" i="3"/>
  <c r="AY266" i="3"/>
  <c r="AY85" i="3"/>
  <c r="AY424" i="3"/>
  <c r="AY224" i="3"/>
  <c r="AY120" i="3"/>
  <c r="AY111" i="3"/>
  <c r="AY558" i="3"/>
  <c r="AY335" i="3"/>
  <c r="AY227" i="3"/>
  <c r="AY200" i="3"/>
  <c r="AY38" i="3"/>
  <c r="AY445" i="3"/>
  <c r="AY304" i="3"/>
  <c r="AY271" i="3"/>
  <c r="AY114" i="3"/>
  <c r="AY187" i="3"/>
  <c r="AY414" i="3"/>
  <c r="AY427" i="3"/>
  <c r="AY383" i="3"/>
  <c r="AY217" i="3"/>
  <c r="AY45" i="3"/>
  <c r="AY182" i="3"/>
  <c r="AY83"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BL6" i="3"/>
  <c r="AY64" i="3"/>
  <c r="AY154" i="3"/>
  <c r="AY42" i="3"/>
  <c r="AY160" i="3"/>
  <c r="AY515" i="3"/>
  <c r="AY75" i="3"/>
  <c r="AY175" i="3"/>
  <c r="AY277" i="3"/>
  <c r="AY264" i="3"/>
  <c r="AY384" i="3"/>
  <c r="AY467"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35" i="3"/>
  <c r="AY91" i="3"/>
  <c r="AY124" i="3"/>
  <c r="AY449" i="3"/>
  <c r="AY525" i="3"/>
  <c r="AY273" i="3"/>
  <c r="AY428" i="3"/>
  <c r="AY494" i="3"/>
  <c r="AY526" i="3"/>
  <c r="AY566" i="3"/>
  <c r="AY48" i="3"/>
  <c r="AY528" i="3"/>
  <c r="AY99" i="3"/>
  <c r="AY236" i="3"/>
  <c r="AY481" i="3"/>
  <c r="AY516" i="3"/>
  <c r="AY207" i="3"/>
  <c r="BD6" i="3"/>
  <c r="AY510" i="3"/>
  <c r="AY567" i="3"/>
  <c r="AY40" i="3"/>
  <c r="E36" i="36"/>
  <c r="I41" i="36" s="1"/>
  <c r="J41" i="36" s="1"/>
  <c r="R37" i="36"/>
  <c r="I40" i="36"/>
  <c r="J40" i="36" s="1"/>
  <c r="AC7" i="34"/>
  <c r="V49" i="34" s="1"/>
  <c r="I49" i="34" s="1"/>
  <c r="W7" i="34"/>
  <c r="E48" i="33"/>
  <c r="H48" i="35"/>
  <c r="I52" i="37"/>
  <c r="AB7" i="33"/>
  <c r="T48" i="33" s="1"/>
  <c r="G48" i="33" s="1"/>
  <c r="U7" i="33"/>
  <c r="G41" i="36"/>
  <c r="H41" i="36" s="1"/>
  <c r="G40" i="36"/>
  <c r="H40" i="36" s="1"/>
  <c r="E67" i="40"/>
  <c r="F65" i="40"/>
  <c r="AC7" i="33"/>
  <c r="V48" i="33" s="1"/>
  <c r="I48" i="33" s="1"/>
  <c r="W7" i="33"/>
  <c r="F7" i="34"/>
  <c r="E37" i="46"/>
  <c r="C115" i="46"/>
  <c r="D113" i="46" s="1"/>
  <c r="S6" i="46"/>
  <c r="T6" i="46" s="1"/>
  <c r="V6" i="46" s="1"/>
  <c r="S2" i="46"/>
  <c r="T2" i="46" s="1"/>
  <c r="V2" i="46" s="1"/>
  <c r="S7" i="46"/>
  <c r="T7" i="46" s="1"/>
  <c r="V7" i="46" s="1"/>
  <c r="S5" i="46"/>
  <c r="T5" i="46" s="1"/>
  <c r="V5" i="46" s="1"/>
  <c r="S3" i="46"/>
  <c r="T3" i="46" s="1"/>
  <c r="V3" i="46" s="1"/>
  <c r="S4" i="46"/>
  <c r="T4" i="46" s="1"/>
  <c r="V4" i="46" s="1"/>
  <c r="AC12" i="39"/>
  <c r="W12" i="39"/>
  <c r="AB12" i="40"/>
  <c r="U12" i="40"/>
  <c r="S12" i="39"/>
  <c r="AA12" i="39"/>
  <c r="AA12" i="40"/>
  <c r="S12" i="40"/>
  <c r="W12" i="40"/>
  <c r="AC12" i="40"/>
  <c r="AB12" i="39"/>
  <c r="U12" i="39"/>
  <c r="G35" i="46"/>
  <c r="I35" i="46" s="1"/>
  <c r="E35" i="46"/>
  <c r="G38" i="46"/>
  <c r="I38" i="46" s="1"/>
  <c r="G34" i="46"/>
  <c r="I34" i="46" s="1"/>
  <c r="C27" i="46"/>
  <c r="J28" i="44"/>
  <c r="J31" i="44" s="1"/>
  <c r="J26" i="44"/>
  <c r="J20" i="44"/>
  <c r="F21" i="43"/>
  <c r="C23" i="43" s="1"/>
  <c r="D21" i="43" s="1"/>
  <c r="C34" i="44"/>
  <c r="C40" i="44"/>
  <c r="C52" i="15"/>
  <c r="C47" i="15" s="1"/>
  <c r="C10" i="15"/>
  <c r="C5" i="15" s="1"/>
  <c r="J26" i="15"/>
  <c r="J24" i="15"/>
  <c r="J18" i="15"/>
  <c r="F7" i="67"/>
  <c r="F41" i="15"/>
  <c r="C17" i="15"/>
  <c r="L52" i="44"/>
  <c r="M20" i="1" l="1"/>
  <c r="L20" i="1" s="1"/>
  <c r="G52" i="69"/>
  <c r="H52" i="69" s="1"/>
  <c r="G53" i="69"/>
  <c r="H53" i="69" s="1"/>
  <c r="R49" i="69"/>
  <c r="E48" i="69"/>
  <c r="I53" i="69" s="1"/>
  <c r="J53" i="69" s="1"/>
  <c r="I52" i="69"/>
  <c r="J52" i="69" s="1"/>
  <c r="F26" i="44"/>
  <c r="C26" i="44" s="1"/>
  <c r="F26" i="12"/>
  <c r="C27" i="12" s="1"/>
  <c r="D26" i="12" s="1"/>
  <c r="C32" i="12" s="1"/>
  <c r="D30" i="12" s="1"/>
  <c r="K27" i="6"/>
  <c r="M19" i="6"/>
  <c r="I19" i="6" s="1"/>
  <c r="H19" i="6" s="1"/>
  <c r="U7" i="34"/>
  <c r="F72" i="39"/>
  <c r="G70" i="39"/>
  <c r="F68" i="15"/>
  <c r="J29" i="15"/>
  <c r="P14" i="1"/>
  <c r="P16" i="1" s="1"/>
  <c r="C13" i="12" s="1"/>
  <c r="C14" i="12" s="1"/>
  <c r="S16" i="1"/>
  <c r="T13" i="1" s="1"/>
  <c r="B2" i="21"/>
  <c r="R49" i="33"/>
  <c r="C49" i="33" s="1"/>
  <c r="B3" i="33" s="1"/>
  <c r="C26" i="46"/>
  <c r="B2" i="46" s="1"/>
  <c r="C13" i="43"/>
  <c r="L16" i="1"/>
  <c r="D19" i="12"/>
  <c r="C19" i="12" s="1"/>
  <c r="C16" i="12"/>
  <c r="E63" i="40"/>
  <c r="D19" i="6"/>
  <c r="D25" i="6"/>
  <c r="D13" i="6"/>
  <c r="H24" i="6"/>
  <c r="D23" i="6"/>
  <c r="D28" i="6"/>
  <c r="D8" i="6"/>
  <c r="D24" i="6"/>
  <c r="D22" i="6"/>
  <c r="D12" i="6"/>
  <c r="H25" i="6"/>
  <c r="D5" i="6"/>
  <c r="H22" i="6"/>
  <c r="H26" i="6"/>
  <c r="F46" i="9"/>
  <c r="E45" i="9"/>
  <c r="C22" i="4"/>
  <c r="D21" i="6"/>
  <c r="D10" i="6"/>
  <c r="H21" i="6"/>
  <c r="D6" i="6"/>
  <c r="D14" i="6"/>
  <c r="D20" i="6"/>
  <c r="H23" i="6"/>
  <c r="K38" i="9"/>
  <c r="C14" i="66" s="1"/>
  <c r="B2" i="66" s="1"/>
  <c r="D11" i="6"/>
  <c r="H20" i="6"/>
  <c r="D9" i="6"/>
  <c r="D29" i="6"/>
  <c r="D15" i="6"/>
  <c r="D26" i="6"/>
  <c r="E46" i="9"/>
  <c r="F45" i="9"/>
  <c r="C7" i="66"/>
  <c r="C8" i="66"/>
  <c r="D13" i="11"/>
  <c r="C13" i="11" s="1"/>
  <c r="D22" i="12"/>
  <c r="C22" i="12" s="1"/>
  <c r="C20" i="12" s="1"/>
  <c r="I27" i="6"/>
  <c r="S19" i="6"/>
  <c r="S27" i="6" s="1"/>
  <c r="G52" i="33"/>
  <c r="H52" i="33" s="1"/>
  <c r="G53" i="33"/>
  <c r="H53" i="33" s="1"/>
  <c r="E52" i="33"/>
  <c r="F52" i="33" s="1"/>
  <c r="E53" i="33"/>
  <c r="F53" i="33" s="1"/>
  <c r="C37" i="36"/>
  <c r="B3" i="36" s="1"/>
  <c r="B2" i="36" s="1"/>
  <c r="C36" i="36"/>
  <c r="S7" i="34"/>
  <c r="AA7" i="34"/>
  <c r="R49" i="34" s="1"/>
  <c r="I52" i="33"/>
  <c r="J52" i="33" s="1"/>
  <c r="I53" i="33"/>
  <c r="J53" i="33" s="1"/>
  <c r="F67" i="40"/>
  <c r="G65" i="40"/>
  <c r="J52" i="37"/>
  <c r="I48" i="35"/>
  <c r="I53" i="34"/>
  <c r="J53" i="34" s="1"/>
  <c r="E40" i="36"/>
  <c r="F40" i="36" s="1"/>
  <c r="E41" i="36"/>
  <c r="F41" i="36" s="1"/>
  <c r="G53" i="34"/>
  <c r="H53" i="34" s="1"/>
  <c r="G54" i="34"/>
  <c r="H54" i="34" s="1"/>
  <c r="E4" i="67"/>
  <c r="Q69" i="44"/>
  <c r="L58" i="44"/>
  <c r="L61" i="44" s="1"/>
  <c r="L47" i="44" s="1"/>
  <c r="C32" i="15"/>
  <c r="C38" i="15"/>
  <c r="B5" i="11"/>
  <c r="B3" i="11"/>
  <c r="B4" i="11"/>
  <c r="C59" i="15"/>
  <c r="C65" i="15"/>
  <c r="Q49" i="44"/>
  <c r="Q55" i="44" s="1"/>
  <c r="Q67" i="44"/>
  <c r="Q58" i="44"/>
  <c r="E7" i="67"/>
  <c r="B7" i="67"/>
  <c r="E53" i="69" l="1"/>
  <c r="F53" i="69" s="1"/>
  <c r="E52" i="69"/>
  <c r="F52" i="69" s="1"/>
  <c r="C48" i="69"/>
  <c r="C49" i="69"/>
  <c r="B3" i="69" s="1"/>
  <c r="M27" i="6"/>
  <c r="H70" i="39"/>
  <c r="G72" i="39"/>
  <c r="T8" i="1"/>
  <c r="T10" i="1"/>
  <c r="T9" i="1"/>
  <c r="T7" i="1"/>
  <c r="C17" i="12"/>
  <c r="C18" i="12" s="1"/>
  <c r="C23" i="12" s="1"/>
  <c r="T12" i="1"/>
  <c r="T6" i="1"/>
  <c r="T11" i="1"/>
  <c r="C48" i="33"/>
  <c r="R26" i="6"/>
  <c r="B2" i="33"/>
  <c r="E3" i="67"/>
  <c r="H27" i="6"/>
  <c r="R24" i="6"/>
  <c r="D16" i="6"/>
  <c r="R23" i="6"/>
  <c r="D30" i="6"/>
  <c r="D7" i="66"/>
  <c r="D8" i="66"/>
  <c r="R20" i="6"/>
  <c r="R7" i="1" s="1"/>
  <c r="A20" i="64"/>
  <c r="N5" i="54"/>
  <c r="B43" i="63" s="1"/>
  <c r="A6" i="64"/>
  <c r="A20" i="51"/>
  <c r="B15" i="63" s="1"/>
  <c r="A6" i="51"/>
  <c r="B7" i="63" s="1"/>
  <c r="D27" i="6"/>
  <c r="D31" i="6" s="1"/>
  <c r="R19" i="6"/>
  <c r="R6" i="1" s="1"/>
  <c r="R21" i="6"/>
  <c r="R22" i="6"/>
  <c r="R25" i="6"/>
  <c r="C14" i="43"/>
  <c r="C17" i="43"/>
  <c r="H65" i="40"/>
  <c r="G67" i="40"/>
  <c r="R50" i="34"/>
  <c r="E49" i="34"/>
  <c r="J48" i="35"/>
  <c r="K52" i="37"/>
  <c r="B2" i="67"/>
  <c r="D4" i="46"/>
  <c r="B4" i="46"/>
  <c r="B3" i="46"/>
  <c r="Q68" i="44"/>
  <c r="Q77" i="44" s="1"/>
  <c r="Q59" i="44"/>
  <c r="Q64" i="44" s="1"/>
  <c r="C14" i="15"/>
  <c r="C16" i="44"/>
  <c r="F35" i="15"/>
  <c r="M21" i="15"/>
  <c r="C8" i="12" l="1"/>
  <c r="C10" i="12" s="1"/>
  <c r="B2" i="69"/>
  <c r="H72" i="39"/>
  <c r="I70" i="39"/>
  <c r="C17" i="44"/>
  <c r="C20" i="44"/>
  <c r="C15" i="15"/>
  <c r="C18" i="15"/>
  <c r="T16" i="1"/>
  <c r="C34" i="15"/>
  <c r="F62" i="15"/>
  <c r="C61" i="15" s="1"/>
  <c r="J20" i="15"/>
  <c r="R16" i="1"/>
  <c r="C18" i="43"/>
  <c r="C19" i="43" s="1"/>
  <c r="C25" i="43" s="1"/>
  <c r="C24" i="43" s="1"/>
  <c r="R27" i="6"/>
  <c r="I6" i="6"/>
  <c r="I5" i="6"/>
  <c r="C50" i="34"/>
  <c r="B3" i="34" s="1"/>
  <c r="B2" i="34" s="1"/>
  <c r="C49" i="34"/>
  <c r="H67" i="40"/>
  <c r="I65" i="40"/>
  <c r="L52" i="37"/>
  <c r="K48" i="35"/>
  <c r="E54" i="34"/>
  <c r="F54" i="34" s="1"/>
  <c r="E53" i="34"/>
  <c r="F53" i="34" s="1"/>
  <c r="I54" i="34"/>
  <c r="J54" i="34" s="1"/>
  <c r="B3" i="67"/>
  <c r="B4" i="67"/>
  <c r="I72" i="39" l="1"/>
  <c r="J70" i="39"/>
  <c r="C21" i="44"/>
  <c r="C22" i="44" s="1"/>
  <c r="C28" i="44" s="1"/>
  <c r="C19" i="15"/>
  <c r="C20" i="15" s="1"/>
  <c r="C26" i="15" s="1"/>
  <c r="C22" i="43"/>
  <c r="C21" i="43" s="1"/>
  <c r="C28" i="43" s="1"/>
  <c r="C30" i="43" s="1"/>
  <c r="C32" i="43" s="1"/>
  <c r="B2" i="43" s="1"/>
  <c r="B3" i="43" s="1"/>
  <c r="C33" i="15"/>
  <c r="C31" i="15" s="1"/>
  <c r="I67" i="40"/>
  <c r="J65" i="40"/>
  <c r="L48" i="35"/>
  <c r="M52" i="37"/>
  <c r="J72" i="39" l="1"/>
  <c r="K70" i="39"/>
  <c r="C25" i="44"/>
  <c r="C31" i="44" s="1"/>
  <c r="Q51" i="44" s="1"/>
  <c r="C23" i="15"/>
  <c r="C29" i="15" s="1"/>
  <c r="B5" i="43"/>
  <c r="B4" i="43"/>
  <c r="C60" i="15"/>
  <c r="C58" i="15" s="1"/>
  <c r="J67" i="40"/>
  <c r="K65" i="40"/>
  <c r="N52" i="37"/>
  <c r="M48" i="35"/>
  <c r="K72" i="39" l="1"/>
  <c r="L70" i="39"/>
  <c r="J21" i="44"/>
  <c r="J19" i="44" s="1"/>
  <c r="J16" i="44"/>
  <c r="J15" i="44" s="1"/>
  <c r="J25" i="44" s="1"/>
  <c r="C35" i="44"/>
  <c r="C33" i="44" s="1"/>
  <c r="C15" i="44"/>
  <c r="C39" i="44" s="1"/>
  <c r="C38" i="44"/>
  <c r="J59" i="15"/>
  <c r="J60" i="15" s="1"/>
  <c r="Q49" i="15" s="1"/>
  <c r="C36" i="15"/>
  <c r="J19" i="15"/>
  <c r="J17" i="15" s="1"/>
  <c r="C13" i="15"/>
  <c r="C56" i="15"/>
  <c r="C63" i="15" s="1"/>
  <c r="Q50" i="15"/>
  <c r="J14" i="15"/>
  <c r="L57" i="15"/>
  <c r="L60" i="15" s="1"/>
  <c r="N48" i="35"/>
  <c r="O52" i="37"/>
  <c r="J7" i="37" s="1"/>
  <c r="F7" i="37"/>
  <c r="H7" i="37"/>
  <c r="L65" i="40"/>
  <c r="K67" i="40"/>
  <c r="M70" i="39" l="1"/>
  <c r="L72" i="39"/>
  <c r="C32" i="44"/>
  <c r="C42" i="44" s="1"/>
  <c r="Q71" i="44" s="1"/>
  <c r="J24" i="44"/>
  <c r="J18" i="44" s="1"/>
  <c r="J27" i="44" s="1"/>
  <c r="C43" i="44"/>
  <c r="Q72" i="44"/>
  <c r="J22" i="15"/>
  <c r="J13" i="15"/>
  <c r="J23" i="15" s="1"/>
  <c r="J35" i="15"/>
  <c r="Q71" i="15"/>
  <c r="C55" i="15"/>
  <c r="C64" i="15" s="1"/>
  <c r="C57" i="15" s="1"/>
  <c r="C66" i="15" s="1"/>
  <c r="C67" i="15" s="1"/>
  <c r="C70" i="15" s="1"/>
  <c r="C37" i="15"/>
  <c r="C30" i="15" s="1"/>
  <c r="C39" i="15" s="1"/>
  <c r="C44" i="44"/>
  <c r="C45" i="44" s="1"/>
  <c r="B2" i="44" s="1"/>
  <c r="B5" i="44" s="1"/>
  <c r="L46" i="15"/>
  <c r="Q58" i="15"/>
  <c r="Q67" i="15"/>
  <c r="L67" i="40"/>
  <c r="M65" i="40"/>
  <c r="AA7" i="37"/>
  <c r="R42" i="37" s="1"/>
  <c r="S7" i="37"/>
  <c r="U7" i="37"/>
  <c r="AB7" i="37"/>
  <c r="T42" i="37" s="1"/>
  <c r="G42" i="37" s="1"/>
  <c r="W7" i="37"/>
  <c r="AC7" i="37"/>
  <c r="V42" i="37" s="1"/>
  <c r="I42" i="37" s="1"/>
  <c r="O48" i="35"/>
  <c r="F7" i="35" s="1"/>
  <c r="H7" i="35"/>
  <c r="L51" i="15"/>
  <c r="J7" i="35" l="1"/>
  <c r="AC7" i="35" s="1"/>
  <c r="V38" i="35" s="1"/>
  <c r="I38" i="35" s="1"/>
  <c r="M72" i="39"/>
  <c r="N70" i="39"/>
  <c r="N72" i="39" s="1"/>
  <c r="J9" i="39" s="1"/>
  <c r="Q70" i="44"/>
  <c r="J16" i="15"/>
  <c r="J25" i="15" s="1"/>
  <c r="Q68" i="15"/>
  <c r="J39" i="15"/>
  <c r="J40" i="15" s="1"/>
  <c r="C40" i="15"/>
  <c r="Q70" i="15"/>
  <c r="Q69" i="15" s="1"/>
  <c r="B4" i="44"/>
  <c r="B3" i="44"/>
  <c r="AB7" i="35"/>
  <c r="T38" i="35" s="1"/>
  <c r="G38" i="35" s="1"/>
  <c r="U7" i="35"/>
  <c r="S7" i="35"/>
  <c r="AA7" i="35"/>
  <c r="R38" i="35" s="1"/>
  <c r="N65" i="40"/>
  <c r="N67" i="40" s="1"/>
  <c r="M67" i="40"/>
  <c r="W7" i="35"/>
  <c r="I46" i="37"/>
  <c r="J46" i="37" s="1"/>
  <c r="G46" i="37"/>
  <c r="H46" i="37" s="1"/>
  <c r="G47" i="37"/>
  <c r="H47" i="37" s="1"/>
  <c r="R43" i="37"/>
  <c r="E42" i="37"/>
  <c r="H9" i="39" l="1"/>
  <c r="U9" i="39" s="1"/>
  <c r="F9" i="39"/>
  <c r="AA9" i="39" s="1"/>
  <c r="R49" i="39" s="1"/>
  <c r="AC9" i="39"/>
  <c r="V49" i="39" s="1"/>
  <c r="I49" i="39" s="1"/>
  <c r="W9" i="39"/>
  <c r="Q48" i="15"/>
  <c r="Q54" i="15" s="1"/>
  <c r="Q66" i="15"/>
  <c r="Q76" i="15" s="1"/>
  <c r="C43" i="15"/>
  <c r="Q57" i="15"/>
  <c r="Q63" i="15" s="1"/>
  <c r="J42" i="15"/>
  <c r="J43" i="15" s="1"/>
  <c r="C46" i="15"/>
  <c r="B2" i="15"/>
  <c r="E46" i="37"/>
  <c r="F46" i="37" s="1"/>
  <c r="E47" i="37"/>
  <c r="F47" i="37" s="1"/>
  <c r="I47" i="37"/>
  <c r="J47" i="37" s="1"/>
  <c r="E38" i="35"/>
  <c r="I43" i="35" s="1"/>
  <c r="J43" i="35" s="1"/>
  <c r="R39" i="35"/>
  <c r="C43" i="37"/>
  <c r="B3" i="37" s="1"/>
  <c r="B2" i="37" s="1"/>
  <c r="C42" i="37"/>
  <c r="I42" i="35"/>
  <c r="J42" i="35" s="1"/>
  <c r="H9" i="40"/>
  <c r="J9" i="40"/>
  <c r="F9" i="40"/>
  <c r="G43" i="35"/>
  <c r="H43" i="35" s="1"/>
  <c r="G42" i="35"/>
  <c r="H42" i="35" s="1"/>
  <c r="S9" i="39" l="1"/>
  <c r="AB9" i="39"/>
  <c r="T49" i="39" s="1"/>
  <c r="G49" i="39" s="1"/>
  <c r="G54" i="39" s="1"/>
  <c r="H54" i="39" s="1"/>
  <c r="I53" i="39"/>
  <c r="J53" i="39" s="1"/>
  <c r="E49" i="39"/>
  <c r="D10" i="12"/>
  <c r="C6" i="12" s="1"/>
  <c r="B3" i="15"/>
  <c r="D8" i="12" s="1"/>
  <c r="S9" i="40"/>
  <c r="AA9" i="40"/>
  <c r="R44" i="40" s="1"/>
  <c r="U9" i="40"/>
  <c r="AB9" i="40"/>
  <c r="T44" i="40" s="1"/>
  <c r="G44" i="40" s="1"/>
  <c r="E43" i="35"/>
  <c r="F43" i="35" s="1"/>
  <c r="E42" i="35"/>
  <c r="F42" i="35" s="1"/>
  <c r="W9" i="40"/>
  <c r="AC9" i="40"/>
  <c r="V44" i="40" s="1"/>
  <c r="I44" i="40" s="1"/>
  <c r="C38" i="35"/>
  <c r="C39" i="35"/>
  <c r="B3" i="35" s="1"/>
  <c r="B2" i="35" s="1"/>
  <c r="R50" i="39" l="1"/>
  <c r="C49" i="39" s="1"/>
  <c r="G53" i="39"/>
  <c r="H53" i="39" s="1"/>
  <c r="E54" i="39"/>
  <c r="F54" i="39" s="1"/>
  <c r="E53" i="39"/>
  <c r="F53" i="39" s="1"/>
  <c r="I54" i="39"/>
  <c r="J54" i="39" s="1"/>
  <c r="C24" i="12"/>
  <c r="C29" i="12"/>
  <c r="G49" i="40"/>
  <c r="H49" i="40" s="1"/>
  <c r="G48" i="40"/>
  <c r="H48" i="40" s="1"/>
  <c r="E44" i="40"/>
  <c r="I49" i="40" s="1"/>
  <c r="J49" i="40" s="1"/>
  <c r="R45" i="40"/>
  <c r="I48" i="40"/>
  <c r="J48" i="40" s="1"/>
  <c r="C50" i="39" l="1"/>
  <c r="B65" i="39" s="1"/>
  <c r="F65" i="39" s="1"/>
  <c r="C28" i="12"/>
  <c r="C26" i="12" s="1"/>
  <c r="C31" i="12" s="1"/>
  <c r="C30" i="12" s="1"/>
  <c r="C35" i="12"/>
  <c r="C33" i="12" s="1"/>
  <c r="C44" i="40"/>
  <c r="C45" i="40"/>
  <c r="E48" i="40"/>
  <c r="F48" i="40" s="1"/>
  <c r="E49" i="40"/>
  <c r="F49" i="40" s="1"/>
  <c r="B61" i="39" l="1"/>
  <c r="F61" i="39" s="1"/>
  <c r="B62" i="39"/>
  <c r="F62" i="39" s="1"/>
  <c r="B67" i="39"/>
  <c r="F67" i="39" s="1"/>
  <c r="B66" i="39"/>
  <c r="F66" i="39" s="1"/>
  <c r="B60" i="39"/>
  <c r="F60" i="39" s="1"/>
  <c r="B59" i="39"/>
  <c r="F59" i="39" s="1"/>
  <c r="B58" i="39"/>
  <c r="F58" i="39" s="1"/>
  <c r="B64" i="39"/>
  <c r="F64" i="39" s="1"/>
  <c r="B63" i="39"/>
  <c r="F63" i="39" s="1"/>
  <c r="C36" i="12"/>
  <c r="B2" i="12" s="1"/>
  <c r="B3" i="12"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19" i="9"/>
  <c r="C20" i="9"/>
  <c r="F68" i="39" l="1"/>
  <c r="B2" i="39" s="1"/>
  <c r="B5" i="39" s="1"/>
  <c r="L43" i="9"/>
  <c r="B5" i="12"/>
  <c r="B4" i="12"/>
  <c r="B5" i="40"/>
  <c r="B4" i="40"/>
  <c r="B3" i="40"/>
  <c r="C21" i="9"/>
  <c r="D19" i="9"/>
  <c r="B3" i="39" l="1"/>
  <c r="B4" i="39"/>
  <c r="L44" i="9"/>
  <c r="G19" i="9"/>
  <c r="G22" i="9" s="1"/>
  <c r="D22" i="9"/>
  <c r="D20" i="9"/>
  <c r="D21" i="9"/>
  <c r="G20" i="9" l="1"/>
  <c r="G21" i="9"/>
  <c r="N43" i="9"/>
  <c r="C32" i="9"/>
  <c r="C35" i="9" s="1"/>
  <c r="F42" i="9" s="1"/>
  <c r="C33" i="9" l="1"/>
  <c r="N38" i="9" s="1"/>
  <c r="K28" i="9" s="1"/>
  <c r="C34" i="9"/>
  <c r="M38" i="9" s="1"/>
  <c r="K27" i="9" s="1"/>
  <c r="C42" i="9"/>
  <c r="C44" i="9" s="1"/>
  <c r="G14" i="66" s="1"/>
  <c r="B6" i="66" s="1"/>
  <c r="O43" i="9"/>
  <c r="O38" i="9"/>
  <c r="K26" i="9" s="1"/>
  <c r="E42" i="9"/>
  <c r="P5" i="54" s="1"/>
  <c r="B46" i="63" s="1"/>
  <c r="R5" i="54"/>
  <c r="B48" i="63" s="1"/>
  <c r="D14" i="66" l="1"/>
  <c r="N68" i="9"/>
  <c r="D63" i="9"/>
  <c r="C96" i="9" s="1"/>
  <c r="C91" i="9" s="1"/>
  <c r="D42" i="9"/>
  <c r="Q5" i="54" s="1"/>
  <c r="B47" i="63" s="1"/>
  <c r="D44" i="9"/>
  <c r="E44" i="9"/>
  <c r="O39" i="9"/>
  <c r="R6" i="54" s="1"/>
  <c r="B50" i="63" s="1"/>
  <c r="K25" i="9"/>
  <c r="F44" i="9"/>
  <c r="N69" i="9"/>
  <c r="M86" i="9" s="1"/>
  <c r="N86" i="9" s="1"/>
  <c r="C6" i="66"/>
  <c r="D6" i="66"/>
  <c r="K29" i="9"/>
  <c r="K30" i="9" s="1"/>
  <c r="F14" i="66" l="1"/>
  <c r="E14" i="66"/>
  <c r="D77" i="9"/>
  <c r="N75" i="9" s="1"/>
  <c r="D71" i="9"/>
  <c r="D66" i="9" s="1"/>
  <c r="N72" i="9" s="1"/>
  <c r="C111" i="9"/>
  <c r="C104" i="9" s="1"/>
  <c r="C103" i="9"/>
  <c r="D70" i="9"/>
  <c r="C90" i="9"/>
  <c r="C97" i="9" s="1"/>
  <c r="C98" i="9" s="1"/>
  <c r="E98" i="9" s="1"/>
  <c r="E99" i="9" s="1"/>
  <c r="C82" i="9"/>
  <c r="C81" i="9" s="1"/>
  <c r="C85" i="9" s="1"/>
  <c r="C86" i="9" s="1"/>
  <c r="D72" i="9" s="1"/>
  <c r="M87" i="9"/>
  <c r="N87" i="9" s="1"/>
  <c r="M83" i="9"/>
  <c r="N83" i="9" s="1"/>
  <c r="M84" i="9"/>
  <c r="N84" i="9" s="1"/>
  <c r="M85" i="9"/>
  <c r="N85" i="9" s="1"/>
  <c r="M88" i="9"/>
  <c r="N88" i="9" s="1"/>
  <c r="C113" i="9" l="1"/>
  <c r="C114" i="9" s="1"/>
  <c r="E114" i="9" s="1"/>
  <c r="E115" i="9" s="1"/>
  <c r="N89" i="9"/>
  <c r="O89" i="9" s="1"/>
  <c r="C99" i="9"/>
  <c r="C115" i="9" l="1"/>
  <c r="D76" i="9" s="1"/>
  <c r="D74" i="9" s="1"/>
  <c r="N74" i="9" s="1"/>
  <c r="O77" i="9" s="1"/>
  <c r="O78" i="9" s="1"/>
  <c r="Q77" i="9" l="1"/>
  <c r="O79" i="9"/>
  <c r="O81" i="9" s="1"/>
  <c r="O80" i="9" l="1"/>
  <c r="D17" i="66" l="1"/>
  <c r="F23" i="66" l="1"/>
  <c r="E23" i="66"/>
  <c r="F17" i="66"/>
  <c r="E17"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<sst xmlns="http://schemas.openxmlformats.org/spreadsheetml/2006/main" count="7742" uniqueCount="3353">
  <si>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</si>
  <si>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</si>
  <si>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</si>
  <si>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</si>
  <si>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</si>
  <si>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</si>
  <si>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</si>
  <si>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</si>
  <si>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</si>
  <si>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</si>
  <si>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</si>
  <si>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</si>
  <si>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</si>
  <si>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</si>
  <si>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</si>
  <si>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</si>
  <si>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</si>
  <si>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</si>
  <si>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</si>
  <si>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</si>
  <si>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</si>
  <si>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</si>
  <si>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</si>
  <si>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</si>
  <si>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</si>
  <si>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</si>
  <si>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</si>
  <si>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</si>
  <si>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</si>
  <si>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</si>
  <si>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</si>
  <si>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</si>
  <si>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</si>
  <si>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</si>
  <si>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</si>
  <si>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</si>
  <si>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</si>
  <si>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</si>
  <si>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</si>
  <si>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</si>
  <si>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</si>
  <si>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</si>
  <si>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</si>
  <si>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</si>
  <si>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</si>
  <si>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</si>
  <si>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</si>
  <si>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</si>
  <si>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</si>
  <si>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</si>
  <si>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</si>
  <si>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</si>
  <si>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</si>
  <si>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</si>
  <si>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</si>
  <si>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</si>
  <si>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</si>
  <si>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</si>
  <si>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</si>
  <si>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</si>
  <si>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</si>
  <si>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</si>
  <si>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</si>
  <si>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</si>
  <si>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</si>
  <si>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</si>
  <si>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</si>
  <si>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</si>
  <si>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</si>
  <si>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</si>
  <si>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</si>
  <si>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</si>
  <si>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</si>
  <si>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</si>
  <si>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</si>
  <si>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</si>
  <si>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</si>
  <si>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</si>
  <si>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</si>
  <si>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</si>
  <si>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</si>
  <si>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</si>
  <si>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</si>
  <si>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</si>
  <si>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</si>
  <si>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</si>
  <si>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</si>
  <si>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</si>
  <si>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</si>
  <si>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</si>
  <si>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</si>
  <si>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</si>
  <si>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</si>
  <si>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</si>
  <si>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</si>
  <si>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</si>
  <si>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</si>
  <si>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</si>
  <si>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</si>
  <si>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</si>
  <si>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</si>
  <si>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</si>
  <si>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</si>
  <si>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</si>
  <si>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</si>
  <si>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</si>
  <si>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</si>
  <si>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</si>
  <si>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</si>
  <si>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</si>
  <si>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</si>
  <si>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</si>
  <si>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</si>
  <si>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</si>
  <si>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</si>
  <si>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</si>
  <si>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</si>
  <si>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</si>
  <si>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</si>
  <si>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</si>
  <si>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</si>
  <si>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</si>
  <si>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</si>
  <si>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</si>
  <si>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</si>
  <si>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</si>
  <si>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</si>
  <si>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</si>
  <si>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</si>
  <si>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</si>
  <si>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</si>
  <si>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</si>
  <si>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</si>
  <si>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</si>
  <si>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</si>
  <si>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</si>
  <si>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</si>
  <si>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</si>
  <si>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</si>
  <si>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</si>
  <si>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</si>
  <si>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</si>
  <si>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</si>
  <si>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</si>
  <si>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</si>
  <si>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</si>
  <si>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</si>
  <si>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</si>
  <si>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</si>
  <si>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</si>
  <si>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</si>
  <si>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</si>
  <si>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</si>
  <si>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</si>
  <si>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</si>
  <si>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</si>
  <si>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</si>
  <si>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</si>
  <si>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</si>
  <si>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</si>
  <si>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</si>
  <si>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</si>
  <si>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</si>
  <si>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</si>
  <si>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</si>
  <si>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</si>
  <si>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</si>
  <si>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</si>
  <si>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</si>
  <si>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</si>
  <si>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</si>
  <si>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</si>
  <si>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</si>
  <si>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</si>
  <si>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</si>
  <si>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</si>
  <si>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</si>
  <si>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</si>
  <si>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</si>
  <si>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</si>
  <si>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</si>
  <si>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</si>
  <si>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</si>
  <si>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</si>
  <si>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</si>
  <si>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</si>
  <si>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</si>
  <si>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</si>
  <si>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</si>
  <si>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</si>
  <si>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</si>
  <si>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</si>
  <si>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</si>
  <si>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</si>
  <si>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</si>
  <si>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</si>
  <si>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</si>
  <si>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</si>
  <si>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</si>
  <si>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</si>
  <si>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</si>
  <si>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</si>
  <si>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</si>
  <si>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</si>
  <si>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</si>
  <si>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</si>
  <si>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</si>
  <si>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</si>
  <si>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</si>
  <si>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</si>
  <si>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</si>
  <si>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</si>
  <si>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</si>
  <si>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</si>
  <si>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</si>
  <si>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</si>
  <si>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</si>
  <si>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</si>
  <si>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</si>
  <si>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</si>
  <si>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</si>
  <si>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</si>
  <si>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</si>
  <si>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</si>
  <si>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</si>
  <si>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</si>
  <si>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</si>
  <si>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</si>
  <si>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</si>
  <si>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</si>
  <si>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</si>
  <si>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</si>
  <si>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</si>
  <si>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</si>
  <si>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</si>
  <si>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</si>
  <si>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</si>
  <si>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</si>
  <si>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</si>
  <si>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</si>
  <si>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</si>
  <si>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</si>
  <si>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</si>
  <si>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</si>
  <si>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</si>
  <si>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</si>
  <si>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</si>
  <si>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</si>
  <si>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</si>
  <si>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</si>
  <si>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</si>
  <si>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</si>
  <si>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</si>
  <si>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</si>
  <si>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</si>
  <si>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</si>
  <si>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</si>
  <si>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</si>
  <si>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</si>
  <si>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</si>
  <si>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</si>
  <si>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</si>
  <si>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</si>
  <si>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</si>
  <si>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</si>
  <si>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</si>
  <si>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</si>
  <si>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</si>
  <si>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</si>
  <si>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</si>
  <si>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</si>
  <si>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</si>
  <si>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</si>
  <si>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</si>
  <si>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</si>
  <si>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</si>
  <si>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</si>
  <si>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</si>
  <si>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</si>
  <si>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</si>
  <si>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</si>
  <si>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</si>
  <si>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</si>
  <si>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</si>
  <si>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</si>
  <si>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</si>
  <si>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</si>
  <si>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</si>
  <si>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</si>
  <si>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</si>
  <si>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</si>
  <si>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</si>
  <si>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</si>
  <si>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</si>
  <si>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</si>
  <si>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</si>
  <si>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</si>
  <si>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</si>
  <si>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</si>
  <si>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</si>
  <si>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</si>
  <si>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</si>
  <si>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</si>
  <si>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</si>
  <si>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</si>
  <si>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</si>
  <si>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</si>
  <si>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</si>
  <si>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</si>
  <si>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</si>
  <si>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</si>
  <si>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</si>
  <si>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</si>
  <si>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</si>
  <si>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</si>
  <si>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</si>
  <si>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</si>
  <si>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</si>
  <si>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</si>
  <si>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</si>
  <si>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</si>
  <si>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</si>
  <si>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</si>
  <si>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</si>
  <si>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</si>
  <si>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</si>
  <si>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</si>
  <si>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</si>
  <si>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</si>
  <si>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</si>
  <si>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</si>
  <si>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</si>
  <si>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</si>
  <si>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</si>
  <si>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</si>
  <si>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</si>
  <si>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</si>
  <si>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</si>
  <si>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</si>
  <si>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</si>
  <si>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</si>
  <si>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</si>
  <si>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</si>
  <si>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</si>
  <si>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</si>
  <si>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</si>
  <si>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</si>
  <si>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</si>
  <si>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</si>
  <si>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</si>
  <si>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</si>
  <si>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</si>
  <si>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</si>
  <si>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</si>
  <si>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</si>
  <si>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</si>
  <si>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</si>
  <si>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</si>
  <si>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</si>
  <si>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</si>
  <si>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</si>
  <si>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</si>
  <si>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</si>
  <si>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</si>
  <si>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</si>
  <si>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</si>
  <si>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</si>
  <si>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</si>
  <si>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</si>
  <si>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</si>
  <si>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</si>
  <si>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</si>
  <si>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</si>
  <si>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</si>
  <si>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</si>
  <si>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</si>
  <si>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</si>
  <si>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</si>
  <si>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</si>
  <si>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</si>
  <si>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</si>
  <si>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</si>
  <si>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</si>
  <si>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</si>
  <si>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</si>
  <si>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</si>
  <si>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</si>
  <si>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</si>
  <si>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</si>
  <si>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</si>
  <si>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</si>
  <si>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</si>
  <si>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</si>
  <si>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</si>
  <si>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</si>
  <si>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</si>
  <si>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</si>
  <si>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</si>
  <si>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</si>
  <si>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</si>
  <si>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</si>
  <si>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</si>
  <si>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</si>
  <si>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</si>
  <si>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</si>
  <si>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</si>
  <si>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</si>
  <si>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</si>
  <si>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</si>
  <si>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</si>
  <si>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</si>
  <si>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</si>
  <si>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</si>
  <si>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</si>
  <si>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</si>
  <si>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</si>
  <si>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</si>
  <si>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</si>
  <si>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</si>
  <si>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</si>
  <si>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</si>
  <si>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</si>
  <si>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</si>
  <si>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</si>
  <si>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</si>
  <si>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</si>
  <si>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</si>
  <si>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</si>
  <si>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</si>
  <si>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</si>
  <si>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</si>
  <si>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</si>
  <si>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</si>
  <si>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</si>
  <si>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</si>
  <si>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</si>
  <si>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</si>
  <si>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</si>
  <si>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</si>
  <si>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</si>
  <si>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</si>
  <si>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</si>
  <si>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</si>
  <si>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</si>
  <si>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</si>
  <si>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</si>
  <si>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</si>
  <si>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</si>
  <si>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</si>
  <si>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</si>
  <si>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</si>
  <si>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</si>
  <si>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</si>
  <si>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</si>
  <si>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</si>
  <si>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</si>
  <si>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</si>
  <si>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</si>
  <si>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</si>
  <si>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</si>
  <si>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</si>
  <si>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</si>
  <si>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</si>
  <si>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</si>
  <si>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</si>
  <si>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</si>
  <si>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</si>
  <si>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</si>
  <si>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</si>
  <si>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</si>
  <si>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</si>
  <si>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</si>
  <si>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</si>
  <si>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</si>
  <si>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</si>
  <si>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</si>
  <si>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</si>
  <si>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</si>
  <si>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</si>
  <si>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</si>
  <si>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</si>
  <si>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</si>
  <si>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</si>
  <si>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</si>
  <si>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</si>
  <si>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</si>
  <si>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</si>
  <si>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</si>
  <si>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</si>
  <si>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</si>
  <si>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</si>
  <si>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</si>
  <si>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</si>
  <si>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</si>
  <si>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</si>
  <si>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</si>
  <si>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</si>
  <si>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</si>
  <si>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</si>
  <si>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</si>
  <si>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</si>
  <si>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</si>
  <si>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</si>
  <si>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</si>
  <si>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</si>
  <si>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</si>
  <si>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</si>
  <si>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</si>
  <si>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</si>
  <si>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</si>
  <si>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</si>
  <si>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</si>
  <si>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</si>
  <si>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</si>
  <si>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</si>
  <si>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</si>
  <si>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</si>
  <si>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</si>
  <si>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</si>
  <si>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</si>
  <si>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</si>
  <si>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</si>
  <si>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</si>
  <si>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</si>
  <si>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</si>
  <si>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</si>
  <si>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</si>
  <si>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</si>
  <si>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</si>
  <si>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</si>
  <si>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</si>
  <si>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</si>
  <si>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</si>
  <si>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</si>
  <si>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</si>
  <si>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</si>
  <si>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</si>
  <si>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</si>
  <si>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</si>
  <si>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</si>
  <si>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</si>
  <si>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</si>
  <si>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</si>
  <si>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</si>
  <si>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</si>
  <si>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</si>
  <si>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</si>
  <si>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</si>
  <si>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</si>
  <si>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</si>
  <si>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</si>
  <si>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</si>
  <si>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</si>
  <si>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</si>
  <si>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</si>
  <si>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</si>
  <si>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</si>
  <si>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</si>
  <si>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</si>
  <si>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</si>
  <si>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</si>
  <si>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</si>
  <si>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</si>
  <si>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</si>
  <si>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</si>
  <si>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</si>
  <si>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</si>
  <si>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</si>
  <si>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</si>
  <si>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</si>
  <si>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</si>
  <si>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</si>
  <si>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</si>
  <si>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</si>
  <si>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</si>
  <si>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</si>
  <si>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</si>
  <si>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</si>
  <si>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</si>
  <si>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</si>
  <si>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</si>
  <si>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</si>
  <si>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</si>
  <si>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</si>
  <si>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</si>
  <si>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</si>
  <si>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</si>
  <si>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</si>
  <si>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</si>
  <si>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</si>
  <si>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</si>
  <si>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</si>
  <si>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</si>
  <si>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</si>
  <si>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</si>
  <si>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</si>
  <si>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</si>
  <si>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</si>
  <si>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</si>
  <si>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</si>
  <si>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</si>
  <si>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</si>
  <si>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</si>
  <si>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</si>
  <si>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</si>
  <si>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</si>
  <si>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</si>
  <si>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</si>
  <si>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</si>
  <si>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</si>
  <si>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</si>
  <si>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</si>
  <si>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</si>
  <si>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</si>
  <si>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</si>
  <si>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</si>
  <si>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</si>
  <si>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</si>
  <si>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</si>
  <si>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</si>
  <si>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</si>
  <si>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</si>
  <si>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</si>
  <si>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</si>
  <si>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</si>
  <si>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</si>
  <si>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</si>
  <si>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</si>
  <si>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</si>
  <si>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</si>
  <si>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</si>
  <si>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</si>
  <si>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</si>
  <si>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</si>
  <si>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</si>
  <si>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</si>
  <si>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</si>
  <si>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</si>
  <si>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</si>
  <si>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</si>
  <si>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</si>
  <si>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</si>
  <si>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</si>
  <si>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</si>
  <si>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</si>
  <si>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</si>
  <si>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</si>
  <si>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</si>
  <si>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</si>
  <si>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</si>
  <si>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</si>
  <si>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</si>
  <si>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</si>
  <si>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</si>
  <si>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</si>
  <si>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</si>
  <si>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</si>
  <si>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</si>
  <si>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</si>
  <si>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</si>
  <si>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</si>
  <si>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</si>
  <si>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</si>
  <si>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</si>
  <si>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</si>
  <si>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</si>
  <si>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</si>
  <si>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</si>
  <si>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</si>
  <si>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</si>
  <si>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</si>
  <si>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</si>
  <si>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</si>
  <si>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</si>
  <si>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</si>
  <si>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</si>
  <si>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</si>
  <si>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</si>
  <si>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</si>
  <si>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</si>
  <si>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</si>
  <si>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</si>
  <si>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</si>
  <si>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</si>
  <si>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</si>
  <si>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</si>
  <si>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</si>
  <si>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</si>
  <si>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</si>
  <si>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</si>
  <si>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</si>
  <si>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</si>
  <si>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</si>
  <si>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</si>
  <si>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</si>
  <si>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</si>
  <si>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</si>
  <si>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</si>
  <si>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</si>
  <si>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</si>
  <si>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</si>
  <si>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</si>
  <si>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</si>
  <si>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</si>
  <si>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</si>
  <si>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</si>
  <si>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</si>
  <si>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</si>
  <si>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</si>
  <si>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</si>
  <si>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</si>
  <si>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</si>
  <si>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</si>
  <si>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</si>
  <si>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</si>
  <si>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</si>
  <si>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</si>
  <si>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</si>
  <si>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</si>
  <si>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</si>
  <si>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</si>
  <si>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</si>
  <si>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</si>
  <si>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</si>
  <si>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</si>
  <si>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</si>
  <si>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</si>
  <si>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</si>
  <si>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</si>
  <si>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</si>
  <si>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</si>
  <si>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</si>
  <si>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</si>
  <si>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</si>
  <si>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</si>
  <si>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</si>
  <si>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</si>
  <si>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</si>
  <si>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</si>
  <si>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</si>
  <si>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</si>
  <si>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</si>
  <si>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</si>
  <si>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</si>
  <si>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</si>
  <si>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</si>
  <si>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</si>
  <si>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</si>
  <si>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</si>
  <si>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</si>
  <si>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</si>
  <si>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</si>
  <si>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</si>
  <si>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</si>
  <si>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</si>
  <si>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</si>
  <si>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</si>
  <si>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</si>
  <si>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</si>
  <si>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</si>
  <si>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</si>
  <si>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</si>
  <si>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</si>
  <si>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</si>
  <si>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</si>
  <si>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</si>
  <si>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</si>
  <si>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</si>
  <si>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</si>
  <si>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</si>
  <si>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</si>
  <si>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</si>
  <si>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</si>
  <si>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</si>
  <si>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</si>
  <si>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</si>
  <si>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</si>
  <si>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</si>
  <si>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</si>
  <si>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</si>
  <si>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</si>
  <si>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</si>
  <si>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</si>
  <si>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</si>
  <si>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</si>
  <si>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</si>
  <si>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</si>
  <si>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</si>
  <si>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</si>
  <si>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</si>
  <si>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</si>
  <si>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</si>
  <si>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</si>
  <si>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</si>
  <si>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</si>
  <si>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</si>
  <si>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</si>
  <si>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</si>
  <si>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</si>
  <si>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</si>
  <si>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</si>
  <si>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</si>
  <si>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</si>
  <si>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</si>
  <si>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</si>
  <si>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</si>
  <si>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</si>
  <si>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</si>
  <si>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</si>
  <si>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</si>
  <si>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</si>
  <si>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</si>
  <si>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</si>
  <si>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</si>
  <si>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</si>
  <si>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</si>
  <si>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</si>
  <si>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</si>
  <si>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</si>
  <si>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</si>
  <si>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</si>
  <si>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</si>
  <si>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</si>
  <si>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</si>
  <si>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</si>
  <si>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</si>
  <si>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</si>
  <si>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</si>
  <si>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</si>
  <si>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</si>
  <si>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</si>
  <si>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</si>
  <si>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</si>
  <si>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</si>
  <si>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</si>
  <si>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</si>
  <si>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</si>
  <si>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</si>
  <si>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</si>
  <si>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</si>
  <si>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</si>
  <si>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</si>
  <si>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</si>
  <si>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</si>
  <si>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</si>
  <si>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</si>
  <si>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</si>
  <si>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</si>
  <si>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</si>
  <si>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</si>
  <si>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</si>
  <si>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</si>
  <si>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</si>
  <si>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</si>
  <si>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</si>
  <si>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</si>
  <si>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</si>
  <si>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</si>
  <si>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</si>
  <si>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</si>
  <si>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</si>
  <si>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</si>
  <si>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</si>
  <si>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</si>
  <si>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</si>
  <si>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</si>
  <si>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</si>
  <si>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</si>
  <si>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</si>
  <si>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</si>
  <si>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</si>
  <si>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</si>
  <si>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</si>
  <si>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</si>
  <si>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</si>
  <si>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</si>
  <si>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</si>
  <si>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</si>
  <si>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</si>
  <si>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</si>
  <si>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</si>
  <si>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</si>
  <si>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</si>
  <si>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</si>
  <si>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</si>
  <si>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</si>
  <si>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</si>
  <si>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</si>
  <si>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</si>
  <si>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</si>
  <si>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</si>
  <si>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</si>
  <si>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</si>
  <si>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</si>
  <si>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</si>
  <si>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</si>
  <si>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</si>
  <si>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</si>
  <si>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</si>
  <si>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</si>
  <si>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</si>
  <si>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</si>
  <si>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</si>
  <si>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</si>
  <si>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</si>
  <si>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</si>
  <si>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</si>
  <si>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</si>
  <si>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</si>
  <si>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</si>
  <si>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</si>
  <si>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</si>
  <si>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</si>
  <si>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</si>
  <si>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</si>
  <si>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</si>
  <si>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</si>
  <si>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</si>
  <si>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</si>
  <si>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</si>
  <si>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</si>
  <si>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</si>
  <si>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</si>
  <si>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</si>
  <si>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</si>
  <si>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</si>
  <si>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</si>
  <si>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</si>
  <si>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</si>
  <si>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</si>
  <si>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</si>
  <si>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</si>
  <si>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</si>
  <si>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</si>
  <si>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</si>
  <si>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</si>
  <si>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</si>
  <si>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</si>
  <si>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</si>
  <si>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</si>
  <si>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</si>
  <si>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</si>
  <si>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</si>
  <si>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</si>
  <si>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</si>
  <si>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</si>
  <si>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</si>
  <si>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</si>
  <si>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</si>
  <si>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</si>
  <si>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</si>
  <si>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</si>
  <si>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</si>
  <si>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</si>
  <si>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</si>
  <si>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</si>
  <si>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</si>
  <si>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</si>
  <si>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</si>
  <si>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</si>
  <si>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</si>
  <si>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</si>
  <si>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</si>
  <si>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</si>
  <si>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</si>
  <si>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</si>
  <si>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</si>
  <si>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</si>
  <si>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</si>
  <si>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</si>
  <si>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</si>
  <si>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</si>
  <si>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</si>
  <si>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</si>
  <si>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</si>
  <si>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</si>
  <si>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</si>
  <si>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</si>
  <si>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</si>
  <si>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</si>
  <si>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</si>
  <si>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</si>
  <si>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</si>
  <si>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</si>
  <si>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</si>
  <si>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</si>
  <si>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</si>
  <si>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</si>
  <si>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</si>
  <si>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</si>
  <si>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</si>
  <si>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</si>
  <si>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</si>
  <si>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</si>
  <si>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</si>
  <si>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</si>
  <si>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</si>
  <si>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</si>
  <si>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</si>
  <si>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</si>
  <si>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</si>
  <si>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</si>
  <si>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</si>
  <si>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</si>
  <si>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</si>
  <si>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</si>
  <si>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</si>
  <si>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</si>
  <si>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</si>
  <si>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</si>
  <si>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</si>
  <si>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</si>
  <si>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</si>
  <si>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</si>
  <si>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</si>
  <si>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</si>
  <si>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</si>
  <si>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</si>
  <si>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</si>
  <si>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</si>
  <si>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</si>
  <si>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</si>
  <si>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</si>
  <si>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</si>
  <si>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</si>
  <si>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</si>
  <si>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</si>
  <si>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</si>
  <si>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</si>
  <si>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</si>
  <si>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</si>
  <si>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</si>
  <si>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</si>
  <si>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</si>
  <si>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</si>
  <si>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</si>
  <si>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</si>
  <si>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</si>
  <si>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</si>
  <si>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</si>
  <si>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</si>
  <si>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</si>
  <si>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</si>
  <si>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</si>
  <si>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</si>
  <si>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</si>
  <si>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</si>
  <si>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</si>
  <si>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</si>
  <si>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</si>
  <si>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</si>
  <si>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</si>
  <si>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</si>
  <si>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</si>
  <si>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</si>
  <si>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</si>
  <si>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</si>
  <si>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</si>
  <si>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</si>
  <si>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</si>
  <si>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</si>
  <si>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</si>
  <si>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</si>
  <si>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</si>
  <si>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</si>
  <si>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</si>
  <si>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</si>
  <si>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</si>
  <si>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</si>
  <si>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</si>
  <si>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</si>
  <si>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</si>
  <si>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</si>
  <si>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</si>
  <si>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</si>
  <si>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</si>
  <si>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</si>
  <si>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</si>
  <si>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</si>
  <si>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</si>
  <si>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</si>
  <si>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</si>
  <si>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</si>
  <si>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</si>
  <si>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</si>
  <si>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</si>
  <si>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</si>
  <si>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</si>
  <si>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</si>
  <si>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</si>
  <si>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</si>
  <si>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</si>
  <si>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</si>
  <si>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</si>
  <si>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</si>
  <si>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</si>
  <si>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</si>
  <si>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</si>
  <si>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</si>
  <si>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</si>
  <si>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</si>
  <si>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</si>
  <si>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</si>
  <si>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</si>
  <si>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</si>
  <si>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</si>
  <si>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</si>
  <si>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</si>
  <si>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</si>
  <si>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</si>
  <si>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</si>
  <si>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</si>
  <si>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</si>
  <si>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</si>
  <si>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</si>
  <si>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</si>
  <si>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</si>
  <si>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</si>
  <si>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</si>
  <si>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</si>
  <si>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</si>
  <si>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</si>
  <si>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</si>
  <si>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</si>
  <si>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</si>
  <si>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</si>
  <si>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</si>
  <si>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</si>
  <si>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</si>
  <si>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</si>
  <si>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</si>
  <si>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</si>
  <si>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</si>
  <si>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</si>
  <si>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</si>
  <si>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</si>
  <si>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</si>
  <si>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</si>
  <si>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</si>
  <si>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</si>
  <si>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</si>
  <si>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</si>
  <si>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</si>
  <si>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</si>
  <si>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</si>
  <si>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</si>
  <si>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</si>
  <si>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</si>
  <si>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</si>
  <si>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</si>
  <si>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</si>
  <si>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</si>
  <si>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</si>
  <si>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</si>
  <si>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</si>
  <si>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</si>
  <si>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</si>
  <si>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</si>
  <si>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</si>
  <si>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</si>
  <si>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</si>
  <si>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</si>
  <si>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</si>
  <si>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</si>
  <si>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</si>
  <si>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</si>
  <si>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</si>
  <si>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</si>
  <si>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</si>
  <si>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</si>
  <si>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</si>
  <si>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</si>
  <si>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</si>
  <si>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</si>
  <si>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</si>
  <si>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</si>
  <si>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</si>
  <si>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</si>
  <si>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</si>
  <si>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</si>
  <si>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</si>
  <si>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</si>
  <si>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</si>
  <si>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</si>
  <si>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</si>
  <si>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</si>
  <si>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</si>
  <si>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</si>
  <si>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</si>
  <si>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</si>
  <si>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</si>
  <si>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</si>
  <si>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</si>
  <si>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</si>
  <si>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</si>
  <si>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</si>
  <si>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</si>
  <si>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</si>
  <si>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</si>
  <si>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</si>
  <si>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</si>
  <si>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</si>
  <si>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</si>
  <si>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</si>
  <si>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</si>
  <si>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</si>
  <si>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</si>
  <si>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</si>
  <si>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</si>
  <si>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</si>
  <si>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</si>
  <si>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</si>
  <si>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</si>
  <si>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</si>
  <si>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</si>
  <si>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</si>
  <si>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</si>
  <si>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</si>
  <si>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</si>
  <si>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</si>
  <si>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</si>
  <si>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</si>
  <si>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</si>
  <si>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</si>
  <si>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</si>
  <si>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</si>
  <si>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</si>
  <si>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</si>
  <si>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</si>
  <si>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</si>
  <si>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</si>
  <si>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</si>
  <si>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</si>
  <si>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</si>
  <si>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</si>
  <si>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</si>
  <si>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</si>
  <si>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</si>
  <si>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</si>
  <si>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</si>
  <si>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</si>
  <si>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</si>
  <si>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</si>
  <si>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</si>
  <si>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</si>
  <si>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</si>
  <si>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</si>
  <si>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</si>
  <si>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</si>
  <si>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</si>
  <si>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</si>
  <si>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</si>
  <si>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</si>
  <si>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</si>
  <si>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</si>
  <si>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</si>
  <si>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</si>
  <si>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</si>
  <si>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</si>
  <si>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</si>
  <si>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</si>
  <si>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</si>
  <si>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</si>
  <si>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</si>
  <si>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</si>
  <si>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</si>
  <si>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</si>
  <si>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</si>
  <si>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</si>
  <si>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</si>
  <si>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</si>
  <si>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</si>
  <si>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</si>
  <si>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</si>
  <si>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</si>
  <si>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</si>
  <si>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</si>
  <si>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</si>
  <si>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</si>
  <si>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</si>
  <si>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</si>
  <si>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</si>
  <si>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</si>
  <si>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</si>
  <si>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</si>
  <si>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</si>
  <si>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</si>
  <si>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</si>
  <si>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</si>
  <si>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</si>
  <si>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</si>
  <si>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</si>
  <si>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</si>
  <si>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</si>
  <si>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</si>
  <si>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</si>
  <si>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</si>
  <si>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</si>
  <si>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</si>
  <si>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</si>
  <si>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</si>
  <si>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</si>
  <si>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</si>
  <si>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</si>
  <si>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</si>
  <si>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</si>
  <si>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</si>
  <si>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</si>
  <si>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</si>
  <si>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</si>
  <si>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</si>
  <si>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</si>
  <si>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</si>
  <si>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</si>
  <si>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</si>
  <si>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</si>
  <si>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</si>
  <si>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</si>
  <si>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</si>
  <si>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</si>
  <si>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</si>
  <si>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</si>
  <si>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</si>
  <si>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</si>
  <si>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</si>
  <si>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</si>
  <si>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</si>
  <si>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</si>
  <si>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</si>
  <si>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</si>
  <si>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</si>
  <si>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</si>
  <si>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</si>
  <si>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</si>
  <si>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</si>
  <si>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</si>
  <si>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</si>
  <si>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</si>
  <si>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</si>
  <si>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</si>
  <si>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</si>
  <si>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</si>
  <si>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</si>
  <si>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</si>
  <si>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</si>
  <si>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</si>
  <si>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</si>
  <si>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</si>
  <si>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</si>
  <si>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</si>
  <si>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</si>
  <si>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</si>
  <si>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</si>
  <si>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</si>
  <si>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</si>
  <si>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</si>
  <si>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</si>
  <si>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</si>
  <si>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</si>
  <si>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</si>
  <si>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</si>
  <si>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</si>
  <si>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</si>
  <si>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</si>
  <si>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</si>
  <si>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</si>
  <si>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</si>
  <si>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</si>
  <si>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</si>
  <si>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</si>
  <si>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</si>
  <si>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</si>
  <si>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</si>
  <si>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</si>
  <si>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</si>
  <si>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</si>
  <si>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</si>
  <si>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</si>
  <si>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</si>
  <si>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</si>
  <si>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</si>
  <si>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</si>
  <si>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</si>
  <si>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</si>
  <si>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</si>
  <si>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</si>
  <si>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</si>
  <si>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</si>
  <si>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</si>
  <si>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</si>
  <si>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</si>
  <si>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</si>
  <si>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</si>
  <si>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</si>
  <si>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</si>
  <si>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</si>
  <si>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</si>
  <si>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</si>
  <si>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</si>
  <si>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</si>
  <si>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</si>
  <si>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</si>
  <si>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</si>
  <si>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</si>
  <si>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</si>
  <si>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</si>
  <si>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</si>
  <si>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</si>
  <si>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</si>
  <si>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</si>
  <si>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</si>
  <si>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</si>
  <si>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</si>
  <si>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</si>
  <si>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</si>
  <si>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</si>
  <si>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</si>
  <si>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</si>
  <si>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</si>
  <si>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</si>
  <si>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</si>
  <si>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</si>
  <si>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</si>
  <si>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</si>
  <si>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</si>
  <si>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</si>
  <si>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</si>
  <si>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</si>
  <si>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</si>
  <si>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</si>
  <si>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</si>
  <si>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</si>
  <si>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</si>
  <si>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</si>
  <si>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</si>
  <si>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</si>
  <si>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</si>
  <si>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</si>
  <si>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</si>
  <si>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</si>
  <si>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</si>
  <si>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</si>
  <si>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</si>
  <si>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</si>
  <si>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</si>
  <si>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</si>
  <si>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</si>
  <si>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</si>
  <si>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</si>
  <si>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</si>
  <si>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</si>
  <si>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</si>
  <si>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</si>
  <si>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</si>
  <si>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</si>
  <si>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</si>
  <si>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</si>
  <si>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</si>
  <si>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</si>
  <si>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</si>
  <si>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</si>
  <si>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</si>
  <si>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</si>
  <si>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</si>
  <si>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</si>
  <si>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</si>
  <si>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</si>
  <si>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</si>
  <si>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</si>
  <si>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</si>
  <si>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</si>
  <si>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</si>
  <si>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</si>
  <si>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</si>
  <si>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</si>
  <si>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</si>
  <si>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</si>
  <si>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</si>
  <si>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</si>
  <si>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</si>
  <si>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</si>
  <si>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</si>
  <si>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</si>
  <si>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</si>
  <si>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</si>
  <si>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</si>
  <si>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</si>
  <si>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</si>
  <si>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</si>
  <si>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</si>
  <si>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</si>
  <si>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</si>
  <si>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</si>
  <si>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</si>
  <si>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</si>
  <si>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</si>
  <si>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</si>
  <si>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</si>
  <si>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</si>
  <si>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</si>
  <si>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</si>
  <si>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</si>
  <si>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</si>
  <si>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</si>
  <si>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</si>
  <si>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</si>
  <si>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</si>
  <si>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</si>
  <si>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</si>
  <si>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</si>
  <si>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</si>
  <si>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</si>
  <si>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</si>
  <si>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</si>
  <si>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</si>
  <si>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</si>
  <si>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</si>
  <si>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</si>
  <si>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</si>
  <si>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</si>
  <si>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</si>
  <si>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</si>
  <si>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</si>
  <si>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</si>
  <si>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</si>
  <si>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</si>
  <si>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</si>
  <si>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</si>
  <si>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</si>
  <si>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</si>
  <si>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</si>
  <si>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</si>
  <si>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</si>
  <si>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</si>
  <si>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</si>
  <si>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</si>
  <si>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</si>
  <si>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</si>
  <si>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</si>
  <si>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</si>
  <si>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</si>
  <si>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</si>
  <si>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</si>
  <si>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</si>
  <si>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</si>
  <si>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</si>
  <si>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</si>
  <si>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</si>
  <si>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</si>
  <si>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</si>
  <si>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</si>
  <si>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</si>
  <si>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</si>
  <si>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</si>
  <si>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</si>
  <si>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</si>
  <si>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</si>
  <si>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</si>
  <si>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</si>
  <si>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</si>
  <si>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</si>
  <si>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</si>
  <si>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</si>
  <si>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</si>
  <si>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</si>
  <si>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</si>
  <si>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</si>
  <si>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</si>
  <si>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</si>
  <si>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</si>
  <si>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</si>
  <si>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</si>
  <si>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</si>
  <si>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</si>
  <si>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</si>
  <si>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</si>
  <si>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</si>
  <si>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</si>
  <si>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</si>
  <si>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</si>
  <si>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</si>
  <si>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</si>
  <si>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</si>
  <si>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</si>
  <si>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</si>
  <si>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</si>
  <si>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</si>
  <si>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</si>
  <si>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</si>
  <si>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</si>
  <si>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</si>
  <si>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</si>
  <si>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</si>
  <si>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</si>
  <si>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</si>
  <si>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</si>
  <si>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</si>
  <si>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</si>
  <si>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</si>
  <si>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</si>
  <si>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</si>
  <si>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</si>
  <si>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</si>
  <si>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</si>
  <si>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</si>
  <si>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</si>
  <si>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</si>
  <si>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</si>
  <si>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</si>
  <si>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</si>
  <si>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</si>
  <si>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</si>
  <si>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</si>
  <si>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</si>
  <si>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</si>
  <si>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</si>
  <si>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</si>
  <si>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</si>
  <si>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</si>
  <si>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</si>
  <si>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</si>
  <si>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</si>
  <si>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</si>
  <si>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</si>
  <si>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</si>
  <si>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</si>
  <si>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</si>
  <si>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</si>
  <si>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</si>
  <si>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</si>
  <si>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</si>
  <si>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</si>
  <si>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</si>
  <si>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</si>
  <si>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</si>
  <si>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</si>
  <si>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</si>
  <si>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</si>
  <si>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</si>
  <si>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</si>
  <si>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</si>
  <si>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</si>
  <si>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</si>
  <si>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</si>
  <si>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</si>
  <si>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</si>
  <si>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</si>
  <si>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</si>
  <si>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</si>
  <si>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</si>
  <si>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</si>
  <si>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</si>
  <si>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</si>
  <si>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</si>
  <si>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</si>
  <si>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</si>
  <si>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</si>
  <si>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</si>
  <si>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</si>
  <si>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</si>
  <si>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</si>
  <si>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</si>
  <si>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</si>
  <si>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</si>
  <si>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</si>
  <si>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</si>
  <si>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</si>
  <si>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</si>
  <si>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</si>
  <si>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</si>
  <si>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</si>
  <si>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</si>
  <si>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</si>
  <si>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</si>
  <si>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</si>
  <si>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</si>
  <si>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</si>
  <si>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</si>
  <si>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</si>
  <si>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</si>
  <si>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</si>
  <si>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</si>
  <si>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</si>
  <si>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</si>
  <si>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</si>
  <si>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</si>
  <si>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</si>
  <si>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</si>
  <si>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</si>
  <si>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</si>
  <si>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</si>
  <si>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</si>
  <si>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</si>
  <si>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</si>
  <si>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</si>
  <si>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</si>
  <si>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</si>
  <si>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</si>
  <si>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</si>
  <si>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</si>
  <si>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</si>
  <si>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</si>
  <si>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</si>
  <si>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</si>
  <si>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</si>
  <si>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</si>
  <si>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</si>
  <si>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</si>
  <si>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</si>
  <si>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</si>
  <si>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</si>
  <si>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</si>
  <si>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</si>
  <si>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</si>
  <si>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</si>
  <si>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</si>
  <si>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</si>
  <si>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</si>
  <si>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</si>
  <si>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</si>
  <si>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</si>
  <si>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</si>
  <si>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</si>
  <si>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</si>
  <si>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</si>
  <si>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</si>
  <si>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</si>
  <si>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</si>
  <si>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</si>
  <si>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</si>
  <si>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</si>
  <si>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</si>
  <si>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</si>
  <si>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</si>
  <si>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</si>
  <si>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</si>
  <si>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</si>
  <si>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</si>
  <si>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</si>
  <si>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</si>
  <si>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</si>
  <si>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</si>
  <si>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</si>
  <si>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</si>
  <si>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</si>
  <si>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</si>
  <si>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</si>
  <si>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</si>
  <si>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</si>
  <si>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</si>
  <si>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</si>
  <si>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</si>
  <si>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</si>
  <si>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</si>
  <si>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</si>
  <si>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</si>
  <si>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</si>
  <si>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</si>
  <si>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</si>
  <si>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</si>
  <si>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</si>
  <si>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</si>
  <si>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</si>
  <si>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</si>
  <si>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</si>
  <si>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</si>
  <si>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</si>
  <si>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</si>
  <si>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</si>
  <si>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</si>
  <si>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</si>
  <si>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</si>
  <si>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</si>
  <si>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</si>
  <si>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</si>
  <si>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</si>
  <si>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</si>
  <si>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</si>
  <si>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</si>
  <si>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</si>
  <si>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</si>
  <si>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</si>
  <si>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</si>
  <si>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</si>
  <si>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</si>
  <si>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</si>
  <si>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</si>
  <si>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</si>
  <si>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</si>
  <si>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</si>
  <si>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</si>
  <si>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</si>
  <si>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</si>
  <si>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</si>
  <si>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</si>
  <si>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</si>
  <si>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</si>
  <si>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</si>
  <si>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</si>
  <si>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</si>
  <si>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</si>
  <si>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</si>
  <si>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</si>
  <si>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</si>
  <si>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</si>
  <si>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</si>
  <si>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</si>
  <si>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</si>
  <si>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</si>
  <si>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</si>
  <si>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</si>
  <si>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</si>
  <si>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</si>
  <si>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</si>
  <si>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</si>
  <si>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</si>
  <si>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</si>
  <si>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</si>
  <si>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</si>
  <si>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</si>
  <si>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</si>
  <si>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</si>
  <si>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</si>
  <si>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</si>
  <si>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</si>
  <si>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</si>
  <si>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</si>
  <si>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</si>
  <si>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</si>
  <si>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</si>
  <si>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</si>
  <si>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</si>
  <si>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</si>
  <si>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</si>
  <si>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</si>
  <si>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</si>
  <si>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</si>
  <si>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</si>
  <si>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</si>
  <si>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</si>
  <si>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</si>
  <si>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</si>
  <si>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</si>
  <si>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</si>
  <si>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</si>
  <si>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</si>
  <si>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</si>
  <si>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</si>
  <si>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</si>
  <si>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</si>
  <si>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</si>
  <si>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</si>
  <si>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</si>
  <si>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</si>
  <si>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</si>
  <si>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</si>
  <si>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</si>
  <si>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</si>
  <si>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</si>
  <si>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</si>
  <si>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</si>
  <si>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</si>
  <si>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</si>
  <si>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</si>
  <si>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</si>
  <si>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</si>
  <si>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</si>
  <si>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</si>
  <si>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</si>
  <si>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</si>
  <si>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</si>
  <si>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</si>
  <si>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</si>
  <si>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</si>
  <si>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</si>
  <si>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</si>
  <si>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</si>
  <si>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</si>
  <si>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</si>
  <si>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</si>
  <si>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</si>
  <si>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</si>
  <si>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</si>
  <si>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</si>
  <si>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</si>
  <si>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</si>
  <si>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</si>
  <si>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</si>
  <si>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</si>
  <si>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</si>
  <si>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</si>
  <si>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</si>
  <si>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</si>
  <si>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</si>
  <si>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</si>
  <si>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</si>
  <si>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</si>
  <si>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</si>
  <si>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</si>
  <si>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</si>
  <si>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</si>
  <si>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</si>
  <si>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</si>
  <si>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</si>
  <si>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</si>
  <si>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</si>
  <si>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</si>
  <si>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</si>
  <si>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</si>
  <si>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</si>
  <si>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</si>
  <si>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</si>
  <si>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</si>
  <si>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</si>
  <si>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</si>
  <si>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</si>
  <si>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</si>
  <si>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</si>
  <si>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</si>
  <si>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</si>
  <si>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</si>
  <si>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</si>
  <si>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</si>
  <si>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</si>
  <si>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</si>
  <si>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</si>
  <si>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</si>
  <si>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</si>
  <si>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</si>
  <si>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</si>
  <si>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</si>
  <si>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</si>
  <si>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</si>
  <si>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</si>
  <si>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</si>
  <si>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</si>
  <si>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</si>
  <si>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</si>
  <si>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</si>
  <si>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</si>
  <si>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</si>
  <si>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</si>
  <si>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</si>
  <si>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</si>
  <si>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</si>
  <si>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</si>
  <si>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</si>
  <si>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</si>
  <si>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</si>
  <si>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</si>
  <si>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</si>
  <si>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</si>
  <si>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</si>
  <si>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</si>
  <si>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</si>
  <si>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</si>
  <si>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</si>
  <si>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</si>
  <si>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</si>
  <si>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</si>
  <si>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</si>
  <si>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</si>
  <si>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</si>
  <si>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</si>
  <si>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</si>
  <si>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</si>
  <si>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</si>
  <si>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</si>
  <si>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</si>
  <si>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</si>
  <si>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</si>
  <si>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</si>
  <si>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</si>
  <si>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</si>
  <si>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</si>
  <si>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</si>
  <si>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</si>
  <si>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</si>
  <si>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</si>
  <si>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</si>
  <si>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</si>
  <si>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</si>
  <si>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</si>
  <si>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</si>
  <si>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</si>
  <si>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</si>
  <si>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</si>
  <si>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</si>
  <si>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</si>
  <si>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</si>
  <si>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</si>
  <si>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</si>
  <si>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</si>
  <si>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</si>
  <si>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</si>
  <si>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</si>
  <si>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</si>
  <si>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</si>
  <si>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</si>
  <si>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</si>
  <si>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</si>
  <si>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</si>
  <si>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</si>
  <si>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</si>
  <si>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</si>
  <si>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</si>
  <si>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</si>
  <si>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</si>
  <si>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</si>
  <si>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</si>
  <si>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</si>
  <si>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</si>
  <si>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</si>
  <si>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</si>
  <si>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</si>
  <si>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</si>
  <si>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</si>
  <si>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</si>
  <si>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</si>
  <si>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</si>
  <si>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</si>
  <si>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</si>
  <si>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</si>
  <si>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</si>
  <si>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</si>
  <si>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</si>
  <si>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</si>
  <si>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</si>
  <si>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</si>
  <si>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</si>
  <si>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</si>
  <si>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</si>
  <si>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</si>
  <si>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</si>
  <si>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</si>
  <si>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</si>
  <si>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</si>
  <si>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</si>
  <si>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</si>
  <si>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</si>
  <si>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</si>
  <si>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</si>
  <si>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</si>
  <si>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</si>
  <si>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</si>
  <si>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</si>
  <si>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</si>
  <si>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</si>
  <si>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</si>
  <si>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</si>
  <si>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</si>
  <si>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</si>
  <si>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</si>
  <si>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</si>
  <si>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</si>
  <si>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</si>
  <si>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</si>
  <si>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</si>
  <si>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</si>
  <si>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</si>
  <si>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</si>
  <si>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</si>
  <si>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</si>
  <si>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</si>
  <si>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</si>
  <si>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</si>
  <si>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</si>
  <si>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</si>
  <si>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</si>
  <si>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</si>
  <si>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</si>
  <si>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</si>
  <si>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</si>
  <si>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</si>
  <si>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</si>
  <si>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</si>
  <si>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</si>
  <si>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</si>
  <si>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</si>
  <si>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</si>
  <si>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</si>
  <si>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</si>
  <si>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</si>
  <si>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</si>
  <si>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</si>
  <si>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</si>
  <si>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</si>
  <si>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</si>
  <si>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</si>
  <si>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</si>
  <si>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</si>
  <si>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</si>
  <si>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</si>
  <si>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</si>
  <si>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</si>
  <si>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</si>
  <si>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</si>
  <si>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</si>
  <si>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</si>
  <si>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</si>
  <si>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</si>
  <si>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</si>
  <si>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</si>
  <si>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</si>
  <si>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</si>
  <si>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</si>
  <si>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</si>
  <si>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</si>
  <si>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</si>
  <si>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</si>
  <si>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</si>
  <si>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</si>
  <si>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</si>
  <si>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</si>
  <si>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</si>
  <si>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</si>
  <si>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</si>
  <si>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</si>
  <si>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</si>
  <si>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</si>
  <si>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</si>
  <si>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</si>
  <si>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</si>
  <si>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</si>
  <si>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</si>
  <si>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</si>
  <si>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</si>
  <si>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</si>
  <si>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</si>
  <si>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</si>
  <si>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</si>
  <si>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</si>
  <si>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</si>
  <si>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</si>
  <si>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</si>
  <si>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</si>
  <si>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</si>
  <si>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</si>
  <si>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</si>
  <si>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</si>
  <si>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</si>
  <si>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</si>
  <si>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</si>
  <si>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</si>
  <si>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</si>
  <si>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</si>
  <si>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</si>
  <si>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</si>
  <si>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</si>
  <si>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</si>
  <si>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</si>
  <si>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</si>
  <si>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</si>
  <si>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</si>
  <si>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</si>
  <si>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</si>
  <si>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</si>
  <si>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</si>
  <si>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</si>
  <si>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</si>
  <si>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</si>
  <si>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</si>
  <si>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</si>
  <si>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</si>
  <si>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</si>
  <si>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</si>
  <si>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</si>
  <si>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</si>
  <si>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</si>
  <si>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</si>
  <si>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</si>
  <si>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</si>
  <si>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</si>
  <si>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</si>
  <si>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</si>
  <si>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</si>
  <si>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</si>
  <si>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</si>
  <si>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</si>
  <si>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</si>
  <si>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</si>
  <si>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</si>
  <si>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</si>
  <si>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</si>
  <si>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</si>
  <si>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</si>
  <si>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</si>
  <si>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</si>
  <si>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</si>
  <si>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</si>
  <si>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</si>
  <si>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</si>
  <si>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</si>
  <si>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</si>
  <si>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</si>
  <si>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</si>
  <si>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</si>
  <si>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</si>
  <si>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</si>
  <si>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</si>
  <si>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</si>
  <si>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</si>
  <si>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</si>
  <si>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</si>
  <si>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</si>
  <si>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</si>
  <si>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</si>
  <si>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</si>
  <si>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</si>
  <si>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</si>
  <si>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</si>
  <si>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</si>
  <si>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</si>
  <si>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</si>
  <si>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</si>
  <si>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</si>
  <si>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</si>
  <si>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</si>
  <si>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</si>
  <si>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</si>
  <si>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</si>
  <si>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</si>
  <si>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</si>
  <si>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</si>
  <si>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</si>
  <si>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</si>
  <si>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</si>
  <si>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</si>
  <si>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</si>
  <si>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</si>
  <si>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</si>
  <si>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</si>
  <si>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</si>
  <si>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</si>
  <si>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</si>
  <si>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</si>
  <si>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</si>
  <si>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</si>
  <si>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</si>
  <si>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</si>
  <si>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</si>
  <si>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</si>
  <si>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</si>
  <si>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</si>
  <si>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</si>
  <si>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</si>
  <si>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</si>
  <si>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</si>
  <si>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</si>
  <si>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</si>
  <si>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</si>
  <si>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</si>
  <si>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</si>
  <si>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</si>
  <si>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</si>
  <si>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</si>
  <si>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</si>
  <si>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</si>
  <si>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</si>
  <si>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</si>
  <si>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</si>
  <si>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</si>
  <si>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</si>
  <si>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</si>
  <si>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</si>
  <si>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</si>
  <si>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</si>
  <si>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</si>
  <si>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</si>
  <si>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</si>
  <si>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</si>
  <si>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</si>
  <si>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</si>
  <si>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</si>
  <si>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</si>
  <si>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</si>
  <si>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</si>
  <si>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</si>
  <si>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</si>
  <si>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</si>
  <si>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</si>
  <si>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</si>
  <si>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</si>
  <si>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</si>
  <si>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</si>
  <si>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</si>
  <si>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</si>
  <si>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</si>
  <si>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</si>
  <si>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</si>
  <si>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</si>
  <si>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</si>
  <si>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</si>
  <si>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</si>
  <si>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</si>
  <si>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</si>
  <si>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</si>
  <si>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</si>
  <si>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</si>
  <si>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</si>
  <si>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</si>
  <si>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</si>
  <si>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</si>
  <si>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</si>
  <si>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</si>
  <si>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</si>
  <si>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</si>
  <si>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</si>
  <si>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</si>
  <si>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</si>
  <si>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</si>
  <si>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</si>
  <si>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</si>
  <si>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</si>
  <si>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</si>
  <si>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</si>
  <si>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</si>
  <si>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</si>
  <si>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</si>
  <si>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</si>
  <si>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</si>
  <si>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</si>
  <si>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</si>
  <si>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</si>
  <si>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</si>
  <si>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</si>
  <si>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</si>
  <si>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</si>
  <si>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</si>
  <si>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</si>
  <si>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</si>
  <si>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</si>
  <si>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</si>
  <si>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</si>
  <si>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</si>
  <si>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</si>
  <si>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</si>
  <si>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</si>
  <si>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</si>
  <si>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</si>
  <si>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</si>
  <si>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</si>
  <si>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</si>
  <si>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</si>
  <si>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</si>
  <si>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</si>
  <si>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</si>
  <si>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</si>
  <si>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</si>
  <si>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</si>
  <si>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</si>
  <si>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</si>
  <si>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</si>
  <si>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</si>
  <si>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</si>
  <si>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</si>
  <si>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</si>
  <si>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</si>
  <si>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</si>
  <si>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</si>
  <si>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</si>
  <si>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</si>
  <si>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</si>
  <si>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</si>
  <si>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</si>
  <si>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</si>
  <si>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</si>
  <si>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</si>
  <si>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</si>
  <si>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</si>
  <si>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</si>
  <si>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</si>
  <si>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</si>
  <si>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</si>
  <si>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</si>
  <si>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</si>
  <si>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</si>
  <si>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</si>
  <si>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</si>
  <si>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</si>
  <si>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</si>
  <si>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</si>
  <si>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</si>
  <si>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</si>
  <si>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</si>
  <si>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</si>
  <si>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</si>
  <si>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</si>
  <si>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</si>
  <si>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</si>
  <si>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</si>
  <si>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</si>
  <si>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</si>
  <si>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</si>
  <si>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</si>
  <si>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</si>
  <si>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</si>
  <si>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</si>
  <si>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</si>
  <si>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</si>
  <si>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</si>
  <si>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</si>
  <si>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</si>
  <si>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</si>
  <si>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</si>
  <si>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</si>
  <si>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</si>
  <si>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</si>
  <si>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</si>
  <si>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</si>
  <si>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</si>
  <si>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</si>
  <si>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</si>
  <si>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</si>
  <si>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</si>
  <si>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</si>
  <si>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</si>
  <si>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</si>
  <si>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</si>
  <si>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</si>
  <si>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</si>
  <si>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</si>
  <si>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</si>
  <si>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</si>
  <si>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</si>
  <si>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</si>
  <si>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</si>
  <si>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</si>
  <si>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</si>
  <si>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</si>
  <si>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</si>
  <si>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</si>
  <si>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</si>
  <si>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</si>
  <si>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</si>
  <si>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</si>
  <si>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</si>
  <si>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</si>
  <si>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</si>
  <si>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</si>
  <si>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</si>
  <si>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</si>
  <si>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</si>
  <si>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</si>
  <si>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</si>
  <si>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</si>
  <si>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</si>
  <si>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</si>
  <si>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</si>
  <si>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</si>
  <si>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</si>
  <si>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</si>
  <si>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</si>
  <si>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</si>
  <si>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</si>
  <si>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</si>
  <si>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</si>
  <si>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</si>
  <si>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</si>
  <si>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</si>
  <si>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</si>
  <si>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</si>
  <si>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</si>
  <si>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</si>
  <si>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</si>
  <si>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</si>
  <si>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</si>
  <si>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</si>
  <si>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</si>
  <si>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</si>
  <si>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</si>
  <si>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</si>
  <si>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</si>
  <si>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</si>
  <si>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</si>
  <si>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</si>
  <si>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</si>
  <si>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</si>
  <si>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</si>
  <si>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</si>
  <si>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</si>
  <si>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</si>
  <si>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</si>
  <si>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</si>
  <si>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</si>
  <si>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</si>
  <si>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</si>
  <si>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</si>
  <si>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</si>
  <si>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</si>
  <si>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</si>
  <si>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</si>
  <si>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</si>
  <si>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</si>
  <si>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</si>
  <si>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</si>
  <si>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</si>
  <si>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</si>
  <si>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</si>
  <si>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</si>
  <si>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</si>
  <si>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</si>
  <si>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</si>
  <si>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</si>
  <si>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</si>
  <si>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</si>
  <si>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</si>
  <si>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</si>
  <si>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</si>
  <si>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</si>
  <si>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</si>
  <si>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</si>
  <si>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</si>
  <si>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</si>
  <si>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</si>
  <si>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</si>
  <si>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</si>
  <si>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</si>
  <si>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</si>
  <si>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</si>
  <si>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</si>
  <si>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</si>
  <si>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</si>
  <si>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</si>
  <si>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</si>
  <si>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</si>
  <si>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</si>
  <si>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</si>
  <si>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</si>
  <si>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</si>
  <si>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</si>
  <si>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</si>
  <si>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</si>
  <si>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</si>
  <si>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</si>
  <si>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</si>
  <si>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</si>
  <si>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</si>
  <si>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</si>
  <si>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</si>
  <si>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</si>
  <si>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</si>
  <si>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</si>
  <si>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</si>
  <si>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</si>
  <si>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</si>
  <si>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</si>
  <si>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</si>
  <si>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</si>
  <si>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</si>
  <si>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</si>
  <si>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</si>
  <si>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</si>
  <si>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</si>
  <si>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</si>
  <si>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</si>
  <si>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</si>
  <si>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</si>
  <si>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</si>
  <si>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</si>
  <si>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</si>
  <si>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</si>
  <si>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</si>
  <si>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</si>
  <si>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</si>
  <si>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</si>
  <si>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</si>
  <si>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</si>
  <si>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</si>
  <si>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</si>
  <si>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</si>
  <si>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</si>
  <si>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</si>
  <si>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</si>
  <si>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</si>
  <si>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</si>
  <si>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</si>
  <si>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</si>
  <si>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</si>
  <si>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</si>
  <si>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</si>
  <si>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</si>
  <si>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</si>
  <si>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</si>
  <si>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</si>
  <si>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</si>
  <si>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</si>
  <si>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</si>
  <si>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</si>
  <si>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</si>
  <si>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</si>
  <si>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</si>
  <si>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</si>
  <si>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</si>
  <si>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</si>
  <si>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</si>
  <si>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</si>
  <si>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</si>
  <si>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</si>
  <si>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</si>
  <si>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</si>
  <si>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</si>
  <si>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</si>
  <si>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</si>
  <si>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</si>
  <si>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</si>
  <si>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</si>
  <si>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</si>
  <si>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</si>
  <si>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</si>
  <si>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</si>
  <si>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</si>
  <si>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</si>
  <si>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</si>
  <si>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</si>
  <si>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</si>
  <si>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</si>
  <si>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</si>
  <si>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</si>
  <si>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</si>
  <si>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</si>
  <si>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</si>
  <si>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</si>
  <si>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</si>
  <si>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</si>
  <si>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</si>
  <si>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</si>
  <si>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</si>
  <si>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</si>
  <si>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</si>
  <si>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</si>
  <si>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</si>
  <si>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</si>
  <si>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</si>
  <si>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</si>
  <si>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</si>
  <si>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</si>
  <si>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</si>
  <si>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</si>
  <si>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</si>
  <si>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</si>
  <si>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</si>
  <si>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</si>
  <si>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</si>
  <si>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</si>
  <si>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</si>
  <si>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</si>
  <si>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</si>
  <si>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</si>
  <si>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</si>
  <si>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</si>
  <si>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</si>
  <si>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</si>
  <si>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</si>
  <si>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</si>
  <si>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</si>
  <si>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</si>
  <si>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</si>
  <si>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</si>
  <si>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</si>
  <si>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</si>
  <si>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</si>
  <si>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</si>
  <si>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</si>
  <si>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</si>
  <si>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</si>
  <si>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</si>
  <si>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</si>
  <si>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</si>
  <si>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</si>
  <si>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</si>
  <si>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</si>
  <si>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</si>
  <si>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</si>
  <si>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</si>
  <si>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</si>
  <si>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</si>
  <si>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</si>
  <si>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</si>
  <si>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</si>
  <si>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</si>
  <si>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</si>
  <si>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</si>
  <si>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</si>
  <si>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</si>
  <si>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</si>
  <si>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</si>
  <si>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</si>
  <si>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</si>
  <si>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</si>
  <si>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</si>
  <si>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</si>
  <si>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</si>
  <si>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</si>
  <si>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</si>
  <si>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</si>
  <si>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</si>
  <si>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</si>
  <si>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</si>
  <si>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</si>
  <si>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</si>
  <si>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</si>
  <si>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</si>
  <si>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</si>
  <si>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</si>
  <si>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</si>
  <si>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</si>
  <si>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</si>
  <si>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</si>
  <si>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</si>
  <si>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</si>
  <si>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</si>
  <si>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</si>
  <si>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</si>
  <si>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</si>
  <si>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</si>
  <si>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</si>
  <si>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</si>
  <si>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</si>
  <si>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</si>
  <si>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</si>
  <si>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</si>
  <si>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</si>
  <si>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</si>
  <si>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</si>
  <si>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</si>
  <si>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</si>
  <si>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</si>
  <si>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</si>
  <si>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</si>
  <si>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</si>
  <si>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</si>
  <si>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</si>
  <si>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</si>
  <si>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</si>
  <si>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</si>
  <si>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</si>
  <si>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</si>
  <si>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</si>
  <si>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</si>
  <si>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</si>
  <si>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</si>
  <si>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</si>
  <si>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</si>
  <si>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</si>
  <si>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</si>
  <si>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</si>
  <si>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</si>
  <si>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</si>
  <si>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</si>
  <si>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</si>
  <si>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</si>
  <si>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</si>
  <si>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</si>
  <si>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</si>
  <si>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</si>
  <si>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</si>
  <si>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</si>
  <si>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</si>
  <si>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</si>
  <si>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</si>
  <si>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</si>
  <si>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</si>
  <si>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</si>
  <si>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</si>
  <si>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</si>
  <si>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</si>
  <si>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</si>
  <si>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</si>
  <si>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</si>
  <si>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</si>
  <si>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</si>
  <si>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</si>
  <si>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</si>
  <si>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</si>
  <si>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</si>
  <si>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</si>
  <si>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</si>
  <si>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</si>
  <si>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</si>
  <si>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</si>
  <si>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</si>
  <si>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</si>
  <si>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</si>
  <si>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</si>
  <si>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</si>
  <si>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</si>
  <si>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</si>
  <si>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</si>
  <si>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</si>
  <si>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</si>
  <si>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</si>
  <si>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</si>
  <si>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</si>
  <si>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</si>
  <si>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</si>
  <si>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</si>
  <si>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</si>
  <si>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</si>
  <si>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</si>
  <si>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</si>
  <si>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</si>
  <si>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</si>
  <si>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</si>
  <si>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</si>
  <si>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</si>
  <si>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</si>
  <si>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</si>
  <si>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</si>
  <si>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</si>
  <si>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</si>
  <si>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</si>
  <si>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</si>
  <si>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</si>
  <si>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</si>
  <si>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</si>
  <si>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</si>
  <si>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</si>
  <si>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</si>
  <si>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</si>
  <si>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</si>
  <si>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</si>
  <si>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</si>
  <si>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</si>
  <si>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</si>
  <si>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</si>
  <si>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</si>
  <si>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</si>
  <si>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</si>
  <si>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</si>
  <si>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</si>
  <si>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</si>
  <si>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</si>
  <si>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</si>
  <si>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</si>
  <si>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</si>
  <si>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</si>
  <si>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</si>
  <si>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</si>
  <si>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</si>
  <si>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</si>
  <si>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</si>
  <si>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</si>
  <si>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</si>
  <si>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</si>
  <si>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</si>
  <si>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</si>
  <si>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</si>
  <si>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</si>
  <si>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</si>
  <si>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</si>
  <si>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</si>
  <si>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</si>
  <si>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</si>
  <si>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</si>
  <si>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</si>
  <si>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</si>
  <si>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</si>
  <si>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</si>
  <si>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</si>
  <si>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</si>
  <si>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</si>
  <si>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</si>
  <si>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</si>
  <si>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</si>
  <si>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</si>
  <si>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</si>
  <si>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</si>
  <si>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</si>
  <si>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</si>
  <si>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</si>
  <si>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</si>
  <si>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</si>
  <si>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</si>
  <si>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</si>
  <si>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</si>
  <si>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</si>
  <si>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</si>
  <si>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</si>
  <si>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</si>
  <si>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</si>
  <si>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</si>
  <si>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</si>
  <si>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</si>
  <si>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</si>
  <si>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</si>
  <si>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</si>
  <si>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</si>
  <si>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</si>
  <si>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</si>
  <si>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</si>
  <si>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</si>
  <si>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</si>
  <si>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</si>
  <si>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</si>
  <si>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</si>
  <si>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</si>
  <si>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</si>
  <si>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</si>
  <si>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</si>
  <si>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</si>
  <si>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</si>
  <si>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</si>
  <si>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</si>
  <si>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</si>
  <si>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</si>
  <si>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</si>
  <si>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</si>
  <si>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</si>
  <si>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</si>
  <si>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</si>
  <si>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</si>
  <si>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</si>
  <si>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</si>
  <si>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</si>
  <si>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</si>
  <si>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</si>
  <si>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</si>
  <si>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</si>
  <si>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</si>
  <si>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</si>
  <si>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</si>
  <si>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</si>
  <si>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</si>
  <si>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</si>
  <si>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</si>
  <si>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</si>
  <si>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</si>
  <si>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</si>
  <si>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</si>
  <si>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</si>
  <si>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</si>
  <si>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</si>
  <si>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</si>
  <si>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</si>
  <si>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</si>
  <si>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</si>
  <si>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</si>
  <si>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</si>
  <si>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</si>
  <si>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</si>
  <si>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</si>
  <si>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</si>
  <si>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</si>
  <si>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</si>
  <si>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</si>
  <si>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</si>
  <si>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</si>
  <si>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</si>
  <si>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</si>
  <si>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</si>
  <si>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</si>
  <si>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</si>
  <si>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</si>
  <si>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</si>
  <si>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</si>
  <si>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</si>
  <si>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</si>
  <si>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</si>
  <si>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</si>
  <si>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</si>
  <si>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</si>
  <si>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</si>
  <si>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</si>
  <si>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</si>
  <si>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</si>
  <si>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</si>
  <si>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</si>
  <si>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</si>
  <si>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</si>
  <si>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</si>
  <si>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</si>
  <si>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</si>
  <si>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</si>
  <si>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</si>
  <si>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</si>
  <si>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</si>
  <si>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</si>
  <si>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</si>
  <si>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</si>
  <si>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</si>
  <si>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</si>
  <si>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</si>
  <si>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</si>
  <si>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</si>
  <si>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</si>
  <si>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</si>
  <si>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</si>
  <si>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</si>
  <si>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</si>
  <si>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</si>
  <si>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</si>
  <si>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</si>
  <si>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</si>
  <si>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</si>
  <si>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</si>
  <si>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</si>
  <si>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</si>
  <si>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</si>
  <si>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起始价(万元)</t>
  </si>
  <si>
    <t>成交价(万元)</t>
  </si>
  <si>
    <t>成交楼面价(元/㎡)</t>
  </si>
  <si>
    <t>溢价率</t>
  </si>
  <si>
    <t>受让单位</t>
  </si>
  <si>
    <t>挂牌</t>
  </si>
  <si>
    <t>住宅用地</t>
  </si>
  <si>
    <t>0星</t>
  </si>
  <si>
    <t>住宅</t>
    <phoneticPr fontId="26" type="noConversion"/>
  </si>
  <si>
    <r>
      <t>70</t>
    </r>
    <r>
      <rPr>
        <sz val="11"/>
        <color indexed="8"/>
        <rFont val="宋体"/>
        <family val="3"/>
        <charset val="134"/>
      </rPr>
      <t>、</t>
    </r>
    <r>
      <rPr>
        <sz val="11"/>
        <color indexed="8"/>
        <rFont val="Arial"/>
        <family val="2"/>
      </rPr>
      <t>40</t>
    </r>
    <phoneticPr fontId="26" type="noConversion"/>
  </si>
  <si>
    <t>楼面地价</t>
  </si>
  <si>
    <t>出让</t>
  </si>
  <si>
    <t>商业</t>
  </si>
  <si>
    <t>否</t>
  </si>
  <si>
    <t>地上</t>
  </si>
  <si>
    <t>住宅</t>
    <phoneticPr fontId="7" type="noConversion"/>
  </si>
  <si>
    <t>御海天禧</t>
    <phoneticPr fontId="3" type="noConversion"/>
  </si>
  <si>
    <t>保利和府</t>
    <phoneticPr fontId="3" type="noConversion"/>
  </si>
  <si>
    <t>天合名门</t>
    <phoneticPr fontId="3" type="noConversion"/>
  </si>
  <si>
    <t>底商</t>
  </si>
  <si>
    <t>普通住宅</t>
  </si>
  <si>
    <t>商业</t>
    <phoneticPr fontId="7" type="noConversion"/>
  </si>
  <si>
    <t>60-70（含）</t>
  </si>
  <si>
    <t>住宅</t>
    <phoneticPr fontId="21" type="noConversion"/>
  </si>
  <si>
    <t>售价</t>
  </si>
  <si>
    <t>御海阳光</t>
    <phoneticPr fontId="3" type="noConversion"/>
  </si>
  <si>
    <t>商业</t>
    <phoneticPr fontId="26" type="noConversion"/>
  </si>
  <si>
    <t>30-40（含）</t>
  </si>
  <si>
    <t>剩余法-待开发</t>
  </si>
  <si>
    <t>比较法-住宅、综合</t>
  </si>
  <si>
    <t>开发区兴宏路南侧</t>
  </si>
  <si>
    <t>镇江市</t>
  </si>
  <si>
    <t>大于1并且小于或等于1.59</t>
  </si>
  <si>
    <t>2018-12-26</t>
  </si>
  <si>
    <t>江苏大行置业有限公司</t>
  </si>
  <si>
    <t>西城区迎宾大道北侧、联盟路东侧</t>
  </si>
  <si>
    <t>大于或等于1.5并且小于或等于2.2</t>
  </si>
  <si>
    <t>中扬置业股份有限公司、扬中市中扬建设集团有限公司</t>
  </si>
  <si>
    <t>友谊北路西侧、景华苑北侧</t>
  </si>
  <si>
    <t>大于1并且小于或等于1.01</t>
  </si>
  <si>
    <t>江苏欣润置业有限公司、扬中市三茅街道广宁社区居民委员会</t>
  </si>
  <si>
    <t>宜禾路南侧、联丰港东侧</t>
  </si>
  <si>
    <t>扬中市中扬红星置业有限公司</t>
  </si>
  <si>
    <t>西来桥S238省道东侧、为民路北侧</t>
  </si>
  <si>
    <t>大于或等于1.1并且小于或等于1.5</t>
  </si>
  <si>
    <t>扬中市通发实业有限公司</t>
  </si>
  <si>
    <t>新坝华鹏路以东、中兴路以南</t>
  </si>
  <si>
    <t>大于或等于1.1并且小于或等于1.3</t>
  </si>
  <si>
    <t>大航控股集团江苏置业有限公司</t>
  </si>
  <si>
    <t>油坊镇惠民路西侧、太阳路以北</t>
  </si>
  <si>
    <t>王伟</t>
  </si>
  <si>
    <t>新扬北路东侧、天后宫路南侧</t>
  </si>
  <si>
    <t>大于或等于1.2并且小于或等于1.8</t>
  </si>
  <si>
    <t>2018-05-28</t>
  </si>
  <si>
    <t>江苏汇锦置业有限公司</t>
  </si>
  <si>
    <t>迎宾大道北侧、新扬南路东侧、三沙路西侧</t>
  </si>
  <si>
    <t>大于或等于1.2并且小于或等于2.2</t>
  </si>
  <si>
    <t>南京市高淳区碧桂园房地产开发有限公司</t>
  </si>
  <si>
    <t>开发区经六路东侧、兴园路南侧</t>
  </si>
  <si>
    <t>大于或等于1.1并且小于或等于2</t>
  </si>
  <si>
    <t>2018-03-12</t>
  </si>
  <si>
    <t>扬中市大行开发建设有限公司</t>
  </si>
  <si>
    <t>扬中市开发区港湾新城东侧、兴旺东路北侧</t>
  </si>
  <si>
    <t>宜禾路南侧新扬路东侧</t>
  </si>
  <si>
    <t>大于或等于1.1并且小于或等于3.28</t>
  </si>
  <si>
    <t>2017-12-21</t>
  </si>
  <si>
    <t>镇江保扬置业有限公司</t>
  </si>
  <si>
    <t>迎宾大道北侧、菲尔斯金陵大酒店西北侧</t>
  </si>
  <si>
    <t>扬中市恒瑞置业有限公司</t>
  </si>
  <si>
    <t>西来桥镇福兴路北侧、育才路西侧</t>
  </si>
  <si>
    <t>大于或等于1.1并且小于或等于2.35</t>
  </si>
  <si>
    <t>镇江市巨华置业有限公司</t>
  </si>
  <si>
    <t>滨江大道北侧、迎江大道东侧、奥体中心南侧</t>
  </si>
  <si>
    <t>大于或等于1.1并且小于或等于1.6</t>
  </si>
  <si>
    <t>原金门公司东侧、大众二号点西侧</t>
  </si>
  <si>
    <t>大于或等于1.1并且小于或等于1.21</t>
  </si>
  <si>
    <t>2017-11-17</t>
  </si>
  <si>
    <t>顾鸿泰、徐怀金、季小娟、施玉芳、祝宇帆、祝善安</t>
  </si>
  <si>
    <t>市区鸣翠山庄东侧、迎宾大道北侧</t>
  </si>
  <si>
    <t>扬中市新飞明城城市开发有限公司</t>
  </si>
  <si>
    <t>市区花园路城东安置点二期南侧</t>
  </si>
  <si>
    <t>大于或等于1.1并且小于或等于1.4</t>
  </si>
  <si>
    <t>迎宾大道北侧、中电大道东侧、新扬路西侧</t>
  </si>
  <si>
    <t>大于或等于1.25并且小于或等于1.99</t>
  </si>
  <si>
    <t>2017-07-27</t>
  </si>
  <si>
    <t>扬中香江置业有限公司</t>
  </si>
  <si>
    <t>新扬路东侧、同心路南侧</t>
  </si>
  <si>
    <t>大于或等于1.1并且小于或等于2.5</t>
  </si>
  <si>
    <t>2017-06-12</t>
  </si>
  <si>
    <t>大于或等于1.2并且小于或等于1.5</t>
  </si>
  <si>
    <t>中扬置业股份有限公司</t>
  </si>
  <si>
    <t>不动产收益法</t>
  </si>
  <si>
    <t>押一</t>
  </si>
  <si>
    <t>按租金收入计税</t>
  </si>
  <si>
    <t>钢混</t>
  </si>
  <si>
    <t>扬中市八桥镇</t>
  </si>
  <si>
    <t>扬中市三茅街道中园路</t>
    <phoneticPr fontId="228" type="noConversion"/>
  </si>
  <si>
    <t>出让</t>
    <phoneticPr fontId="228" type="noConversion"/>
  </si>
  <si>
    <t>扬中市西来桥镇</t>
    <phoneticPr fontId="228" type="noConversion"/>
  </si>
  <si>
    <t>扬中市东升站河南侧、花园路北侧地块四</t>
    <phoneticPr fontId="228" type="noConversion"/>
  </si>
  <si>
    <t>扬中市东升站河南侧、花园路北侧地块五</t>
    <phoneticPr fontId="228" type="noConversion"/>
  </si>
  <si>
    <t>赵雯</t>
  </si>
  <si>
    <t>崔锴</t>
  </si>
  <si>
    <t>抵押</t>
  </si>
  <si>
    <t>抵押价格</t>
  </si>
  <si>
    <t>其他：</t>
  </si>
  <si>
    <t>江苏省镇江市</t>
    <phoneticPr fontId="6" type="noConversion"/>
  </si>
  <si>
    <t>企业</t>
  </si>
  <si>
    <t>商住用地</t>
    <phoneticPr fontId="6" type="noConversion"/>
  </si>
  <si>
    <t>通路</t>
  </si>
  <si>
    <t>通电</t>
  </si>
  <si>
    <t>通上水</t>
  </si>
  <si>
    <t>通讯</t>
  </si>
  <si>
    <t>通下水</t>
  </si>
  <si>
    <r>
      <rPr>
        <b/>
        <sz val="16"/>
        <color theme="1"/>
        <rFont val="仿宋_GB2312"/>
        <family val="3"/>
        <charset val="134"/>
      </rPr>
      <t>比较法</t>
    </r>
    <phoneticPr fontId="3" type="noConversion"/>
  </si>
  <si>
    <r>
      <rPr>
        <b/>
        <sz val="16"/>
        <color theme="1"/>
        <rFont val="仿宋_GB2312"/>
        <family val="3"/>
        <charset val="134"/>
      </rPr>
      <t>住宅</t>
    </r>
    <phoneticPr fontId="3" type="noConversion"/>
  </si>
  <si>
    <r>
      <rPr>
        <b/>
        <sz val="16"/>
        <color theme="1"/>
        <rFont val="仿宋_GB2312"/>
        <family val="3"/>
        <charset val="134"/>
      </rPr>
      <t>─</t>
    </r>
    <phoneticPr fontId="3" type="noConversion"/>
  </si>
  <si>
    <r>
      <rPr>
        <b/>
        <sz val="16"/>
        <color theme="1"/>
        <rFont val="仿宋_GB2312"/>
        <family val="3"/>
        <charset val="134"/>
      </rPr>
      <t>录入顺序：主表的空白区域</t>
    </r>
    <r>
      <rPr>
        <b/>
        <sz val="16"/>
        <color theme="1"/>
        <rFont val="Arial"/>
        <family val="2"/>
      </rPr>
      <t>-</t>
    </r>
    <r>
      <rPr>
        <b/>
        <sz val="16"/>
        <color theme="1"/>
        <rFont val="仿宋_GB2312"/>
        <family val="3"/>
        <charset val="134"/>
      </rPr>
      <t>因素表空白区域</t>
    </r>
    <r>
      <rPr>
        <b/>
        <sz val="16"/>
        <color theme="1"/>
        <rFont val="Arial"/>
        <family val="2"/>
      </rPr>
      <t>-</t>
    </r>
    <r>
      <rPr>
        <b/>
        <sz val="16"/>
        <color theme="1"/>
        <rFont val="仿宋_GB2312"/>
        <family val="3"/>
        <charset val="134"/>
      </rPr>
      <t>主表黄色选项区域</t>
    </r>
    <r>
      <rPr>
        <b/>
        <sz val="16"/>
        <color theme="1"/>
        <rFont val="Arial"/>
        <family val="2"/>
      </rPr>
      <t>-</t>
    </r>
    <r>
      <rPr>
        <b/>
        <sz val="16"/>
        <color theme="1"/>
        <rFont val="仿宋_GB2312"/>
        <family val="3"/>
        <charset val="134"/>
      </rPr>
      <t>调节修正幅度</t>
    </r>
    <r>
      <rPr>
        <b/>
        <sz val="16"/>
        <color theme="1"/>
        <rFont val="Arial"/>
        <family val="2"/>
      </rPr>
      <t>-</t>
    </r>
    <r>
      <rPr>
        <b/>
        <sz val="16"/>
        <color theme="1"/>
        <rFont val="仿宋_GB2312"/>
        <family val="3"/>
        <charset val="134"/>
      </rPr>
      <t>完成</t>
    </r>
    <phoneticPr fontId="3" type="noConversion"/>
  </si>
  <si>
    <r>
      <rPr>
        <b/>
        <sz val="12"/>
        <color theme="1"/>
        <rFont val="仿宋_GB2312"/>
        <family val="3"/>
        <charset val="134"/>
      </rPr>
      <t>总价</t>
    </r>
    <phoneticPr fontId="3" type="noConversion"/>
  </si>
  <si>
    <r>
      <rPr>
        <b/>
        <sz val="12"/>
        <color theme="1"/>
        <rFont val="仿宋_GB2312"/>
        <family val="3"/>
        <charset val="134"/>
      </rPr>
      <t>楼面单价</t>
    </r>
    <phoneticPr fontId="3" type="noConversion"/>
  </si>
  <si>
    <r>
      <rPr>
        <b/>
        <sz val="12"/>
        <color theme="1"/>
        <rFont val="仿宋_GB2312"/>
        <family val="3"/>
        <charset val="134"/>
      </rPr>
      <t>建筑面积</t>
    </r>
    <phoneticPr fontId="3" type="noConversion"/>
  </si>
  <si>
    <r>
      <rPr>
        <b/>
        <sz val="11"/>
        <color theme="1"/>
        <rFont val="仿宋_GB2312"/>
        <family val="3"/>
        <charset val="134"/>
      </rPr>
      <t>比较因素</t>
    </r>
    <phoneticPr fontId="3" type="noConversion"/>
  </si>
  <si>
    <r>
      <rPr>
        <sz val="11"/>
        <color theme="1"/>
        <rFont val="仿宋_GB2312"/>
        <family val="3"/>
        <charset val="134"/>
      </rPr>
      <t>估价对象</t>
    </r>
    <phoneticPr fontId="3" type="noConversion"/>
  </si>
  <si>
    <r>
      <rPr>
        <sz val="11"/>
        <color theme="1"/>
        <rFont val="仿宋_GB2312"/>
        <family val="3"/>
        <charset val="134"/>
      </rPr>
      <t>案例</t>
    </r>
    <r>
      <rPr>
        <sz val="11"/>
        <color theme="1"/>
        <rFont val="Arial"/>
        <family val="2"/>
      </rPr>
      <t>A</t>
    </r>
    <phoneticPr fontId="3" type="noConversion"/>
  </si>
  <si>
    <r>
      <rPr>
        <sz val="11"/>
        <color theme="1"/>
        <rFont val="仿宋_GB2312"/>
        <family val="3"/>
        <charset val="134"/>
      </rPr>
      <t>案例</t>
    </r>
    <r>
      <rPr>
        <sz val="11"/>
        <color theme="1"/>
        <rFont val="Arial"/>
        <family val="2"/>
      </rPr>
      <t>B</t>
    </r>
    <phoneticPr fontId="3" type="noConversion"/>
  </si>
  <si>
    <r>
      <rPr>
        <sz val="11"/>
        <color theme="1"/>
        <rFont val="仿宋_GB2312"/>
        <family val="3"/>
        <charset val="134"/>
      </rPr>
      <t>案例</t>
    </r>
    <r>
      <rPr>
        <sz val="11"/>
        <color theme="1"/>
        <rFont val="Arial"/>
        <family val="2"/>
      </rPr>
      <t>C</t>
    </r>
    <phoneticPr fontId="3" type="noConversion"/>
  </si>
  <si>
    <r>
      <rPr>
        <sz val="11"/>
        <color theme="1"/>
        <rFont val="仿宋_GB2312"/>
        <family val="3"/>
        <charset val="134"/>
      </rPr>
      <t>修正幅度</t>
    </r>
    <phoneticPr fontId="3" type="noConversion"/>
  </si>
  <si>
    <r>
      <rPr>
        <sz val="11"/>
        <color theme="1"/>
        <rFont val="仿宋_GB2312"/>
        <family val="3"/>
        <charset val="134"/>
      </rPr>
      <t>比较因素</t>
    </r>
    <phoneticPr fontId="3" type="noConversion"/>
  </si>
  <si>
    <r>
      <rPr>
        <sz val="11"/>
        <color theme="1"/>
        <rFont val="仿宋_GB2312"/>
        <family val="3"/>
        <charset val="134"/>
      </rPr>
      <t>案例</t>
    </r>
    <r>
      <rPr>
        <sz val="11"/>
        <color theme="1"/>
        <rFont val="Arial"/>
        <family val="2"/>
      </rPr>
      <t>A</t>
    </r>
    <phoneticPr fontId="3" type="noConversion"/>
  </si>
  <si>
    <r>
      <rPr>
        <sz val="11"/>
        <color theme="1"/>
        <rFont val="仿宋_GB2312"/>
        <family val="3"/>
        <charset val="134"/>
      </rPr>
      <t>估价对象名称</t>
    </r>
    <phoneticPr fontId="3" type="noConversion"/>
  </si>
  <si>
    <r>
      <rPr>
        <sz val="11"/>
        <color theme="1"/>
        <rFont val="仿宋_GB2312"/>
        <family val="3"/>
        <charset val="134"/>
      </rPr>
      <t>项目位置</t>
    </r>
    <phoneticPr fontId="3" type="noConversion"/>
  </si>
  <si>
    <r>
      <rPr>
        <sz val="11"/>
        <color theme="1"/>
        <rFont val="仿宋_GB2312"/>
        <family val="3"/>
        <charset val="134"/>
      </rPr>
      <t>系数</t>
    </r>
    <r>
      <rPr>
        <sz val="11"/>
        <color theme="1"/>
        <rFont val="Arial"/>
        <family val="2"/>
      </rPr>
      <t>%</t>
    </r>
    <phoneticPr fontId="3" type="noConversion"/>
  </si>
  <si>
    <r>
      <rPr>
        <b/>
        <sz val="11"/>
        <color theme="1"/>
        <rFont val="仿宋_GB2312"/>
        <family val="3"/>
        <charset val="134"/>
      </rPr>
      <t>交易时间</t>
    </r>
    <phoneticPr fontId="3" type="noConversion"/>
  </si>
  <si>
    <r>
      <rPr>
        <sz val="11"/>
        <color theme="1"/>
        <rFont val="仿宋_GB2312"/>
        <family val="3"/>
        <charset val="134"/>
      </rPr>
      <t>交易时间</t>
    </r>
    <phoneticPr fontId="3" type="noConversion"/>
  </si>
  <si>
    <t>100/</t>
    <phoneticPr fontId="3" type="noConversion"/>
  </si>
  <si>
    <t>100/</t>
    <phoneticPr fontId="3" type="noConversion"/>
  </si>
  <si>
    <r>
      <rPr>
        <b/>
        <sz val="11"/>
        <color theme="1"/>
        <rFont val="仿宋_GB2312"/>
        <family val="3"/>
        <charset val="134"/>
      </rPr>
      <t>交易情况</t>
    </r>
    <phoneticPr fontId="3" type="noConversion"/>
  </si>
  <si>
    <r>
      <rPr>
        <sz val="11"/>
        <color theme="1"/>
        <rFont val="仿宋_GB2312"/>
        <family val="3"/>
        <charset val="134"/>
      </rPr>
      <t>正常</t>
    </r>
    <phoneticPr fontId="3" type="noConversion"/>
  </si>
  <si>
    <r>
      <rPr>
        <sz val="11"/>
        <color theme="1"/>
        <rFont val="仿宋_GB2312"/>
        <family val="3"/>
        <charset val="134"/>
      </rPr>
      <t>交易情况</t>
    </r>
    <phoneticPr fontId="3" type="noConversion"/>
  </si>
  <si>
    <t>100/</t>
    <phoneticPr fontId="3" type="noConversion"/>
  </si>
  <si>
    <r>
      <rPr>
        <b/>
        <sz val="11"/>
        <color theme="1"/>
        <rFont val="仿宋_GB2312"/>
        <family val="3"/>
        <charset val="134"/>
      </rPr>
      <t>用途</t>
    </r>
    <phoneticPr fontId="3" type="noConversion"/>
  </si>
  <si>
    <t>住宅</t>
    <phoneticPr fontId="3" type="noConversion"/>
  </si>
  <si>
    <r>
      <rPr>
        <sz val="11"/>
        <color theme="1"/>
        <rFont val="仿宋_GB2312"/>
        <family val="3"/>
        <charset val="134"/>
      </rPr>
      <t>权益状况</t>
    </r>
    <phoneticPr fontId="3" type="noConversion"/>
  </si>
  <si>
    <r>
      <rPr>
        <sz val="11"/>
        <color theme="1"/>
        <rFont val="仿宋_GB2312"/>
        <family val="3"/>
        <charset val="134"/>
      </rPr>
      <t>权益状况</t>
    </r>
    <phoneticPr fontId="3" type="noConversion"/>
  </si>
  <si>
    <r>
      <rPr>
        <b/>
        <sz val="11"/>
        <color theme="1"/>
        <rFont val="仿宋_GB2312"/>
        <family val="3"/>
        <charset val="134"/>
      </rPr>
      <t>土地使用年限（年）</t>
    </r>
    <phoneticPr fontId="3" type="noConversion"/>
  </si>
  <si>
    <t>100/</t>
    <phoneticPr fontId="3" type="noConversion"/>
  </si>
  <si>
    <r>
      <rPr>
        <b/>
        <sz val="11"/>
        <color theme="1"/>
        <rFont val="仿宋_GB2312"/>
        <family val="3"/>
        <charset val="134"/>
      </rPr>
      <t>容积率</t>
    </r>
    <phoneticPr fontId="3" type="noConversion"/>
  </si>
  <si>
    <t>区域因素</t>
    <phoneticPr fontId="3" type="noConversion"/>
  </si>
  <si>
    <r>
      <rPr>
        <sz val="11"/>
        <color theme="1"/>
        <rFont val="仿宋_GB2312"/>
        <family val="3"/>
        <charset val="134"/>
      </rPr>
      <t>居住社区成熟度</t>
    </r>
  </si>
  <si>
    <r>
      <rPr>
        <sz val="11"/>
        <color theme="1"/>
        <rFont val="仿宋_GB2312"/>
        <family val="3"/>
        <charset val="134"/>
      </rPr>
      <t>区位状况</t>
    </r>
    <phoneticPr fontId="3" type="noConversion"/>
  </si>
  <si>
    <t>一般</t>
  </si>
  <si>
    <t>较好</t>
  </si>
  <si>
    <r>
      <rPr>
        <sz val="11"/>
        <color theme="1"/>
        <rFont val="仿宋_GB2312"/>
        <family val="3"/>
        <charset val="134"/>
      </rPr>
      <t>交通便捷度</t>
    </r>
  </si>
  <si>
    <t>公共配套设施</t>
    <phoneticPr fontId="3" type="noConversion"/>
  </si>
  <si>
    <t>基础设施水平</t>
    <phoneticPr fontId="3" type="noConversion"/>
  </si>
  <si>
    <t>六通</t>
  </si>
  <si>
    <r>
      <rPr>
        <sz val="11"/>
        <color theme="1"/>
        <rFont val="仿宋_GB2312"/>
        <family val="3"/>
        <charset val="134"/>
      </rPr>
      <t>自然及人文环境</t>
    </r>
  </si>
  <si>
    <r>
      <rPr>
        <sz val="11"/>
        <color theme="1"/>
        <rFont val="仿宋_GB2312"/>
        <family val="3"/>
        <charset val="134"/>
      </rPr>
      <t>朝向</t>
    </r>
  </si>
  <si>
    <r>
      <rPr>
        <sz val="11"/>
        <color theme="1"/>
        <rFont val="仿宋_GB2312"/>
        <family val="3"/>
        <charset val="134"/>
      </rPr>
      <t>道路级别</t>
    </r>
    <phoneticPr fontId="3" type="noConversion"/>
  </si>
  <si>
    <t>个别因素</t>
    <phoneticPr fontId="3" type="noConversion"/>
  </si>
  <si>
    <r>
      <rPr>
        <sz val="11"/>
        <color theme="1"/>
        <rFont val="仿宋_GB2312"/>
        <family val="3"/>
        <charset val="134"/>
      </rPr>
      <t>建筑类型</t>
    </r>
  </si>
  <si>
    <t>高层</t>
  </si>
  <si>
    <r>
      <rPr>
        <sz val="11"/>
        <color theme="1"/>
        <rFont val="仿宋_GB2312"/>
        <family val="3"/>
        <charset val="134"/>
      </rPr>
      <t>实物状况</t>
    </r>
    <phoneticPr fontId="3" type="noConversion"/>
  </si>
  <si>
    <r>
      <rPr>
        <sz val="11"/>
        <color theme="1"/>
        <rFont val="仿宋_GB2312"/>
        <family val="3"/>
        <charset val="134"/>
      </rPr>
      <t>实物状况</t>
    </r>
    <phoneticPr fontId="3" type="noConversion"/>
  </si>
  <si>
    <r>
      <rPr>
        <sz val="11"/>
        <color theme="1"/>
        <rFont val="仿宋_GB2312"/>
        <family val="3"/>
        <charset val="134"/>
      </rPr>
      <t>项目建筑规模</t>
    </r>
  </si>
  <si>
    <r>
      <rPr>
        <sz val="11"/>
        <color theme="1"/>
        <rFont val="仿宋_GB2312"/>
        <family val="3"/>
        <charset val="134"/>
      </rPr>
      <t>建筑结构</t>
    </r>
  </si>
  <si>
    <r>
      <rPr>
        <sz val="11"/>
        <color theme="1"/>
        <rFont val="仿宋_GB2312"/>
        <family val="3"/>
        <charset val="134"/>
      </rPr>
      <t>建筑品质</t>
    </r>
  </si>
  <si>
    <t>高档</t>
  </si>
  <si>
    <r>
      <rPr>
        <sz val="11"/>
        <color theme="1"/>
        <rFont val="仿宋_GB2312"/>
        <family val="3"/>
        <charset val="134"/>
      </rPr>
      <t>公共部分装修</t>
    </r>
  </si>
  <si>
    <t>精装修</t>
  </si>
  <si>
    <r>
      <rPr>
        <sz val="11"/>
        <color theme="1"/>
        <rFont val="仿宋_GB2312"/>
        <family val="3"/>
        <charset val="134"/>
      </rPr>
      <t>成新度</t>
    </r>
  </si>
  <si>
    <r>
      <rPr>
        <sz val="11"/>
        <color theme="1"/>
        <rFont val="仿宋_GB2312"/>
        <family val="3"/>
        <charset val="134"/>
      </rPr>
      <t>物业管理</t>
    </r>
  </si>
  <si>
    <t>专业</t>
  </si>
  <si>
    <r>
      <rPr>
        <sz val="11"/>
        <color theme="1"/>
        <rFont val="仿宋_GB2312"/>
        <family val="3"/>
        <charset val="134"/>
      </rPr>
      <t>实物状况</t>
    </r>
    <phoneticPr fontId="3" type="noConversion"/>
  </si>
  <si>
    <r>
      <rPr>
        <sz val="11"/>
        <color theme="1"/>
        <rFont val="仿宋_GB2312"/>
        <family val="3"/>
        <charset val="134"/>
      </rPr>
      <t>房型</t>
    </r>
  </si>
  <si>
    <r>
      <rPr>
        <sz val="11"/>
        <color theme="1"/>
        <rFont val="仿宋_GB2312"/>
        <family val="3"/>
        <charset val="134"/>
      </rPr>
      <t>单套</t>
    </r>
    <r>
      <rPr>
        <sz val="11"/>
        <color theme="1"/>
        <rFont val="Arial"/>
        <family val="2"/>
      </rPr>
      <t>/</t>
    </r>
    <r>
      <rPr>
        <sz val="11"/>
        <color theme="1"/>
        <rFont val="仿宋_GB2312"/>
        <family val="3"/>
        <charset val="134"/>
      </rPr>
      <t>主力户型建筑面积</t>
    </r>
    <phoneticPr fontId="3" type="noConversion"/>
  </si>
  <si>
    <r>
      <rPr>
        <sz val="11"/>
        <color theme="1"/>
        <rFont val="仿宋_GB2312"/>
        <family val="3"/>
        <charset val="134"/>
      </rPr>
      <t>内部装修</t>
    </r>
  </si>
  <si>
    <t>毛坯</t>
  </si>
  <si>
    <r>
      <rPr>
        <sz val="11"/>
        <color theme="1"/>
        <rFont val="仿宋_GB2312"/>
        <family val="3"/>
        <charset val="134"/>
      </rPr>
      <t>内部装修维护情况</t>
    </r>
  </si>
  <si>
    <r>
      <rPr>
        <b/>
        <sz val="11"/>
        <color theme="1"/>
        <rFont val="仿宋_GB2312"/>
        <family val="3"/>
        <charset val="134"/>
      </rPr>
      <t>成交单价（元</t>
    </r>
    <r>
      <rPr>
        <b/>
        <sz val="11"/>
        <color theme="1"/>
        <rFont val="Arial"/>
        <family val="2"/>
      </rPr>
      <t>/</t>
    </r>
    <r>
      <rPr>
        <b/>
        <sz val="11"/>
        <color theme="1"/>
        <rFont val="仿宋_GB2312"/>
        <family val="3"/>
        <charset val="134"/>
      </rPr>
      <t>平方米）</t>
    </r>
    <phoneticPr fontId="3" type="noConversion"/>
  </si>
  <si>
    <r>
      <rPr>
        <b/>
        <sz val="11"/>
        <color theme="1"/>
        <rFont val="仿宋_GB2312"/>
        <family val="3"/>
        <charset val="134"/>
      </rPr>
      <t>比较价格（元</t>
    </r>
    <r>
      <rPr>
        <b/>
        <sz val="11"/>
        <color theme="1"/>
        <rFont val="Arial"/>
        <family val="2"/>
      </rPr>
      <t>/</t>
    </r>
    <r>
      <rPr>
        <b/>
        <sz val="11"/>
        <color theme="1"/>
        <rFont val="仿宋_GB2312"/>
        <family val="3"/>
        <charset val="134"/>
      </rPr>
      <t>平方米）</t>
    </r>
    <phoneticPr fontId="3" type="noConversion"/>
  </si>
  <si>
    <r>
      <rPr>
        <b/>
        <sz val="11"/>
        <color theme="1"/>
        <rFont val="仿宋_GB2312"/>
        <family val="3"/>
        <charset val="134"/>
      </rPr>
      <t>估价对象</t>
    </r>
    <r>
      <rPr>
        <b/>
        <sz val="11"/>
        <color theme="1"/>
        <rFont val="Arial"/>
        <family val="2"/>
      </rPr>
      <t>XX</t>
    </r>
    <r>
      <rPr>
        <b/>
        <sz val="11"/>
        <color theme="1"/>
        <rFont val="仿宋_GB2312"/>
        <family val="3"/>
        <charset val="134"/>
      </rPr>
      <t>用房的比较价格（楼面单价，元</t>
    </r>
    <r>
      <rPr>
        <b/>
        <sz val="11"/>
        <color theme="1"/>
        <rFont val="Arial"/>
        <family val="2"/>
      </rPr>
      <t>/</t>
    </r>
    <r>
      <rPr>
        <b/>
        <sz val="11"/>
        <color theme="1"/>
        <rFont val="仿宋_GB2312"/>
        <family val="3"/>
        <charset val="134"/>
      </rPr>
      <t>平方米）</t>
    </r>
    <phoneticPr fontId="3" type="noConversion"/>
  </si>
  <si>
    <r>
      <rPr>
        <b/>
        <sz val="11"/>
        <color theme="1"/>
        <rFont val="仿宋_GB2312"/>
        <family val="3"/>
        <charset val="134"/>
      </rPr>
      <t>总修正幅度不超过</t>
    </r>
    <r>
      <rPr>
        <b/>
        <sz val="11"/>
        <color theme="1"/>
        <rFont val="Arial"/>
        <family val="2"/>
      </rPr>
      <t>30%</t>
    </r>
    <phoneticPr fontId="3" type="noConversion"/>
  </si>
  <si>
    <r>
      <rPr>
        <b/>
        <sz val="11"/>
        <color theme="1"/>
        <rFont val="仿宋_GB2312"/>
        <family val="3"/>
        <charset val="134"/>
      </rPr>
      <t>各修正结果之间不超过</t>
    </r>
    <r>
      <rPr>
        <b/>
        <sz val="11"/>
        <color theme="1"/>
        <rFont val="Arial"/>
        <family val="2"/>
      </rPr>
      <t>20%</t>
    </r>
    <phoneticPr fontId="3" type="noConversion"/>
  </si>
  <si>
    <r>
      <rPr>
        <b/>
        <sz val="11"/>
        <color theme="1"/>
        <rFont val="仿宋_GB2312"/>
        <family val="3"/>
        <charset val="134"/>
      </rPr>
      <t>各案例间不超过</t>
    </r>
    <r>
      <rPr>
        <b/>
        <sz val="11"/>
        <color theme="1"/>
        <rFont val="Arial"/>
        <family val="2"/>
      </rPr>
      <t>30%</t>
    </r>
    <phoneticPr fontId="3" type="noConversion"/>
  </si>
  <si>
    <r>
      <rPr>
        <b/>
        <sz val="16"/>
        <color theme="1"/>
        <rFont val="仿宋_GB2312"/>
        <family val="3"/>
        <charset val="134"/>
      </rPr>
      <t>各因素等级说明（手工录入的系数取值除建筑面积外，均应自高至低排序）</t>
    </r>
    <phoneticPr fontId="3" type="noConversion"/>
  </si>
  <si>
    <r>
      <rPr>
        <b/>
        <sz val="11"/>
        <color theme="1"/>
        <rFont val="仿宋_GB2312"/>
        <family val="3"/>
        <charset val="134"/>
      </rPr>
      <t>交易时间</t>
    </r>
    <phoneticPr fontId="3" type="noConversion"/>
  </si>
  <si>
    <r>
      <rPr>
        <b/>
        <sz val="11"/>
        <color theme="1"/>
        <rFont val="仿宋_GB2312"/>
        <family val="3"/>
        <charset val="134"/>
      </rPr>
      <t>官方公布的价格指数</t>
    </r>
    <r>
      <rPr>
        <b/>
        <sz val="11"/>
        <color theme="1"/>
        <rFont val="Arial"/>
        <family val="2"/>
      </rPr>
      <t>/</t>
    </r>
    <r>
      <rPr>
        <b/>
        <sz val="11"/>
        <color theme="1"/>
        <rFont val="仿宋_GB2312"/>
        <family val="3"/>
        <charset val="134"/>
      </rPr>
      <t>增幅</t>
    </r>
    <phoneticPr fontId="3" type="noConversion"/>
  </si>
  <si>
    <r>
      <rPr>
        <sz val="11"/>
        <color theme="1"/>
        <rFont val="仿宋_GB2312"/>
        <family val="3"/>
        <charset val="134"/>
      </rPr>
      <t>正常</t>
    </r>
    <phoneticPr fontId="3" type="noConversion"/>
  </si>
  <si>
    <r>
      <rPr>
        <b/>
        <sz val="11"/>
        <color theme="1"/>
        <rFont val="仿宋_GB2312"/>
        <family val="3"/>
        <charset val="134"/>
      </rPr>
      <t>权益状况</t>
    </r>
    <phoneticPr fontId="3" type="noConversion"/>
  </si>
  <si>
    <r>
      <rPr>
        <sz val="11"/>
        <color theme="1"/>
        <rFont val="仿宋_GB2312"/>
        <family val="3"/>
        <charset val="134"/>
      </rPr>
      <t>用途</t>
    </r>
    <phoneticPr fontId="3" type="noConversion"/>
  </si>
  <si>
    <r>
      <rPr>
        <sz val="11"/>
        <color theme="1"/>
        <rFont val="仿宋_GB2312"/>
        <family val="3"/>
        <charset val="134"/>
      </rPr>
      <t>土地使用年限（年）</t>
    </r>
    <phoneticPr fontId="3" type="noConversion"/>
  </si>
  <si>
    <r>
      <t>60-70</t>
    </r>
    <r>
      <rPr>
        <sz val="11"/>
        <color theme="1"/>
        <rFont val="仿宋_GB2312"/>
        <family val="3"/>
        <charset val="134"/>
      </rPr>
      <t>（含）</t>
    </r>
    <phoneticPr fontId="3" type="noConversion"/>
  </si>
  <si>
    <r>
      <t>50-60</t>
    </r>
    <r>
      <rPr>
        <sz val="11"/>
        <color theme="1"/>
        <rFont val="仿宋_GB2312"/>
        <family val="3"/>
        <charset val="134"/>
      </rPr>
      <t>（含）</t>
    </r>
    <phoneticPr fontId="3" type="noConversion"/>
  </si>
  <si>
    <r>
      <t>40-50</t>
    </r>
    <r>
      <rPr>
        <sz val="11"/>
        <color theme="1"/>
        <rFont val="仿宋_GB2312"/>
        <family val="3"/>
        <charset val="134"/>
      </rPr>
      <t>（含）</t>
    </r>
    <phoneticPr fontId="3" type="noConversion"/>
  </si>
  <si>
    <r>
      <t>30-40</t>
    </r>
    <r>
      <rPr>
        <sz val="11"/>
        <color theme="1"/>
        <rFont val="仿宋_GB2312"/>
        <family val="3"/>
        <charset val="134"/>
      </rPr>
      <t>（含）</t>
    </r>
    <phoneticPr fontId="3" type="noConversion"/>
  </si>
  <si>
    <r>
      <t>20-30</t>
    </r>
    <r>
      <rPr>
        <sz val="11"/>
        <color theme="1"/>
        <rFont val="仿宋_GB2312"/>
        <family val="3"/>
        <charset val="134"/>
      </rPr>
      <t>（含）</t>
    </r>
    <phoneticPr fontId="3" type="noConversion"/>
  </si>
  <si>
    <r>
      <t>10-20</t>
    </r>
    <r>
      <rPr>
        <sz val="11"/>
        <color theme="1"/>
        <rFont val="仿宋_GB2312"/>
        <family val="3"/>
        <charset val="134"/>
      </rPr>
      <t>（含）</t>
    </r>
    <phoneticPr fontId="3" type="noConversion"/>
  </si>
  <si>
    <r>
      <t>0-10</t>
    </r>
    <r>
      <rPr>
        <sz val="11"/>
        <color theme="1"/>
        <rFont val="仿宋_GB2312"/>
        <family val="3"/>
        <charset val="134"/>
      </rPr>
      <t>（含）</t>
    </r>
    <phoneticPr fontId="3" type="noConversion"/>
  </si>
  <si>
    <r>
      <rPr>
        <sz val="11"/>
        <color theme="1"/>
        <rFont val="仿宋_GB2312"/>
        <family val="3"/>
        <charset val="134"/>
      </rPr>
      <t>容积率</t>
    </r>
    <phoneticPr fontId="3" type="noConversion"/>
  </si>
  <si>
    <r>
      <rPr>
        <b/>
        <sz val="11"/>
        <color theme="1"/>
        <rFont val="仿宋_GB2312"/>
        <family val="3"/>
        <charset val="134"/>
      </rPr>
      <t>区位状况</t>
    </r>
    <phoneticPr fontId="3" type="noConversion"/>
  </si>
  <si>
    <r>
      <rPr>
        <sz val="11"/>
        <color theme="1"/>
        <rFont val="仿宋_GB2312"/>
        <family val="3"/>
        <charset val="134"/>
      </rPr>
      <t>居住社区成熟度</t>
    </r>
    <phoneticPr fontId="3" type="noConversion"/>
  </si>
  <si>
    <r>
      <rPr>
        <sz val="11"/>
        <color theme="1"/>
        <rFont val="仿宋_GB2312"/>
        <family val="3"/>
        <charset val="134"/>
      </rPr>
      <t>好</t>
    </r>
    <phoneticPr fontId="3" type="noConversion"/>
  </si>
  <si>
    <r>
      <rPr>
        <sz val="11"/>
        <color theme="1"/>
        <rFont val="仿宋_GB2312"/>
        <family val="3"/>
        <charset val="134"/>
      </rPr>
      <t>较好</t>
    </r>
    <phoneticPr fontId="3" type="noConversion"/>
  </si>
  <si>
    <r>
      <rPr>
        <sz val="11"/>
        <color theme="1"/>
        <rFont val="仿宋_GB2312"/>
        <family val="3"/>
        <charset val="134"/>
      </rPr>
      <t>一般</t>
    </r>
    <phoneticPr fontId="3" type="noConversion"/>
  </si>
  <si>
    <r>
      <rPr>
        <sz val="11"/>
        <color theme="1"/>
        <rFont val="仿宋_GB2312"/>
        <family val="3"/>
        <charset val="134"/>
      </rPr>
      <t>较差</t>
    </r>
    <phoneticPr fontId="3" type="noConversion"/>
  </si>
  <si>
    <r>
      <rPr>
        <sz val="11"/>
        <color theme="1"/>
        <rFont val="仿宋_GB2312"/>
        <family val="3"/>
        <charset val="134"/>
      </rPr>
      <t>差</t>
    </r>
    <phoneticPr fontId="3" type="noConversion"/>
  </si>
  <si>
    <r>
      <rPr>
        <sz val="11"/>
        <color theme="1"/>
        <rFont val="仿宋_GB2312"/>
        <family val="3"/>
        <charset val="134"/>
      </rPr>
      <t>交通便捷度</t>
    </r>
    <phoneticPr fontId="3" type="noConversion"/>
  </si>
  <si>
    <t>七通</t>
    <phoneticPr fontId="3" type="noConversion"/>
  </si>
  <si>
    <t>六通</t>
    <phoneticPr fontId="3" type="noConversion"/>
  </si>
  <si>
    <t>四通</t>
    <phoneticPr fontId="3" type="noConversion"/>
  </si>
  <si>
    <t>三通</t>
    <phoneticPr fontId="3" type="noConversion"/>
  </si>
  <si>
    <r>
      <rPr>
        <sz val="11"/>
        <color theme="1"/>
        <rFont val="仿宋_GB2312"/>
        <family val="3"/>
        <charset val="134"/>
      </rPr>
      <t>自然及人文环境</t>
    </r>
    <phoneticPr fontId="3" type="noConversion"/>
  </si>
  <si>
    <r>
      <rPr>
        <sz val="11"/>
        <color theme="1"/>
        <rFont val="仿宋_GB2312"/>
        <family val="3"/>
        <charset val="134"/>
      </rPr>
      <t>好</t>
    </r>
    <phoneticPr fontId="3" type="noConversion"/>
  </si>
  <si>
    <r>
      <rPr>
        <sz val="11"/>
        <color theme="1"/>
        <rFont val="仿宋_GB2312"/>
        <family val="3"/>
        <charset val="134"/>
      </rPr>
      <t>较好</t>
    </r>
    <phoneticPr fontId="3" type="noConversion"/>
  </si>
  <si>
    <r>
      <rPr>
        <sz val="11"/>
        <color theme="1"/>
        <rFont val="仿宋_GB2312"/>
        <family val="3"/>
        <charset val="134"/>
      </rPr>
      <t>一般</t>
    </r>
    <phoneticPr fontId="3" type="noConversion"/>
  </si>
  <si>
    <r>
      <rPr>
        <sz val="11"/>
        <color theme="1"/>
        <rFont val="仿宋_GB2312"/>
        <family val="3"/>
        <charset val="134"/>
      </rPr>
      <t>较差</t>
    </r>
    <phoneticPr fontId="3" type="noConversion"/>
  </si>
  <si>
    <r>
      <rPr>
        <sz val="11"/>
        <color theme="1"/>
        <rFont val="仿宋_GB2312"/>
        <family val="3"/>
        <charset val="134"/>
      </rPr>
      <t>差</t>
    </r>
    <phoneticPr fontId="3" type="noConversion"/>
  </si>
  <si>
    <t>楼层-1</t>
    <phoneticPr fontId="3" type="noConversion"/>
  </si>
  <si>
    <r>
      <rPr>
        <sz val="11"/>
        <color theme="1"/>
        <rFont val="仿宋_GB2312"/>
        <family val="3"/>
        <charset val="134"/>
      </rPr>
      <t>朝向</t>
    </r>
    <phoneticPr fontId="3" type="noConversion"/>
  </si>
  <si>
    <r>
      <rPr>
        <b/>
        <sz val="11"/>
        <color theme="1"/>
        <rFont val="仿宋_GB2312"/>
        <family val="3"/>
        <charset val="134"/>
      </rPr>
      <t>实物状况</t>
    </r>
    <phoneticPr fontId="3" type="noConversion"/>
  </si>
  <si>
    <r>
      <rPr>
        <sz val="11"/>
        <color theme="1"/>
        <rFont val="仿宋_GB2312"/>
        <family val="3"/>
        <charset val="134"/>
      </rPr>
      <t>建筑类型</t>
    </r>
    <phoneticPr fontId="3" type="noConversion"/>
  </si>
  <si>
    <t>高层</t>
    <phoneticPr fontId="3" type="noConversion"/>
  </si>
  <si>
    <r>
      <rPr>
        <sz val="11"/>
        <color theme="1"/>
        <rFont val="仿宋_GB2312"/>
        <family val="3"/>
        <charset val="134"/>
      </rPr>
      <t>项目建筑规模</t>
    </r>
    <phoneticPr fontId="3" type="noConversion"/>
  </si>
  <si>
    <r>
      <rPr>
        <sz val="11"/>
        <color theme="1"/>
        <rFont val="仿宋_GB2312"/>
        <family val="3"/>
        <charset val="134"/>
      </rPr>
      <t>建筑结构</t>
    </r>
    <phoneticPr fontId="3" type="noConversion"/>
  </si>
  <si>
    <r>
      <rPr>
        <sz val="11"/>
        <color theme="1"/>
        <rFont val="仿宋_GB2312"/>
        <family val="3"/>
        <charset val="134"/>
      </rPr>
      <t>建筑品质</t>
    </r>
    <phoneticPr fontId="3" type="noConversion"/>
  </si>
  <si>
    <t>高档</t>
    <phoneticPr fontId="3" type="noConversion"/>
  </si>
  <si>
    <t>中档</t>
    <phoneticPr fontId="3" type="noConversion"/>
  </si>
  <si>
    <r>
      <rPr>
        <sz val="11"/>
        <color theme="1"/>
        <rFont val="仿宋_GB2312"/>
        <family val="3"/>
        <charset val="134"/>
      </rPr>
      <t>公共部分装修</t>
    </r>
    <phoneticPr fontId="3" type="noConversion"/>
  </si>
  <si>
    <t>精装修</t>
    <phoneticPr fontId="3" type="noConversion"/>
  </si>
  <si>
    <t>普通装修</t>
    <phoneticPr fontId="3" type="noConversion"/>
  </si>
  <si>
    <t>毛坯</t>
    <phoneticPr fontId="3" type="noConversion"/>
  </si>
  <si>
    <r>
      <rPr>
        <sz val="11"/>
        <color theme="1"/>
        <rFont val="仿宋_GB2312"/>
        <family val="3"/>
        <charset val="134"/>
      </rPr>
      <t>成新度</t>
    </r>
    <phoneticPr fontId="3" type="noConversion"/>
  </si>
  <si>
    <r>
      <rPr>
        <sz val="11"/>
        <color theme="1"/>
        <rFont val="仿宋_GB2312"/>
        <family val="3"/>
        <charset val="134"/>
      </rPr>
      <t>物业管理</t>
    </r>
    <phoneticPr fontId="3" type="noConversion"/>
  </si>
  <si>
    <t>专业</t>
    <phoneticPr fontId="3" type="noConversion"/>
  </si>
  <si>
    <t>普通</t>
    <phoneticPr fontId="3" type="noConversion"/>
  </si>
  <si>
    <t>市政基础设施</t>
    <phoneticPr fontId="3" type="noConversion"/>
  </si>
  <si>
    <r>
      <rPr>
        <sz val="11"/>
        <color theme="1"/>
        <rFont val="仿宋_GB2312"/>
        <family val="3"/>
        <charset val="134"/>
      </rPr>
      <t>房型</t>
    </r>
    <phoneticPr fontId="3" type="noConversion"/>
  </si>
  <si>
    <r>
      <rPr>
        <sz val="11"/>
        <color theme="1"/>
        <rFont val="仿宋_GB2312"/>
        <family val="3"/>
        <charset val="134"/>
      </rPr>
      <t>内部装修</t>
    </r>
    <phoneticPr fontId="3" type="noConversion"/>
  </si>
  <si>
    <t>精装修</t>
    <phoneticPr fontId="3" type="noConversion"/>
  </si>
  <si>
    <t>简装</t>
    <phoneticPr fontId="3" type="noConversion"/>
  </si>
  <si>
    <t>毛坯</t>
    <phoneticPr fontId="3" type="noConversion"/>
  </si>
  <si>
    <r>
      <rPr>
        <sz val="11"/>
        <color theme="1"/>
        <rFont val="仿宋_GB2312"/>
        <family val="3"/>
        <charset val="134"/>
      </rPr>
      <t>内部装修维护情况</t>
    </r>
    <phoneticPr fontId="3" type="noConversion"/>
  </si>
  <si>
    <t>楼层修正-2：多层及高层同时修正时的处理，以普通无电梯多层为基准</t>
    <phoneticPr fontId="3" type="noConversion"/>
  </si>
  <si>
    <t>多层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</si>
  <si>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</si>
  <si>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</si>
  <si>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</si>
  <si>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</si>
  <si>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</si>
  <si>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</si>
  <si>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</si>
  <si>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</si>
  <si>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</si>
  <si>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</si>
  <si>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</si>
  <si>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</si>
  <si>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</si>
  <si>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</si>
  <si>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</si>
  <si>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</si>
  <si>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</si>
  <si>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估价对象周边居住用地比例、居住小区规模和社区发展完善程度，综合评价居住社区成熟度一般</t>
  </si>
  <si>
    <t>估价对象周边居住用地比例、居住小区规模和社区发展完善程度，综合评价居住社区成熟度较好</t>
    <phoneticPr fontId="228" type="noConversion"/>
  </si>
  <si>
    <t>估价对象周边道路状况、公共交通通达情况、停车便捷程度，综合评价交通便捷度较好</t>
  </si>
  <si>
    <t>估价对象所在区域公共配套设施齐备情况</t>
  </si>
  <si>
    <t>估价对象周边道路状况、公共交通通达情况、停车便捷程度，综合评价交通便捷度较好</t>
    <phoneticPr fontId="228" type="noConversion"/>
  </si>
  <si>
    <t>估价对象周边道路状况、公共交通通达情况、停车便捷程度，综合评价交通便捷度较好</t>
    <phoneticPr fontId="228" type="noConversion"/>
  </si>
  <si>
    <t>规则</t>
  </si>
  <si>
    <t>规则</t>
    <phoneticPr fontId="26" type="noConversion"/>
  </si>
  <si>
    <t>较规则</t>
    <phoneticPr fontId="26" type="noConversion"/>
  </si>
  <si>
    <t>较好</t>
    <phoneticPr fontId="26" type="noConversion"/>
  </si>
  <si>
    <t>估价对象位于XX商圈，周边商业氛围成熟，人流量大，商业繁华度好</t>
  </si>
  <si>
    <t>估价对象位于XX商圈，周边办公楼项目较多，入驻率高，办公集聚程度较好</t>
  </si>
  <si>
    <t>区域自然环境：；人文环境；综合评价环境状况一般</t>
  </si>
  <si>
    <t>估价对象所在区域基础设施水平</t>
  </si>
  <si>
    <t>扬中市油坊镇</t>
    <phoneticPr fontId="6" type="noConversion"/>
  </si>
  <si>
    <t>其它商服用地</t>
    <phoneticPr fontId="6" type="noConversion"/>
  </si>
  <si>
    <t>《国有建设用地使用权出让合同》[3211822013CR(注资）064]及附件、《北京市规划委员会关于同意XX项目的规划设计方案的规划意见复函》[]以及《建设工程规划许可证》[]</t>
    <phoneticPr fontId="6" type="noConversion"/>
  </si>
  <si>
    <t>五通</t>
    <phoneticPr fontId="228" type="noConversion"/>
  </si>
  <si>
    <t>商业、住宅</t>
  </si>
  <si>
    <t>商业、住宅</t>
    <phoneticPr fontId="26" type="noConversion"/>
  </si>
  <si>
    <t>华鹏卢浮至尊</t>
    <phoneticPr fontId="3" type="noConversion"/>
  </si>
  <si>
    <t>保集梧桐墅</t>
    <phoneticPr fontId="3" type="noConversion"/>
  </si>
  <si>
    <t>大航控股集团有限公司</t>
    <phoneticPr fontId="3" type="noConversion"/>
  </si>
  <si>
    <t>光大兴陇信托有限责任公司</t>
    <phoneticPr fontId="3" type="noConversion"/>
  </si>
  <si>
    <t>截止日期</t>
  </si>
  <si>
    <t>土地星级</t>
  </si>
  <si>
    <t>联盟南路东侧、迎宾大道南侧、新民南路西侧、南江路北侧</t>
  </si>
  <si>
    <t>综合用地(含住宅)</t>
  </si>
  <si>
    <t>大于或等于2并且小于或等于2.7</t>
  </si>
  <si>
    <t>2019-05-29</t>
  </si>
  <si>
    <t>新城控股集团企业管理有限公司</t>
  </si>
  <si>
    <t>规划道路东侧、规划区间路南侧、联盟南路西侧、南江路北侧</t>
  </si>
  <si>
    <t>大于或等于2并且小于或等于2.6</t>
  </si>
  <si>
    <t>2019-05-23</t>
  </si>
  <si>
    <t>规划道路东侧、迎宾大道南侧、联盟南路西侧、规划区间路北侧</t>
  </si>
  <si>
    <t>大于或等于2并且小于或等于2.8</t>
  </si>
  <si>
    <t>浩云湾东南侧、中电大道西侧、祁家路北侧</t>
  </si>
  <si>
    <t>港东北路东侧、亚东电器厂片区</t>
  </si>
  <si>
    <t>大于1并且小于或等于1.5</t>
  </si>
  <si>
    <t>2019-04-22</t>
  </si>
  <si>
    <t>建中河南侧、翠竹北路西侧</t>
  </si>
  <si>
    <t>镇江乾建置业有限公司</t>
  </si>
  <si>
    <t>兴阳村联丰港东侧向阳河西侧</t>
  </si>
  <si>
    <t>商业/办公用地</t>
  </si>
  <si>
    <t>小于或等于1.21</t>
  </si>
  <si>
    <t>扬中市京城经贸实业总公司</t>
  </si>
  <si>
    <t>宜禾路北侧、鑫源钢铁西侧</t>
  </si>
  <si>
    <t>大于1并且小于或等于1.2</t>
  </si>
  <si>
    <t>新坝镇大全路南侧、浮玉花园北侧</t>
  </si>
  <si>
    <t>扬中市华兴房地产开发有限公司</t>
  </si>
  <si>
    <t>2019-03-04</t>
  </si>
  <si>
    <t>扬中市嘉茂建设工程有限公司</t>
  </si>
  <si>
    <t>翠竹北路城北幼儿园西侧</t>
  </si>
  <si>
    <t>江苏欣润置业有限公司</t>
  </si>
  <si>
    <t>238省道东侧、永兴村委会以北</t>
  </si>
  <si>
    <t>小于或等于1</t>
  </si>
  <si>
    <t>扬中市物资集团总公司</t>
  </si>
  <si>
    <t>开发区长新路北侧、永战河西侧</t>
  </si>
  <si>
    <t>小于或等于1.8</t>
  </si>
  <si>
    <t>镇江昱然建设工程有限公司、扬中市禾丰农资有限公司</t>
  </si>
  <si>
    <t>雷公岛西南侧</t>
  </si>
  <si>
    <t>小于或等于0.2</t>
  </si>
  <si>
    <t>镇江大全旅游发展有限公司</t>
  </si>
  <si>
    <t>新坝镇新政西路北侧、新中路以东</t>
  </si>
  <si>
    <t>小于或等于2</t>
  </si>
  <si>
    <t>大全集团有限公司</t>
  </si>
  <si>
    <t>新坝镇238省道西侧,中新路南侧</t>
  </si>
  <si>
    <t>小于或等于1.5</t>
  </si>
  <si>
    <t>江苏大航车业有限公司</t>
  </si>
  <si>
    <t>新坝镇238省道西侧、电器城南侧</t>
  </si>
  <si>
    <t>新坝镇238省道西侧,支五路南侧</t>
  </si>
  <si>
    <t>238省道西侧、龙达磨具公司已北</t>
  </si>
  <si>
    <t>中国石油天然气股份有限公司江苏镇江销售分公司</t>
  </si>
  <si>
    <t>新坝镇工商所西侧、大航集团北侧</t>
  </si>
  <si>
    <t>蒋小银</t>
  </si>
  <si>
    <t>市区复振路南侧、河南桥路东侧</t>
  </si>
  <si>
    <t>扬中市凯达机动车驾驶员培训有限公司</t>
  </si>
  <si>
    <t>新坝镇新政东路北侧、新坝工商所西侧</t>
  </si>
  <si>
    <t>镇江市达发电器有限公司</t>
  </si>
  <si>
    <t>西来桥镇幸福大桥南侧、江堤西侧</t>
  </si>
  <si>
    <t>小于或等于0.3</t>
  </si>
  <si>
    <t>扬中市绿地园林研究中心</t>
  </si>
  <si>
    <t>小于或等于0.1</t>
  </si>
  <si>
    <t>翠竹南路与文昌路交叉口西南角</t>
  </si>
  <si>
    <t>小于或等于2.7</t>
  </si>
  <si>
    <t>江苏东阳房地产开发有限公司</t>
  </si>
  <si>
    <t>雷公岛西南侧地块一</t>
  </si>
  <si>
    <t>小于或等于0.6</t>
  </si>
  <si>
    <t>恒大养生谷</t>
    <phoneticPr fontId="3" type="noConversion"/>
  </si>
  <si>
    <t>洋房</t>
    <phoneticPr fontId="3" type="noConversion"/>
  </si>
  <si>
    <t>高层</t>
    <phoneticPr fontId="228" type="noConversion"/>
  </si>
  <si>
    <t>《不动产权证书》[苏（2019）扬中市不动产权第9000052、9000053、9000054、9000055号]</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</si>
</sst>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6"/>
      <color theme="1"/>
      <name val="仿宋_GB2312"/>
      <family val="3"/>
      <charset val="134"/>
    </font>
    <font>
      <b/>
      <sz val="16"/>
      <color theme="1"/>
      <name val="Arial"/>
      <family val="2"/>
    </font>
    <font>
      <b/>
      <sz val="12"/>
      <color theme="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9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00" fillId="8" borderId="2" xfId="0" applyFont="1" applyFill="1" applyBorder="1" applyAlignment="1" applyProtection="1">
      <alignment horizontal="center" vertical="center" wrapText="1"/>
      <protection locked="0"/>
    </xf>
    <xf numFmtId="0" fontId="127" fillId="8" borderId="2" xfId="0" applyFont="1" applyFill="1" applyBorder="1" applyAlignment="1" applyProtection="1">
      <alignment horizontal="center" vertical="center" wrapText="1"/>
      <protection locked="0"/>
    </xf>
    <xf numFmtId="0" fontId="151" fillId="5" borderId="4" xfId="1" applyFont="1" applyFill="1" applyBorder="1" applyAlignment="1" applyProtection="1">
      <alignment vertical="center"/>
    </xf>
    <xf numFmtId="0" fontId="101" fillId="5" borderId="5" xfId="1" applyFont="1" applyFill="1" applyBorder="1" applyAlignment="1" applyProtection="1">
      <alignment horizontal="right" vertical="center"/>
    </xf>
    <xf numFmtId="0" fontId="101" fillId="5" borderId="8" xfId="1" applyFont="1" applyFill="1" applyBorder="1" applyAlignment="1" applyProtection="1">
      <alignment horizontal="center" vertical="center"/>
    </xf>
    <xf numFmtId="0" fontId="101" fillId="2" borderId="8" xfId="1" applyFont="1" applyFill="1" applyBorder="1" applyAlignment="1" applyProtection="1">
      <alignment vertical="center"/>
      <protection locked="0"/>
    </xf>
    <xf numFmtId="0" fontId="101" fillId="6" borderId="9" xfId="1" applyFont="1" applyFill="1" applyBorder="1" applyAlignment="1" applyProtection="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pplyAlignment="1" applyProtection="1">
      <alignment vertical="center"/>
    </xf>
    <xf numFmtId="0" fontId="101" fillId="5" borderId="14" xfId="1" applyFont="1" applyFill="1" applyBorder="1" applyAlignment="1" applyProtection="1">
      <alignment vertical="center"/>
    </xf>
    <xf numFmtId="188" fontId="101" fillId="5" borderId="14" xfId="1" applyNumberFormat="1" applyFont="1" applyFill="1" applyBorder="1" applyAlignment="1" applyProtection="1">
      <alignment horizontal="center" vertical="center"/>
    </xf>
    <xf numFmtId="182"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0" fontId="97" fillId="5" borderId="21" xfId="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188" fontId="97" fillId="5" borderId="0" xfId="1" applyNumberFormat="1" applyFont="1" applyFill="1" applyBorder="1" applyAlignment="1" applyProtection="1">
      <alignment horizontal="center" vertical="center"/>
      <protection locked="0"/>
    </xf>
    <xf numFmtId="182"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8" fontId="71" fillId="5" borderId="57"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188" fontId="71" fillId="5" borderId="16" xfId="1" applyNumberFormat="1" applyFont="1" applyFill="1" applyBorder="1" applyAlignment="1" applyProtection="1">
      <alignment horizontal="center"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4"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4"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4" fontId="71" fillId="0" borderId="33" xfId="1" applyNumberFormat="1" applyFont="1" applyFill="1" applyBorder="1" applyAlignment="1" applyProtection="1">
      <alignment horizontal="center" vertical="center" wrapText="1"/>
      <protection locked="0"/>
    </xf>
    <xf numFmtId="0" fontId="71" fillId="5" borderId="16"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7"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81" fillId="0"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0" fontId="71" fillId="5" borderId="29" xfId="1" applyNumberFormat="1" applyFont="1" applyFill="1" applyBorder="1" applyAlignment="1" applyProtection="1">
      <alignment horizontal="center" vertical="center" wrapText="1"/>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182"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182"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71"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6" fillId="5" borderId="16"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182"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247" fillId="5" borderId="24"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0" fontId="84" fillId="5" borderId="40" xfId="1" applyNumberFormat="1" applyFont="1" applyFill="1" applyBorder="1" applyAlignment="1" applyProtection="1">
      <alignment horizontal="center" vertical="center" wrapText="1"/>
    </xf>
    <xf numFmtId="0" fontId="106" fillId="0" borderId="76"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7"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0" fontId="84" fillId="5" borderId="17" xfId="1" applyNumberFormat="1" applyFont="1" applyFill="1" applyBorder="1" applyAlignment="1" applyProtection="1">
      <alignment horizontal="center" vertical="center" wrapText="1"/>
    </xf>
    <xf numFmtId="0" fontId="84" fillId="5" borderId="52" xfId="1" applyNumberFormat="1" applyFont="1" applyFill="1" applyBorder="1" applyAlignment="1" applyProtection="1">
      <alignment horizontal="center" vertical="center" wrapText="1"/>
    </xf>
    <xf numFmtId="0" fontId="106" fillId="5" borderId="77"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17" xfId="1" applyFont="1" applyFill="1" applyBorder="1" applyAlignment="1" applyProtection="1">
      <alignment horizontal="center" vertical="center" wrapText="1"/>
    </xf>
    <xf numFmtId="0" fontId="52" fillId="5" borderId="4" xfId="1" applyFont="1" applyFill="1" applyBorder="1" applyAlignment="1" applyProtection="1">
      <alignment horizontal="center" vertical="center" wrapText="1"/>
    </xf>
    <xf numFmtId="49" fontId="84" fillId="0" borderId="3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52" fillId="5" borderId="13" xfId="1" applyFont="1" applyFill="1" applyBorder="1" applyAlignment="1" applyProtection="1">
      <alignment horizontal="center" vertical="center" wrapText="1"/>
    </xf>
    <xf numFmtId="0" fontId="71" fillId="5" borderId="13" xfId="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0" fontId="52" fillId="5" borderId="5" xfId="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49" fontId="71" fillId="0" borderId="20" xfId="1" applyNumberFormat="1" applyFont="1" applyFill="1" applyBorder="1" applyAlignment="1" applyProtection="1">
      <alignment horizontal="center" vertical="center" wrapText="1"/>
      <protection locked="0"/>
    </xf>
    <xf numFmtId="0" fontId="71" fillId="5" borderId="17"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247"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100" fillId="5" borderId="24" xfId="1" applyFont="1" applyFill="1" applyBorder="1" applyAlignment="1" applyProtection="1">
      <alignment vertical="center" textRotation="255" wrapText="1"/>
    </xf>
    <xf numFmtId="0" fontId="71" fillId="0" borderId="64"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84" fillId="2" borderId="11" xfId="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0" borderId="64"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71" fillId="0" borderId="45" xfId="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xf>
    <xf numFmtId="182"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0" fontId="83" fillId="5" borderId="61" xfId="1" applyNumberFormat="1" applyFont="1" applyFill="1" applyBorder="1" applyAlignment="1" applyProtection="1">
      <alignment vertical="center" wrapText="1"/>
    </xf>
    <xf numFmtId="188" fontId="84" fillId="5" borderId="46"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2" fontId="84" fillId="5" borderId="5" xfId="1" applyNumberFormat="1" applyFont="1" applyFill="1" applyBorder="1" applyAlignment="1" applyProtection="1">
      <alignment horizontal="center" vertical="center"/>
    </xf>
    <xf numFmtId="182"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8" fontId="84" fillId="5" borderId="0" xfId="1" applyNumberFormat="1" applyFont="1" applyFill="1" applyBorder="1" applyAlignment="1" applyProtection="1">
      <alignment horizontal="center"/>
    </xf>
    <xf numFmtId="182"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9" fontId="71" fillId="5" borderId="6"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9"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0" borderId="32"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xf>
    <xf numFmtId="0" fontId="84" fillId="0" borderId="72" xfId="1" applyNumberFormat="1" applyFont="1" applyFill="1" applyBorder="1" applyAlignment="1" applyProtection="1">
      <alignment horizontal="center" vertical="center" wrapText="1"/>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5" borderId="71" xfId="1" applyNumberFormat="1" applyFont="1" applyFill="1" applyBorder="1" applyAlignment="1" applyProtection="1">
      <alignment horizontal="center" vertical="center" wrapText="1"/>
    </xf>
    <xf numFmtId="0" fontId="71" fillId="0" borderId="78" xfId="1" applyNumberFormat="1" applyFont="1" applyFill="1" applyBorder="1" applyAlignment="1" applyProtection="1">
      <alignment horizontal="center" vertical="center"/>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3" fillId="5" borderId="23" xfId="1" applyNumberFormat="1" applyFont="1" applyFill="1" applyBorder="1" applyAlignment="1" applyProtection="1">
      <alignment vertical="center" wrapText="1"/>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81" fillId="0" borderId="74" xfId="1" applyNumberFormat="1" applyFont="1" applyFill="1" applyBorder="1" applyAlignment="1" applyProtection="1">
      <alignment horizontal="center" vertical="center" wrapText="1"/>
      <protection locked="0"/>
    </xf>
    <xf numFmtId="0" fontId="144" fillId="0" borderId="74" xfId="1" applyNumberFormat="1" applyFont="1" applyFill="1" applyBorder="1" applyAlignment="1" applyProtection="1">
      <alignment horizontal="center" vertical="center" wrapText="1"/>
      <protection locked="0"/>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0" borderId="0" xfId="1" applyFont="1" applyFill="1" applyAlignment="1" applyProtection="1">
      <alignment horizontal="center" vertical="center"/>
      <protection locked="0"/>
    </xf>
    <xf numFmtId="188" fontId="84" fillId="0" borderId="0" xfId="1" applyNumberFormat="1" applyFont="1" applyFill="1" applyAlignment="1" applyProtection="1">
      <alignment horizontal="center" vertical="center"/>
      <protection locked="0"/>
    </xf>
    <xf numFmtId="182" fontId="84" fillId="0" borderId="0" xfId="1" applyNumberFormat="1" applyFont="1" applyFill="1" applyAlignment="1" applyProtection="1">
      <alignment horizontal="center" vertical="center"/>
      <protection locked="0"/>
    </xf>
    <xf numFmtId="0" fontId="183" fillId="0" borderId="0" xfId="1" applyFont="1" applyFill="1" applyAlignment="1" applyProtection="1">
      <alignment horizontal="left" vertical="center"/>
      <protection locked="0"/>
    </xf>
    <xf numFmtId="0" fontId="58" fillId="0" borderId="0" xfId="1" applyFont="1" applyFill="1" applyAlignment="1" applyProtection="1">
      <alignment horizontal="center" vertical="center"/>
      <protection locked="0"/>
    </xf>
    <xf numFmtId="188" fontId="58" fillId="0" borderId="0" xfId="1" applyNumberFormat="1" applyFont="1" applyFill="1" applyAlignment="1" applyProtection="1">
      <alignment horizontal="center" vertical="center"/>
      <protection locked="0"/>
    </xf>
    <xf numFmtId="0" fontId="160" fillId="5" borderId="26" xfId="1" applyFont="1" applyFill="1" applyBorder="1" applyAlignment="1" applyProtection="1">
      <alignment horizontal="center" vertical="center"/>
    </xf>
    <xf numFmtId="0" fontId="140" fillId="5" borderId="28" xfId="1" applyFont="1" applyFill="1" applyBorder="1" applyAlignment="1" applyProtection="1">
      <alignment horizontal="center" vertical="center"/>
    </xf>
    <xf numFmtId="0" fontId="58" fillId="5" borderId="28" xfId="1" applyFont="1" applyFill="1" applyBorder="1" applyAlignment="1" applyProtection="1">
      <alignment horizontal="center" vertical="center"/>
    </xf>
    <xf numFmtId="0" fontId="58" fillId="5" borderId="39" xfId="1" applyFont="1" applyFill="1" applyBorder="1" applyAlignment="1" applyProtection="1">
      <alignment horizontal="center" vertical="center"/>
    </xf>
    <xf numFmtId="0" fontId="160" fillId="5" borderId="28" xfId="1" applyFont="1" applyFill="1" applyBorder="1" applyAlignment="1" applyProtection="1">
      <alignment horizontal="center" vertical="center"/>
    </xf>
    <xf numFmtId="0" fontId="140" fillId="5" borderId="39" xfId="1" applyFont="1" applyFill="1" applyBorder="1" applyAlignment="1" applyProtection="1">
      <alignment horizontal="center" vertical="center"/>
    </xf>
    <xf numFmtId="0" fontId="140" fillId="5" borderId="87" xfId="1" applyFont="1" applyFill="1" applyBorder="1" applyProtection="1">
      <alignment vertical="center"/>
    </xf>
    <xf numFmtId="0" fontId="160" fillId="5" borderId="2" xfId="1" applyFont="1" applyFill="1" applyBorder="1" applyAlignment="1" applyProtection="1">
      <alignment horizontal="center" vertical="center"/>
    </xf>
    <xf numFmtId="0" fontId="160" fillId="5" borderId="5" xfId="1" applyFont="1" applyFill="1" applyBorder="1" applyAlignment="1" applyProtection="1">
      <alignment horizontal="center" vertical="center"/>
    </xf>
    <xf numFmtId="0" fontId="160" fillId="5" borderId="94" xfId="1" applyFont="1" applyFill="1" applyBorder="1" applyAlignment="1" applyProtection="1">
      <alignment horizontal="center" vertical="center"/>
    </xf>
    <xf numFmtId="0" fontId="160" fillId="5" borderId="12" xfId="1" applyFont="1" applyFill="1" applyBorder="1" applyAlignment="1" applyProtection="1">
      <alignment horizontal="center" vertical="center"/>
    </xf>
    <xf numFmtId="0" fontId="140"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60"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60" fillId="5" borderId="20" xfId="1" applyFont="1" applyFill="1" applyBorder="1" applyAlignment="1" applyProtection="1">
      <alignment horizontal="center" vertical="center"/>
    </xf>
    <xf numFmtId="186"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0"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60"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9" fontId="106" fillId="5" borderId="12" xfId="1" applyNumberFormat="1" applyFont="1" applyFill="1" applyBorder="1" applyAlignment="1" applyProtection="1">
      <alignment horizontal="center" vertical="center"/>
    </xf>
    <xf numFmtId="179" fontId="106" fillId="0" borderId="12" xfId="1" applyNumberFormat="1" applyFont="1" applyBorder="1" applyAlignment="1" applyProtection="1">
      <alignment horizontal="center" vertical="center"/>
      <protection locked="0"/>
    </xf>
    <xf numFmtId="0" fontId="160"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60"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0" fillId="5" borderId="61" xfId="1" applyFont="1" applyFill="1" applyBorder="1" applyAlignment="1" applyProtection="1">
      <alignment horizontal="center" vertical="center"/>
    </xf>
    <xf numFmtId="0" fontId="140" fillId="5" borderId="95" xfId="1" applyFont="1" applyFill="1" applyBorder="1" applyAlignment="1" applyProtection="1">
      <alignment horizontal="left" vertical="center"/>
    </xf>
    <xf numFmtId="0" fontId="58" fillId="5" borderId="61" xfId="1" applyFont="1" applyFill="1" applyBorder="1" applyAlignment="1" applyProtection="1">
      <alignment horizontal="center" vertical="center"/>
    </xf>
    <xf numFmtId="0" fontId="58" fillId="5" borderId="66" xfId="1" applyFont="1" applyFill="1" applyBorder="1" applyAlignment="1" applyProtection="1">
      <alignment horizontal="center" vertical="center"/>
    </xf>
    <xf numFmtId="0" fontId="160"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9" fontId="106" fillId="5" borderId="46" xfId="1" applyNumberFormat="1" applyFont="1" applyFill="1" applyBorder="1" applyAlignment="1" applyProtection="1">
      <alignment horizontal="center" vertical="center"/>
    </xf>
    <xf numFmtId="0" fontId="201" fillId="0" borderId="0" xfId="1" applyFont="1" applyFill="1" applyAlignment="1" applyProtection="1">
      <alignment horizontal="left" vertical="center"/>
      <protection locked="0"/>
    </xf>
    <xf numFmtId="188" fontId="84" fillId="0" borderId="0" xfId="1" applyNumberFormat="1" applyFont="1" applyFill="1" applyAlignment="1" applyProtection="1">
      <alignment horizontal="center" vertical="center"/>
    </xf>
    <xf numFmtId="182" fontId="84" fillId="0" borderId="0" xfId="1" applyNumberFormat="1" applyFont="1" applyFill="1" applyAlignment="1" applyProtection="1">
      <alignment horizontal="center" vertical="center"/>
    </xf>
    <xf numFmtId="49" fontId="144" fillId="0" borderId="58" xfId="1" applyNumberFormat="1" applyFont="1" applyFill="1" applyBorder="1" applyAlignment="1" applyProtection="1">
      <alignment horizontal="center" vertical="center" wrapText="1"/>
      <protection locked="0"/>
    </xf>
    <xf numFmtId="180" fontId="84" fillId="5" borderId="53" xfId="1" applyNumberFormat="1" applyFont="1" applyFill="1" applyBorder="1" applyAlignment="1" applyProtection="1">
      <alignment horizontal="center" vertical="center" wrapText="1"/>
    </xf>
    <xf numFmtId="49" fontId="84" fillId="5" borderId="22" xfId="1" applyNumberFormat="1" applyFont="1" applyFill="1" applyBorder="1" applyAlignment="1" applyProtection="1">
      <alignment horizontal="center" vertical="center" wrapText="1"/>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2" borderId="24" xfId="1" applyNumberFormat="1" applyFont="1" applyFill="1" applyBorder="1" applyAlignment="1" applyProtection="1">
      <alignment horizontal="center" vertical="center" wrapText="1"/>
      <protection locked="0"/>
    </xf>
    <xf numFmtId="9" fontId="71" fillId="5" borderId="0" xfId="0" applyNumberFormat="1" applyFont="1" applyFill="1" applyAlignment="1" applyProtection="1">
      <alignment vertical="center"/>
      <protection locked="0"/>
    </xf>
    <xf numFmtId="177" fontId="76" fillId="5" borderId="0" xfId="0" applyNumberFormat="1" applyFont="1" applyFill="1" applyAlignment="1" applyProtection="1">
      <alignment horizontal="center" vertical="center"/>
      <protection locked="0"/>
    </xf>
    <xf numFmtId="0" fontId="0" fillId="6" borderId="0" xfId="0" applyFill="1" applyAlignment="1"/>
    <xf numFmtId="0" fontId="0" fillId="0" borderId="0" xfId="0" applyFill="1" applyAlignment="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762000</xdr:colOff>
      <xdr:row>56</xdr:row>
      <xdr:rowOff>75690</xdr:rowOff>
    </xdr:from>
    <xdr:to>
      <xdr:col>13</xdr:col>
      <xdr:colOff>132638</xdr:colOff>
      <xdr:row>83</xdr:row>
      <xdr:rowOff>151645</xdr:rowOff>
    </xdr:to>
    <xdr:pic>
      <xdr:nvPicPr>
        <xdr:cNvPr id="2" name="图片 1"/>
        <xdr:cNvPicPr>
          <a:picLocks noChangeAspect="1"/>
        </xdr:cNvPicPr>
      </xdr:nvPicPr>
      <xdr:blipFill>
        <a:blip xmlns:r="http://schemas.openxmlformats.org/officeDocument/2006/relationships" r:embed="rId1"/>
        <a:stretch>
          <a:fillRect/>
        </a:stretch>
      </xdr:blipFill>
      <xdr:spPr>
        <a:xfrm>
          <a:off x="8077200" y="9143490"/>
          <a:ext cx="4437938" cy="4705105"/>
        </a:xfrm>
        <a:prstGeom prst="rect">
          <a:avLst/>
        </a:prstGeom>
      </xdr:spPr>
    </xdr:pic>
    <xdr:clientData/>
  </xdr:twoCellAnchor>
  <xdr:oneCellAnchor>
    <xdr:from>
      <xdr:col>3</xdr:col>
      <xdr:colOff>495300</xdr:colOff>
      <xdr:row>91</xdr:row>
      <xdr:rowOff>85725</xdr:rowOff>
    </xdr:from>
    <xdr:ext cx="184731" cy="264560"/>
    <xdr:sp macro="" textlink="">
      <xdr:nvSpPr>
        <xdr:cNvPr id="6" name="TextBox 5"/>
        <xdr:cNvSpPr txBox="1"/>
      </xdr:nvSpPr>
      <xdr:spPr>
        <a:xfrm>
          <a:off x="3305175" y="1482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zh-CN" altLang="en-US" sz="1100"/>
        </a:p>
      </xdr:txBody>
    </xdr:sp>
    <xdr:clientData/>
  </xdr:oneCellAnchor>
  <xdr:twoCellAnchor editAs="oneCell">
    <xdr:from>
      <xdr:col>0</xdr:col>
      <xdr:colOff>390525</xdr:colOff>
      <xdr:row>41</xdr:row>
      <xdr:rowOff>85725</xdr:rowOff>
    </xdr:from>
    <xdr:to>
      <xdr:col>7</xdr:col>
      <xdr:colOff>219075</xdr:colOff>
      <xdr:row>76</xdr:row>
      <xdr:rowOff>142118</xdr:rowOff>
    </xdr:to>
    <xdr:pic>
      <xdr:nvPicPr>
        <xdr:cNvPr id="18" name="图片 17"/>
        <xdr:cNvPicPr>
          <a:picLocks noChangeAspect="1"/>
        </xdr:cNvPicPr>
      </xdr:nvPicPr>
      <xdr:blipFill>
        <a:blip xmlns:r="http://schemas.openxmlformats.org/officeDocument/2006/relationships" r:embed="rId2"/>
        <a:stretch>
          <a:fillRect/>
        </a:stretch>
      </xdr:blipFill>
      <xdr:spPr>
        <a:xfrm>
          <a:off x="390525" y="7115175"/>
          <a:ext cx="6581775" cy="6057143"/>
        </a:xfrm>
        <a:prstGeom prst="rect">
          <a:avLst/>
        </a:prstGeom>
      </xdr:spPr>
    </xdr:pic>
    <xdr:clientData/>
  </xdr:twoCellAnchor>
  <xdr:twoCellAnchor editAs="oneCell">
    <xdr:from>
      <xdr:col>0</xdr:col>
      <xdr:colOff>314325</xdr:colOff>
      <xdr:row>60</xdr:row>
      <xdr:rowOff>168187</xdr:rowOff>
    </xdr:from>
    <xdr:to>
      <xdr:col>5</xdr:col>
      <xdr:colOff>2199292</xdr:colOff>
      <xdr:row>88</xdr:row>
      <xdr:rowOff>170713</xdr:rowOff>
    </xdr:to>
    <xdr:pic>
      <xdr:nvPicPr>
        <xdr:cNvPr id="19" name="图片 18"/>
        <xdr:cNvPicPr>
          <a:picLocks noChangeAspect="1"/>
        </xdr:cNvPicPr>
      </xdr:nvPicPr>
      <xdr:blipFill>
        <a:blip xmlns:r="http://schemas.openxmlformats.org/officeDocument/2006/relationships" r:embed="rId3"/>
        <a:stretch>
          <a:fillRect/>
        </a:stretch>
      </xdr:blipFill>
      <xdr:spPr>
        <a:xfrm>
          <a:off x="314325" y="10455187"/>
          <a:ext cx="6409342" cy="4803126"/>
        </a:xfrm>
        <a:prstGeom prst="rect">
          <a:avLst/>
        </a:prstGeom>
      </xdr:spPr>
    </xdr:pic>
    <xdr:clientData/>
  </xdr:twoCellAnchor>
  <xdr:twoCellAnchor editAs="oneCell">
    <xdr:from>
      <xdr:col>5</xdr:col>
      <xdr:colOff>1638300</xdr:colOff>
      <xdr:row>48</xdr:row>
      <xdr:rowOff>76200</xdr:rowOff>
    </xdr:from>
    <xdr:to>
      <xdr:col>12</xdr:col>
      <xdr:colOff>380589</xdr:colOff>
      <xdr:row>79</xdr:row>
      <xdr:rowOff>123071</xdr:rowOff>
    </xdr:to>
    <xdr:pic>
      <xdr:nvPicPr>
        <xdr:cNvPr id="7" name="图片 6"/>
        <xdr:cNvPicPr>
          <a:picLocks noChangeAspect="1"/>
        </xdr:cNvPicPr>
      </xdr:nvPicPr>
      <xdr:blipFill>
        <a:blip xmlns:r="http://schemas.openxmlformats.org/officeDocument/2006/relationships" r:embed="rId1"/>
        <a:stretch>
          <a:fillRect/>
        </a:stretch>
      </xdr:blipFill>
      <xdr:spPr>
        <a:xfrm>
          <a:off x="8915400" y="8305800"/>
          <a:ext cx="5057364" cy="53618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25;/&#25253;&#21578;/&#24402;&#26723;/2019/2019-1-0248-P01DYGJ1&#25196;&#20013;/&#26368;&#32456;/&#25196;&#20013;/280-&#32431;&#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032;&#22365;&#38215;%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032;&#22365;&#38215;%2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032;&#22365;&#38215;%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v>0</v>
          </cell>
        </row>
        <row r="13">
          <cell r="D13" t="str">
            <v>郑燚</v>
          </cell>
        </row>
        <row r="14">
          <cell r="D14" t="str">
            <v>苏海</v>
          </cell>
        </row>
        <row r="15">
          <cell r="D15" t="str">
            <v>杨红英</v>
          </cell>
        </row>
        <row r="16">
          <cell r="D16" t="str">
            <v>刘梅</v>
          </cell>
        </row>
        <row r="17">
          <cell r="D17" t="str">
            <v>张津夷</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住宅</v>
          </cell>
        </row>
        <row r="20">
          <cell r="C20" t="str">
            <v>商业</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t="str">
            <v>综合</v>
          </cell>
          <cell r="D77" t="str">
            <v>住宅</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t="str">
            <v>规则</v>
          </cell>
          <cell r="D121" t="str">
            <v>较规则</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t="str">
            <v>较好</v>
          </cell>
          <cell r="D125">
            <v>0</v>
          </cell>
          <cell r="E125">
            <v>0</v>
          </cell>
          <cell r="F125">
            <v>0</v>
          </cell>
          <cell r="G125">
            <v>0</v>
          </cell>
          <cell r="H125">
            <v>0</v>
          </cell>
          <cell r="I125">
            <v>0</v>
          </cell>
          <cell r="J125">
            <v>0</v>
          </cell>
          <cell r="K125">
            <v>0</v>
          </cell>
          <cell r="L125">
            <v>0</v>
          </cell>
          <cell r="M125">
            <v>0</v>
          </cell>
        </row>
        <row r="127">
          <cell r="B127" t="str">
            <v>工程地质条件</v>
          </cell>
          <cell r="C127" t="str">
            <v>较好</v>
          </cell>
          <cell r="D127">
            <v>0</v>
          </cell>
          <cell r="E127">
            <v>0</v>
          </cell>
          <cell r="F127">
            <v>0</v>
          </cell>
          <cell r="G127">
            <v>0</v>
          </cell>
          <cell r="H127">
            <v>0</v>
          </cell>
          <cell r="I127">
            <v>0</v>
          </cell>
          <cell r="J127">
            <v>0</v>
          </cell>
          <cell r="K127">
            <v>0</v>
          </cell>
          <cell r="L127">
            <v>0</v>
          </cell>
          <cell r="M127">
            <v>0</v>
          </cell>
        </row>
      </sheetData>
      <sheetData sheetId="19">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2"/>
      <sheetData sheetId="23"/>
      <sheetData sheetId="24"/>
      <sheetData sheetId="25"/>
      <sheetData sheetId="26"/>
      <sheetData sheetId="27"/>
      <sheetData sheetId="28"/>
      <sheetData sheetId="29"/>
      <sheetData sheetId="30"/>
      <sheetData sheetId="31"/>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5">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46695.985000000001</v>
          </cell>
          <cell r="C14">
            <v>13341.71</v>
          </cell>
          <cell r="D14">
            <v>13350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76274.695000000007</v>
          </cell>
          <cell r="C14">
            <v>21792.77</v>
          </cell>
          <cell r="D14">
            <v>21952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46088</v>
          </cell>
          <cell r="C14">
            <v>13168</v>
          </cell>
          <cell r="D14">
            <v>13001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2657</v>
      </c>
      <c r="B1" s="2869" t="s">
        <v>2754</v>
      </c>
    </row>
    <row r="2" spans="1:55" s="2873" customFormat="1" ht="15" thickTop="1">
      <c r="A2" s="2871" t="s">
        <v>2661</v>
      </c>
      <c r="B2" s="2872" t="str">
        <f>'预评函-封皮'!B37</f>
        <v>江苏省镇江市扬中市油坊镇出让国有建设用地使用权抵押价格预评估</v>
      </c>
      <c r="AX2" s="2874"/>
      <c r="AZ2" s="2874"/>
      <c r="BA2" s="2875"/>
      <c r="BC2" s="2875"/>
    </row>
    <row r="3" spans="1:55" s="2876" customFormat="1">
      <c r="A3" s="2855" t="s">
        <v>2662</v>
      </c>
      <c r="B3" s="2858" t="str">
        <f>'预评函-封皮'!B40</f>
        <v>大航控股集团有限公司</v>
      </c>
    </row>
    <row r="4" spans="1:55" s="2857" customFormat="1">
      <c r="A4" s="2855" t="s">
        <v>2663</v>
      </c>
      <c r="B4" s="2856" t="str">
        <f>'预评函-封皮'!B46</f>
        <v>赵雯、崔锴</v>
      </c>
      <c r="N4" s="2857" t="str">
        <f>'预评函-1'!A28</f>
        <v/>
      </c>
    </row>
    <row r="5" spans="1:55" s="2870" customFormat="1" ht="15" thickBot="1">
      <c r="A5" s="2877" t="s">
        <v>2664</v>
      </c>
      <c r="B5" s="2878" t="str">
        <f>'预评函-封皮'!B49</f>
        <v>康正预评字号</v>
      </c>
    </row>
    <row r="6" spans="1:55" s="2879" customFormat="1" ht="15" thickTop="1">
      <c r="A6" s="2871" t="s">
        <v>2706</v>
      </c>
      <c r="B6" s="2872" t="str">
        <f>'预评函-1'!A4</f>
        <v>受贵公司委托，我公司对江苏省镇江市扬中市油坊镇出让国有建设用地使用权抵押价格进行了预评估。</v>
      </c>
      <c r="AM6" s="2880"/>
    </row>
    <row r="7" spans="1:55" s="2854" customFormat="1">
      <c r="A7" s="2855" t="s">
        <v>2658</v>
      </c>
      <c r="B7" s="2856" t="str">
        <f>'预评函-1'!A6</f>
        <v>估价对象为使用的、位于江苏省镇江市扬中市油坊镇出让国有建设用地使用权。根据《国有土地使用证》[]，估价对象（分摊）出让国有建设用地使用权面积为21830.94平方米。根据《建设工程规划许可证》[]、《出让合同》[]，估价对象规划建筑面积为76408.29平方米。</v>
      </c>
    </row>
    <row r="8" spans="1:55" s="2854" customFormat="1">
      <c r="A8" s="2855" t="s">
        <v>2659</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2709</v>
      </c>
      <c r="B9" s="2856" t="str">
        <f>'预评函-1'!A9</f>
        <v>委托估价方在向金融机构（光大兴陇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54" customFormat="1">
      <c r="A10" s="2855" t="s">
        <v>2660</v>
      </c>
      <c r="B10" s="2856" t="str">
        <f>'预评函-1'!A11</f>
        <v>2019年7月3日（评估专业人员勘察现场之日）</v>
      </c>
    </row>
    <row r="11" spans="1:55" s="2854" customFormat="1">
      <c r="A11" s="2855" t="s">
        <v>2666</v>
      </c>
      <c r="B11" s="2856" t="str">
        <f>'预评函-1'!A14</f>
        <v>根据《不动产权证书》[苏（2019）扬中市不动产权第9000052、9000053、9000054、9000055号]，本次评估估价对象证载（地类）用途为其它商服用地。</v>
      </c>
    </row>
    <row r="12" spans="1:55" s="2854" customFormat="1">
      <c r="A12" s="2855" t="s">
        <v>2667</v>
      </c>
      <c r="B12" s="2856" t="str">
        <f>'预评函-1'!A15</f>
        <v>本次评估设定用途即为证载用途商住用地。</v>
      </c>
    </row>
    <row r="13" spans="1:55" s="2854" customFormat="1">
      <c r="A13" s="2855" t="s">
        <v>2668</v>
      </c>
      <c r="B13" s="2856" t="str">
        <f>'预评函-1'!A17</f>
        <v>根据委托估价方介绍及评估专业人员现场勘查，本次评估估价对象实际土地开发程度为红线外市政基础设施达“七通”（即通路、通电、通讯、通上水、通下水、、）、宗地红线内场地平整。</v>
      </c>
    </row>
    <row r="14" spans="1:55" s="2854" customFormat="1">
      <c r="A14" s="2855" t="s">
        <v>2669</v>
      </c>
      <c r="B14" s="2856" t="str">
        <f>'预评函-1'!A18</f>
        <v>。本次评估设定土地开发程度为红线外市政基础设施达“七通”、宗地红线内场地平整。</v>
      </c>
    </row>
    <row r="15" spans="1:55" s="2854" customFormat="1">
      <c r="A15" s="2855" t="s">
        <v>2665</v>
      </c>
      <c r="B15" s="2856" t="str">
        <f>'预评函-1'!A20</f>
        <v>根据《国有土地使用证》[]，估价对象（分摊）出让国有建设用地使用权面积为21830.94平方米。根据《建设工程规划许可证》[]、《出让合同》[]，估价对象规划建筑面积为76408.29平方米。</v>
      </c>
    </row>
    <row r="16" spans="1:55" s="2854" customFormat="1">
      <c r="A16" s="2855" t="s">
        <v>2670</v>
      </c>
      <c r="B16" s="2856" t="str">
        <f>'预评函-1'!A22</f>
        <v>本次估价对象为出让国有建设用地使用权，依据《不动产权证书》[苏（2019）扬中市不动产权第9000052、9000053、9000054、9000055号]、《国有建设用地使用权出让合同》[3211822013CR(注资）064]及附件、《北京市规划委员会关于同意XX项目的规划设计方案的规划意见复函》[]以及《建设工程规划许可证》[]，土地终止日期为住宅2089年4月29日、商业2059年4月29日。截至估价期日，出让国有建设用地使用权剩余土地使用年限为。</v>
      </c>
    </row>
    <row r="17" spans="1:48" s="2854" customFormat="1">
      <c r="A17" s="2855" t="s">
        <v>2671</v>
      </c>
      <c r="B17" s="2856" t="str">
        <f>'预评函-1'!A23</f>
        <v>本次评估设定估价对象剩余土地使用年限为。</v>
      </c>
    </row>
    <row r="18" spans="1:48" s="2854" customFormat="1">
      <c r="A18" s="2855" t="s">
        <v>2672</v>
      </c>
      <c r="B18" s="2856" t="str">
        <f>'预评函-1'!A25</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商住用地，剩余土地使用年限为的出让国有建设用地使用权价格。</v>
      </c>
    </row>
    <row r="19" spans="1:48" s="2854" customFormat="1">
      <c r="A19" s="2855" t="s">
        <v>2673</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2674</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2675</v>
      </c>
      <c r="B21" s="2878" t="str">
        <f>'预评函-1'!A28</f>
        <v/>
      </c>
    </row>
    <row r="22" spans="1:48" ht="15" thickTop="1">
      <c r="A22" s="2866" t="s">
        <v>2676</v>
      </c>
      <c r="B22" s="286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5" t="s">
        <v>2677</v>
      </c>
      <c r="B23" s="2856" t="str">
        <f>'预评函-2'!K2</f>
        <v>估价期日：2019年7月3日</v>
      </c>
    </row>
    <row r="24" spans="1:48">
      <c r="A24" s="2855" t="s">
        <v>2678</v>
      </c>
      <c r="B24" s="2856" t="str">
        <f>'预评函-2'!R2</f>
        <v>估价期日的国有建设用地使用权性质：出让</v>
      </c>
    </row>
    <row r="25" spans="1:48">
      <c r="A25" s="2855" t="s">
        <v>2734</v>
      </c>
      <c r="B25" s="2856" t="str">
        <f>'预评函-2'!A3</f>
        <v>估价期日土地使用者</v>
      </c>
    </row>
    <row r="26" spans="1:48">
      <c r="A26" s="2855" t="s">
        <v>2710</v>
      </c>
      <c r="B26" s="2856" t="str">
        <f>'预评函-2'!A5</f>
        <v>中信开发</v>
      </c>
    </row>
    <row r="27" spans="1:48">
      <c r="A27" s="2855" t="s">
        <v>2735</v>
      </c>
      <c r="B27" s="2856" t="str">
        <f>'预评函-2'!B3</f>
        <v>宗地编号/不动产单元号</v>
      </c>
    </row>
    <row r="28" spans="1:48">
      <c r="A28" s="2855" t="s">
        <v>2711</v>
      </c>
      <c r="B28" s="2856" t="str">
        <f>'预评函-2'!B5</f>
        <v>11111111111</v>
      </c>
    </row>
    <row r="29" spans="1:48">
      <c r="A29" s="2855" t="s">
        <v>2737</v>
      </c>
      <c r="B29" s="2856">
        <f>'预评函-2'!C5</f>
        <v>22</v>
      </c>
    </row>
    <row r="30" spans="1:48">
      <c r="A30" s="2855" t="s">
        <v>2738</v>
      </c>
      <c r="B30" s="2856" t="str">
        <f>'预评函-2'!D3</f>
        <v>土地使用证编号/不动产权证书编号</v>
      </c>
    </row>
    <row r="31" spans="1:48">
      <c r="A31" s="2855" t="s">
        <v>2712</v>
      </c>
      <c r="B31" s="2856" t="str">
        <f>'预评函-2'!D5</f>
        <v>京国土字第111号</v>
      </c>
    </row>
    <row r="32" spans="1:48">
      <c r="A32" s="2855" t="s">
        <v>2713</v>
      </c>
      <c r="B32" s="2856" t="str">
        <f>'预评函-2'!E5</f>
        <v>其它商服用地</v>
      </c>
      <c r="AV32" s="2860"/>
    </row>
    <row r="33" spans="1:2">
      <c r="A33" s="2855" t="s">
        <v>2714</v>
      </c>
      <c r="B33" s="2856">
        <f>'预评函-2'!F5</f>
        <v>258</v>
      </c>
    </row>
    <row r="34" spans="1:2">
      <c r="A34" s="2855" t="s">
        <v>2715</v>
      </c>
      <c r="B34" s="2856" t="str">
        <f>'预评函-2'!G5</f>
        <v>商住用地</v>
      </c>
    </row>
    <row r="35" spans="1:2">
      <c r="A35" s="2855" t="s">
        <v>2716</v>
      </c>
      <c r="B35" s="2856">
        <f>'预评函-2'!H5</f>
        <v>1.5</v>
      </c>
    </row>
    <row r="36" spans="1:2">
      <c r="A36" s="2855" t="s">
        <v>2717</v>
      </c>
      <c r="B36" s="2856">
        <f>'预评函-2'!I5</f>
        <v>1.5</v>
      </c>
    </row>
    <row r="37" spans="1:2">
      <c r="A37" s="2855" t="s">
        <v>2718</v>
      </c>
      <c r="B37" s="2856">
        <f>'预评函-2'!J5</f>
        <v>1.5</v>
      </c>
    </row>
    <row r="38" spans="1:2">
      <c r="A38" s="2855" t="s">
        <v>2719</v>
      </c>
      <c r="B38" s="2856" t="str">
        <f>'预评函-2'!K5</f>
        <v>红线外七通、宗地红线内</v>
      </c>
    </row>
    <row r="39" spans="1:2">
      <c r="A39" s="2855" t="s">
        <v>2720</v>
      </c>
      <c r="B39" s="2856" t="str">
        <f>'预评函-2'!L5</f>
        <v>红线外七通、宗地红线内场地</v>
      </c>
    </row>
    <row r="40" spans="1:2">
      <c r="A40" s="2855" t="s">
        <v>2739</v>
      </c>
      <c r="B40" s="2856" t="str">
        <f>'预评函-2'!M3</f>
        <v>（剩余）土地使用年限/年</v>
      </c>
    </row>
    <row r="41" spans="1:2">
      <c r="A41" s="2855" t="s">
        <v>2721</v>
      </c>
      <c r="B41" s="2856">
        <f>'预评函-2'!M5</f>
        <v>0</v>
      </c>
    </row>
    <row r="42" spans="1:2">
      <c r="A42" s="2855" t="s">
        <v>2740</v>
      </c>
      <c r="B42" s="2856" t="str">
        <f>'预评函-2'!N3</f>
        <v>（分摊）出让国有建设用地使用权面积/㎡</v>
      </c>
    </row>
    <row r="43" spans="1:2">
      <c r="A43" s="2855" t="s">
        <v>2722</v>
      </c>
      <c r="B43" s="2856">
        <f>'预评函-2'!N5</f>
        <v>21830.94</v>
      </c>
    </row>
    <row r="44" spans="1:2">
      <c r="A44" s="2855" t="s">
        <v>2741</v>
      </c>
      <c r="B44" s="2856" t="str">
        <f>'预评函-2'!O3</f>
        <v>规划建筑面积/㎡</v>
      </c>
    </row>
    <row r="45" spans="1:2">
      <c r="A45" s="2855" t="s">
        <v>2723</v>
      </c>
      <c r="B45" s="2856">
        <f>'预评函-2'!O5</f>
        <v>76408.289999999994</v>
      </c>
    </row>
    <row r="46" spans="1:2">
      <c r="A46" s="2855" t="s">
        <v>2724</v>
      </c>
      <c r="B46" s="2856">
        <f ca="1">'预评函-2'!P5</f>
        <v>10075</v>
      </c>
    </row>
    <row r="47" spans="1:2">
      <c r="A47" s="2855" t="s">
        <v>2725</v>
      </c>
      <c r="B47" s="2856">
        <f ca="1">'预评函-2'!Q5</f>
        <v>2879</v>
      </c>
    </row>
    <row r="48" spans="1:2">
      <c r="A48" s="2855" t="s">
        <v>2726</v>
      </c>
      <c r="B48" s="2856">
        <f ca="1">'预评函-2'!R5</f>
        <v>21995</v>
      </c>
    </row>
    <row r="49" spans="1:2">
      <c r="A49" s="2855" t="s">
        <v>2742</v>
      </c>
      <c r="B49" s="2856" t="str">
        <f>'预评函-2'!A6</f>
        <v>抵押价格</v>
      </c>
    </row>
    <row r="50" spans="1:2">
      <c r="A50" s="2855" t="s">
        <v>2727</v>
      </c>
      <c r="B50" s="2856">
        <f ca="1">'预评函-2'!R6</f>
        <v>21995</v>
      </c>
    </row>
    <row r="51" spans="1:2">
      <c r="A51" s="2855" t="s">
        <v>2743</v>
      </c>
      <c r="B51" s="2856" t="str">
        <f>'预评函-2'!A7</f>
        <v>——</v>
      </c>
    </row>
    <row r="52" spans="1:2">
      <c r="A52" s="2855" t="s">
        <v>2728</v>
      </c>
      <c r="B52" s="2856" t="str">
        <f>'预评函-2'!R7</f>
        <v>——</v>
      </c>
    </row>
    <row r="53" spans="1:2">
      <c r="A53" s="2855" t="s">
        <v>2744</v>
      </c>
      <c r="B53" s="2856" t="str">
        <f>'预评函-2'!A8</f>
        <v>——</v>
      </c>
    </row>
    <row r="54" spans="1:2" s="2870" customFormat="1" ht="15" thickBot="1">
      <c r="A54" s="2877" t="s">
        <v>2729</v>
      </c>
      <c r="B54" s="2878" t="str">
        <f>'预评函-2'!R8</f>
        <v>——</v>
      </c>
    </row>
    <row r="55" spans="1:2" ht="15" thickTop="1">
      <c r="A55" s="2866" t="s">
        <v>2679</v>
      </c>
      <c r="B55" s="2867" t="str">
        <f>'预评函-3'!A2</f>
        <v>1.权利限制：根据估价对象《不动产权证书》原件、《国有土地使用权》复印件，截至估价期日，估价对象抵押权未见登记。未设定租赁等其他他项权利。</v>
      </c>
    </row>
    <row r="56" spans="1:2">
      <c r="A56" s="2855" t="s">
        <v>2680</v>
      </c>
      <c r="B56" s="2856" t="str">
        <f>'预评函-3'!A3</f>
        <v>2.基础设施条件：估价对象实际开发程度为红线外七通、宗地红线内；本次评估设定开发程度为红线外七通、宗地红线内场地。</v>
      </c>
    </row>
    <row r="57" spans="1:2">
      <c r="A57" s="2855" t="s">
        <v>2681</v>
      </c>
      <c r="B57" s="2856" t="str">
        <f>'预评函-3'!A4</f>
        <v>3.估价规划限制条件：详见《建设工程规划许可证》[]、《出让合同》[]。</v>
      </c>
    </row>
    <row r="58" spans="1:2" s="2870" customFormat="1" ht="15" thickBot="1">
      <c r="A58" s="2877" t="s">
        <v>2730</v>
      </c>
      <c r="B58" s="2878" t="str">
        <f>'预评函-3'!A5</f>
        <v>4.影响价格的其他限定条件：无。</v>
      </c>
    </row>
    <row r="59" spans="1:2" ht="15" thickTop="1">
      <c r="A59" s="2866" t="s">
        <v>2682</v>
      </c>
      <c r="B59" s="2867" t="str">
        <f>'预评函-3'!A8</f>
        <v>2.本《评估意见函》仅供金融机构进行内部审核使用，不做其他目的之用。</v>
      </c>
    </row>
    <row r="60" spans="1:2">
      <c r="A60" s="2855" t="s">
        <v>2683</v>
      </c>
      <c r="B60" s="2856" t="str">
        <f>'预评函-3'!A9</f>
        <v>3.抵押双方在办理抵押登记手续时，应使用本公司出具的正式《土地估价报告》，特提请报告使用者注意。</v>
      </c>
    </row>
    <row r="61" spans="1:2">
      <c r="A61" s="2855" t="s">
        <v>2685</v>
      </c>
      <c r="B61" s="2856" t="str">
        <f>'预评函-3'!A10</f>
        <v>4.估价师所知悉的法定优先受偿款情况为：</v>
      </c>
    </row>
    <row r="62" spans="1:2">
      <c r="A62" s="2855" t="s">
        <v>2684</v>
      </c>
      <c r="B62" s="28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5" t="s">
        <v>2686</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2687</v>
      </c>
      <c r="B64" s="2861" t="str">
        <f>'预评函-3'!A13</f>
        <v>（3）。</v>
      </c>
    </row>
    <row r="65" spans="1:2">
      <c r="A65" s="2855" t="s">
        <v>2688</v>
      </c>
      <c r="B65" s="2862" t="str">
        <f>'预评函-3'!A14</f>
        <v>综上，本次评估不存在估价师知悉的法定优先受偿款</v>
      </c>
    </row>
    <row r="66" spans="1:2">
      <c r="A66" s="2855" t="s">
        <v>2689</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2690</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2693</v>
      </c>
      <c r="B68" s="2881">
        <f>'预评函-3'!D30</f>
        <v>42558</v>
      </c>
    </row>
    <row r="69" spans="1:2" ht="15" thickTop="1">
      <c r="A69" s="2866" t="s">
        <v>2691</v>
      </c>
      <c r="B69" s="2867" t="str">
        <f>'预评函-3'!A20</f>
        <v>赵雯</v>
      </c>
    </row>
    <row r="70" spans="1:2">
      <c r="A70" s="2855" t="s">
        <v>2691</v>
      </c>
      <c r="B70" s="2862">
        <f ca="1">'预评函-3'!B20</f>
        <v>2011110090</v>
      </c>
    </row>
    <row r="71" spans="1:2">
      <c r="A71" s="2855" t="s">
        <v>2692</v>
      </c>
      <c r="B71" s="2856" t="str">
        <f>'预评函-3'!A21</f>
        <v>崔锴</v>
      </c>
    </row>
    <row r="72" spans="1:2" s="2870" customFormat="1" ht="15" thickBot="1">
      <c r="A72" s="2877" t="s">
        <v>2692</v>
      </c>
      <c r="B72" s="2883">
        <f ca="1">'预评函-3'!B21</f>
        <v>2010110070</v>
      </c>
    </row>
    <row r="73" spans="1:2" ht="15" thickTop="1">
      <c r="A73" s="2866" t="s">
        <v>2751</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2752</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2753</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2788</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23" sqref="F23"/>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1"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601" t="str">
        <f>IF(B10="北京市","北京市",C10)&amp;F10&amp;B16&amp;"国有建设用地使用权"&amp;B9&amp;"预评估"</f>
        <v>江苏省镇江市扬中市油坊镇出让国有建设用地使用权抵押价格预评估</v>
      </c>
      <c r="C1" s="3602"/>
      <c r="D1" s="3602"/>
      <c r="E1" s="3602"/>
      <c r="F1" s="3602"/>
      <c r="G1" s="3602"/>
      <c r="H1" s="3602"/>
      <c r="I1" s="3603"/>
      <c r="J1" s="1693"/>
      <c r="K1" s="2433" t="str">
        <f>IF(B10="北京市","北京市",C10)&amp;F10&amp;B16&amp;"国有建设用地使用权"&amp;B9</f>
        <v>江苏省镇江市扬中市油坊镇出让国有建设用地使用权抵押价格</v>
      </c>
      <c r="L1" s="1721"/>
      <c r="M1" s="1721"/>
      <c r="N1" s="1693"/>
      <c r="O1" s="1694"/>
      <c r="P1" s="1693"/>
      <c r="Q1" s="1693"/>
      <c r="R1" s="1693"/>
      <c r="S1" s="1693"/>
      <c r="T1" s="1693"/>
      <c r="U1" s="1693"/>
    </row>
    <row r="2" spans="1:21">
      <c r="A2" s="1659" t="s">
        <v>1939</v>
      </c>
      <c r="B2" s="1840"/>
      <c r="D2" s="1693"/>
      <c r="E2" s="1693"/>
      <c r="F2" s="1693"/>
      <c r="G2" s="1693"/>
      <c r="H2" s="1659"/>
      <c r="I2" s="1694"/>
      <c r="J2" s="1693"/>
      <c r="K2" s="2433" t="str">
        <f>IF(B10="北京市","北京市",C10)&amp;F10&amp;B16&amp;"国有建设用地使用权"</f>
        <v>江苏省镇江市扬中市油坊镇出让国有建设用地使用权</v>
      </c>
      <c r="L2" s="1721"/>
      <c r="M2" s="1721"/>
      <c r="N2" s="1693"/>
      <c r="O2" s="1694"/>
      <c r="P2" s="1693"/>
      <c r="Q2" s="1693"/>
      <c r="R2" s="1693"/>
      <c r="S2" s="1693"/>
      <c r="T2" s="1693"/>
      <c r="U2" s="1693"/>
    </row>
    <row r="3" spans="1:21">
      <c r="A3" s="1660" t="s">
        <v>1940</v>
      </c>
      <c r="B3" s="1661">
        <v>43649</v>
      </c>
      <c r="C3" s="1662" t="s">
        <v>1996</v>
      </c>
      <c r="D3" s="1661">
        <v>43649</v>
      </c>
      <c r="E3" s="1693"/>
      <c r="F3" s="1693"/>
      <c r="G3" s="1693"/>
      <c r="H3" s="1659"/>
      <c r="I3" s="1694"/>
      <c r="J3" s="1693"/>
      <c r="K3" s="1772"/>
      <c r="L3" s="1721"/>
      <c r="M3" s="1721"/>
      <c r="N3" s="1693"/>
      <c r="O3" s="1694"/>
      <c r="P3" s="1693"/>
      <c r="Q3" s="1693"/>
      <c r="R3" s="1693"/>
      <c r="S3" s="1693"/>
      <c r="T3" s="1693"/>
      <c r="U3" s="1693"/>
    </row>
    <row r="4" spans="1:21" ht="15" thickBot="1">
      <c r="A4" s="1663" t="s">
        <v>1941</v>
      </c>
      <c r="B4" s="1841" t="s">
        <v>3100</v>
      </c>
      <c r="C4" s="1844">
        <f ca="1">SUMIF(土地估价师,B4,估价师及机构信息!E3:E24)</f>
        <v>2011110090</v>
      </c>
      <c r="D4" s="1841" t="s">
        <v>3101</v>
      </c>
      <c r="E4" s="1844">
        <f ca="1">SUMIF(土地估价师,D4,估价师及机构信息!E3:E24)</f>
        <v>2010110070</v>
      </c>
      <c r="F4" s="1841" t="s">
        <v>952</v>
      </c>
      <c r="G4" s="1844">
        <f>SUMIF(土地估价师,F4,估价师及机构信息!E3:E24)</f>
        <v>0</v>
      </c>
      <c r="H4" s="1841" t="s">
        <v>952</v>
      </c>
      <c r="I4" s="1844">
        <f>SUMIF(土地估价师,H4,估价师及机构信息!E3:E24)</f>
        <v>0</v>
      </c>
      <c r="J4" s="1693"/>
      <c r="K4" s="2433" t="str">
        <f>IF(AND(F4="——",H4="——"),B4&amp;"、"&amp;D4,IF(AND(F4&lt;&gt;"——",H4="——"),B4&amp;"、"&amp;D4&amp;"、"&amp;F4,B4&amp;"、"&amp;D4&amp;"、"&amp;F4&amp;"、"&amp;H4))</f>
        <v>赵雯、崔锴</v>
      </c>
      <c r="L4" s="1721"/>
      <c r="M4" s="1721"/>
      <c r="N4" s="1693"/>
      <c r="O4" s="1694"/>
      <c r="P4" s="1693"/>
      <c r="Q4" s="1693"/>
      <c r="R4" s="1693"/>
      <c r="S4" s="1693"/>
      <c r="T4" s="1693"/>
      <c r="U4" s="1693"/>
    </row>
    <row r="5" spans="1:21" ht="15" thickTop="1">
      <c r="A5" s="1664" t="s">
        <v>1942</v>
      </c>
      <c r="B5" s="1787" t="s">
        <v>3283</v>
      </c>
      <c r="C5" s="1665"/>
      <c r="D5" s="1666"/>
      <c r="E5" s="1693"/>
      <c r="F5" s="1693"/>
      <c r="G5" s="1693"/>
      <c r="H5" s="1659"/>
      <c r="I5" s="1694"/>
      <c r="J5" s="1693"/>
      <c r="K5" s="1772"/>
      <c r="L5" s="1721"/>
      <c r="M5" s="1721"/>
      <c r="N5" s="1693"/>
      <c r="O5" s="1694"/>
      <c r="P5" s="1693"/>
      <c r="Q5" s="1693"/>
      <c r="R5" s="1693"/>
      <c r="S5" s="1693"/>
      <c r="T5" s="1693"/>
      <c r="U5" s="1693"/>
    </row>
    <row r="6" spans="1:21" ht="26.25">
      <c r="A6" s="1662" t="s">
        <v>2707</v>
      </c>
      <c r="B6" s="1787" t="s">
        <v>3284</v>
      </c>
      <c r="C6" s="1759"/>
      <c r="D6" s="1667"/>
      <c r="E6" s="1693"/>
      <c r="F6" s="1693"/>
      <c r="G6" s="1693"/>
      <c r="H6" s="1659"/>
      <c r="I6" s="1694"/>
      <c r="J6" s="1693"/>
      <c r="K6" s="3030" t="str">
        <f>IF(COUNTIF(B6,"*上海银行*"),"上海银行","")</f>
        <v/>
      </c>
      <c r="L6" s="1721"/>
      <c r="M6" s="1721"/>
      <c r="N6" s="1693"/>
      <c r="O6" s="1694"/>
      <c r="P6" s="1693"/>
      <c r="Q6" s="1693"/>
      <c r="R6" s="1693"/>
      <c r="S6" s="1693"/>
      <c r="T6" s="1693"/>
      <c r="U6" s="1693"/>
    </row>
    <row r="7" spans="1:21">
      <c r="A7" s="1668" t="s">
        <v>2708</v>
      </c>
      <c r="B7" s="1787" t="s">
        <v>3283</v>
      </c>
      <c r="C7" s="1759"/>
      <c r="D7" s="1667"/>
      <c r="E7" s="1693"/>
      <c r="F7" s="1693"/>
      <c r="G7" s="1693"/>
      <c r="H7" s="1659"/>
      <c r="I7" s="1694"/>
      <c r="J7" s="1693"/>
      <c r="K7" s="1772"/>
      <c r="L7" s="1721"/>
      <c r="M7" s="1721"/>
      <c r="N7" s="1693"/>
      <c r="O7" s="1694"/>
      <c r="P7" s="1693"/>
      <c r="Q7" s="1693"/>
      <c r="R7" s="1693"/>
      <c r="S7" s="1693"/>
      <c r="T7" s="1693"/>
      <c r="U7" s="1693"/>
    </row>
    <row r="8" spans="1:21">
      <c r="A8" s="1668" t="s">
        <v>1943</v>
      </c>
      <c r="B8" s="1669" t="s">
        <v>3102</v>
      </c>
      <c r="C8" s="1670"/>
      <c r="D8" s="3607" t="s">
        <v>1945</v>
      </c>
      <c r="E8" s="1842" t="s">
        <v>3103</v>
      </c>
      <c r="F8" s="1671"/>
      <c r="G8" s="1659"/>
      <c r="H8" s="1659"/>
      <c r="I8" s="1705"/>
      <c r="J8" s="1693"/>
      <c r="K8" s="1772"/>
      <c r="L8" s="1721"/>
      <c r="M8" s="1721"/>
      <c r="N8" s="1693"/>
      <c r="O8" s="1694"/>
      <c r="P8" s="1693"/>
      <c r="Q8" s="1693"/>
      <c r="R8" s="1693"/>
      <c r="S8" s="1693"/>
      <c r="T8" s="1693"/>
      <c r="U8" s="1693"/>
    </row>
    <row r="9" spans="1:21" ht="15" thickBot="1">
      <c r="A9" s="1672" t="s">
        <v>1944</v>
      </c>
      <c r="B9" s="1673" t="s">
        <v>3103</v>
      </c>
      <c r="C9" s="1674"/>
      <c r="D9" s="3608"/>
      <c r="E9" s="1673" t="s">
        <v>952</v>
      </c>
      <c r="F9" s="1745"/>
      <c r="G9" s="1740"/>
      <c r="H9" s="1740"/>
      <c r="I9" s="1741"/>
      <c r="J9" s="1693"/>
      <c r="K9" s="1772"/>
      <c r="L9" s="1721"/>
      <c r="M9" s="1721"/>
      <c r="N9" s="1693"/>
      <c r="O9" s="1694"/>
      <c r="P9" s="1693"/>
      <c r="Q9" s="1693"/>
      <c r="R9" s="1693"/>
      <c r="S9" s="1693"/>
      <c r="T9" s="1693"/>
      <c r="U9" s="1693"/>
    </row>
    <row r="10" spans="1:21" ht="15" thickTop="1">
      <c r="A10" s="1742" t="s">
        <v>2000</v>
      </c>
      <c r="B10" s="1717" t="s">
        <v>3104</v>
      </c>
      <c r="C10" s="1675" t="s">
        <v>3105</v>
      </c>
      <c r="D10" s="1666"/>
      <c r="E10" s="1676" t="s">
        <v>1947</v>
      </c>
      <c r="F10" s="1677" t="s">
        <v>3275</v>
      </c>
      <c r="G10" s="1743"/>
      <c r="H10" s="1744"/>
      <c r="I10" s="1666"/>
      <c r="J10" s="1693"/>
      <c r="K10" s="1772"/>
      <c r="L10" s="1721"/>
      <c r="M10" s="1721"/>
      <c r="N10" s="1693"/>
      <c r="O10" s="1694"/>
      <c r="P10" s="1693"/>
      <c r="Q10" s="1693"/>
      <c r="R10" s="1693"/>
      <c r="S10" s="1693"/>
      <c r="T10" s="1693"/>
      <c r="U10" s="1693"/>
    </row>
    <row r="11" spans="1:21">
      <c r="A11" s="1696" t="s">
        <v>2001</v>
      </c>
      <c r="B11" s="1787" t="s">
        <v>3106</v>
      </c>
      <c r="C11" s="1678"/>
      <c r="D11" s="1760"/>
      <c r="E11" s="1659"/>
      <c r="F11" s="1659"/>
      <c r="G11" s="1659"/>
      <c r="H11" s="1659"/>
      <c r="I11" s="1659"/>
      <c r="J11" s="1693"/>
      <c r="K11" s="1772"/>
      <c r="L11" s="1721"/>
      <c r="M11" s="1721"/>
      <c r="N11" s="1693"/>
      <c r="O11" s="1694"/>
      <c r="P11" s="1693"/>
      <c r="Q11" s="1693"/>
      <c r="R11" s="1693"/>
      <c r="S11" s="1693"/>
      <c r="T11" s="1693"/>
      <c r="U11" s="1693"/>
    </row>
    <row r="12" spans="1:21">
      <c r="A12" s="1783" t="s">
        <v>2059</v>
      </c>
      <c r="B12" s="3604" t="s">
        <v>3276</v>
      </c>
      <c r="C12" s="3605"/>
      <c r="D12" s="3606"/>
      <c r="E12" s="1697" t="s">
        <v>2062</v>
      </c>
      <c r="F12" s="3622" t="s">
        <v>3352</v>
      </c>
      <c r="G12" s="3623"/>
      <c r="H12" s="3623"/>
      <c r="I12" s="3624"/>
      <c r="J12" s="1693"/>
      <c r="K12" s="1772"/>
      <c r="L12" s="1721"/>
      <c r="M12" s="1721"/>
      <c r="N12" s="1693"/>
      <c r="O12" s="1694"/>
      <c r="P12" s="1693"/>
      <c r="Q12" s="1693"/>
      <c r="R12" s="1693"/>
      <c r="S12" s="1693"/>
      <c r="T12" s="1693"/>
      <c r="U12" s="1693"/>
    </row>
    <row r="13" spans="1:21">
      <c r="A13" s="1686" t="s">
        <v>2060</v>
      </c>
      <c r="B13" s="3604" t="s">
        <v>3107</v>
      </c>
      <c r="C13" s="3605"/>
      <c r="D13" s="3606"/>
      <c r="E13" s="1697" t="s">
        <v>2062</v>
      </c>
      <c r="F13" s="3622" t="s">
        <v>3277</v>
      </c>
      <c r="G13" s="3623"/>
      <c r="H13" s="3623"/>
      <c r="I13" s="3624"/>
      <c r="J13" s="1693"/>
      <c r="K13" s="1772"/>
      <c r="L13" s="1721"/>
      <c r="M13" s="1721"/>
      <c r="N13" s="1693"/>
      <c r="O13" s="1694"/>
      <c r="P13" s="1693"/>
      <c r="Q13" s="1693"/>
      <c r="R13" s="1693"/>
      <c r="S13" s="1693"/>
      <c r="T13" s="1693"/>
      <c r="U13" s="1693"/>
    </row>
    <row r="14" spans="1:21">
      <c r="A14" s="1660" t="s">
        <v>2063</v>
      </c>
      <c r="B14" s="1697"/>
      <c r="C14" s="1843"/>
      <c r="D14" s="1731" t="str">
        <f>IF(C14="不一致","是否符合证载地类范围","")</f>
        <v/>
      </c>
      <c r="E14" s="1697"/>
      <c r="F14" s="1788"/>
      <c r="G14" s="1726"/>
      <c r="H14" s="1726"/>
      <c r="I14" s="1835"/>
      <c r="J14" s="1693"/>
      <c r="K14" s="1772"/>
      <c r="L14" s="1721"/>
      <c r="M14" s="1721"/>
      <c r="N14" s="1693"/>
      <c r="O14" s="1694"/>
      <c r="P14" s="1693"/>
      <c r="Q14" s="1693"/>
      <c r="R14" s="1693"/>
      <c r="S14" s="1693"/>
      <c r="T14" s="1693"/>
      <c r="U14" s="1693"/>
    </row>
    <row r="15" spans="1:21" hidden="1">
      <c r="A15" s="2623"/>
      <c r="B15" s="1662"/>
      <c r="C15" s="1662"/>
      <c r="D15" s="1764" t="s">
        <v>1950</v>
      </c>
      <c r="E15" s="1764" t="s">
        <v>1951</v>
      </c>
      <c r="F15" s="1764" t="s">
        <v>1952</v>
      </c>
      <c r="G15" s="1685" t="s">
        <v>1953</v>
      </c>
      <c r="H15" s="1685" t="s">
        <v>1954</v>
      </c>
      <c r="I15" s="1685" t="s">
        <v>1955</v>
      </c>
      <c r="J15" s="1693"/>
      <c r="K15" s="1772"/>
      <c r="L15" s="1721"/>
      <c r="M15" s="1721"/>
      <c r="N15" s="1693"/>
      <c r="O15" s="1694"/>
      <c r="P15" s="1693"/>
      <c r="Q15" s="1693"/>
      <c r="R15" s="1693"/>
      <c r="S15" s="1693"/>
      <c r="T15" s="1693"/>
      <c r="U15" s="1693"/>
    </row>
    <row r="16" spans="1:21" ht="28.5">
      <c r="A16" s="1679" t="s">
        <v>1948</v>
      </c>
      <c r="B16" s="1680" t="s">
        <v>3010</v>
      </c>
      <c r="C16" s="1697" t="s">
        <v>1949</v>
      </c>
      <c r="D16" s="2624" t="s">
        <v>1950</v>
      </c>
      <c r="E16" s="1720" t="s">
        <v>3011</v>
      </c>
      <c r="F16" s="1720"/>
      <c r="G16" s="1720"/>
      <c r="H16" s="1720"/>
      <c r="I16" s="1685" t="s">
        <v>1955</v>
      </c>
      <c r="J16" s="1693"/>
      <c r="K16" s="2434" t="str">
        <f>IF(D17="","",D16&amp;TEXT(D17,"yyyy年m月d日;;"))</f>
        <v>住宅2089年4月29日</v>
      </c>
      <c r="L16" s="1697" t="str">
        <f>IF(OR(K16="",M16=""),"","、")</f>
        <v>、</v>
      </c>
      <c r="M16" s="2434" t="str">
        <f>IF(E17="","",E16&amp;TEXT(E17,"yyyy年m月d日;;"))</f>
        <v>商业2059年4月29日</v>
      </c>
      <c r="N16" s="1697" t="str">
        <f>IF(OR(M16="",O16=""),"","、")</f>
        <v/>
      </c>
      <c r="O16" s="2434" t="str">
        <f>IF(F17="","",F16&amp;TEXT(F17,"yyyy年m月d日;;"))</f>
        <v/>
      </c>
      <c r="P16" s="1697" t="str">
        <f>IF(OR(O16="",Q16=""),"","、")</f>
        <v/>
      </c>
      <c r="Q16" s="2434" t="str">
        <f>IF(G17="","",G16&amp;TEXT(G17,"yyyy年m月d日;;"))</f>
        <v/>
      </c>
      <c r="R16" s="1697" t="str">
        <f>IF(OR(Q16="",S16=""),"","、")</f>
        <v/>
      </c>
      <c r="S16" s="2434" t="str">
        <f>IF(H17="","",H16&amp;TEXT(H17,"yyyy年m月d日;;"))</f>
        <v/>
      </c>
      <c r="T16" s="1697" t="str">
        <f>IF(OR(S16="",U16=""),"","、")</f>
        <v/>
      </c>
      <c r="U16" s="2434" t="str">
        <f>IF(I17="","",I16&amp;TEXT(I17,"yyyy年m月d日;;"))</f>
        <v/>
      </c>
    </row>
    <row r="17" spans="1:21">
      <c r="A17" s="1761"/>
      <c r="B17" s="1681"/>
      <c r="C17" s="1682" t="s">
        <v>1956</v>
      </c>
      <c r="D17" s="1698">
        <v>69152</v>
      </c>
      <c r="E17" s="1698">
        <v>58194</v>
      </c>
      <c r="F17" s="1698"/>
      <c r="G17" s="1698"/>
      <c r="H17" s="1698"/>
      <c r="I17" s="1698"/>
      <c r="J17" s="1693"/>
      <c r="K17" s="2433" t="str">
        <f>CONCATENATE(K16,L16,M16,N16,O16,P16,Q16,R16,S16,T16,,U16)</f>
        <v>住宅2089年4月29日、商业2059年4月29日</v>
      </c>
      <c r="L17" s="1721"/>
      <c r="M17" s="1721"/>
      <c r="N17" s="1693"/>
      <c r="O17" s="1694"/>
      <c r="P17" s="1693"/>
      <c r="Q17" s="1693"/>
      <c r="R17" s="1693"/>
      <c r="S17" s="1693"/>
      <c r="T17" s="1693"/>
      <c r="U17" s="1693"/>
    </row>
    <row r="18" spans="1:21">
      <c r="A18" s="1761"/>
      <c r="B18" s="1681"/>
      <c r="C18" s="1682" t="s">
        <v>1957</v>
      </c>
      <c r="D18" s="1683">
        <v>70</v>
      </c>
      <c r="E18" s="1683">
        <v>40</v>
      </c>
      <c r="F18" s="1683"/>
      <c r="G18" s="1683"/>
      <c r="H18" s="1683"/>
      <c r="I18" s="1683"/>
      <c r="J18" s="1693"/>
      <c r="K18" s="1772"/>
      <c r="L18" s="1721"/>
      <c r="M18" s="1721"/>
      <c r="N18" s="1693"/>
      <c r="O18" s="1694"/>
      <c r="P18" s="1693"/>
      <c r="Q18" s="1693"/>
      <c r="R18" s="1693"/>
      <c r="S18" s="1693"/>
      <c r="T18" s="1693"/>
      <c r="U18" s="1693"/>
    </row>
    <row r="19" spans="1:21">
      <c r="A19" s="1761"/>
      <c r="B19" s="1681"/>
      <c r="C19" s="1659" t="s">
        <v>1958</v>
      </c>
      <c r="D19" s="1756">
        <f>IF(B16="出让",IF(D17="","",ROUNDDOWN(MIN((D17-$D$3)/365,D18),2)),D18)</f>
        <v>69.87</v>
      </c>
      <c r="E19" s="1684">
        <f>IF(B16="出让",IF(E17="","",ROUNDDOWN(MIN((E17-$D$3)/365,E18),2)),E18)</f>
        <v>39.840000000000003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2"/>
      <c r="L19" s="1721"/>
      <c r="M19" s="1721"/>
      <c r="N19" s="1693"/>
      <c r="O19" s="1694"/>
      <c r="P19" s="1693"/>
      <c r="Q19" s="1693"/>
      <c r="R19" s="1693"/>
      <c r="S19" s="1693"/>
      <c r="T19" s="1693"/>
      <c r="U19" s="1693"/>
    </row>
    <row r="20" spans="1:21">
      <c r="A20" s="1784"/>
      <c r="B20" s="1785"/>
      <c r="C20" s="1786" t="s">
        <v>2061</v>
      </c>
      <c r="D20" s="3619"/>
      <c r="E20" s="3620"/>
      <c r="F20" s="3620"/>
      <c r="G20" s="3620"/>
      <c r="H20" s="3620"/>
      <c r="I20" s="3621"/>
      <c r="J20" s="1693"/>
      <c r="K20" s="1772"/>
      <c r="L20" s="1721"/>
      <c r="M20" s="1721"/>
      <c r="N20" s="1693"/>
      <c r="O20" s="1694"/>
      <c r="P20" s="1693"/>
      <c r="Q20" s="1693"/>
      <c r="R20" s="1693"/>
      <c r="S20" s="1693"/>
      <c r="T20" s="1693"/>
      <c r="U20" s="1693"/>
    </row>
    <row r="21" spans="1:21">
      <c r="A21" s="1761" t="s">
        <v>1959</v>
      </c>
      <c r="B21" s="1762" t="s">
        <v>1960</v>
      </c>
      <c r="C21" s="1757">
        <f>'数据-汇总表'!E3</f>
        <v>76408.289999999994</v>
      </c>
      <c r="D21" s="1758" t="s">
        <v>1961</v>
      </c>
      <c r="E21" s="3609" t="s">
        <v>1999</v>
      </c>
      <c r="F21" s="3610"/>
      <c r="G21" s="3610"/>
      <c r="H21" s="3610"/>
      <c r="I21" s="3611"/>
      <c r="J21" s="1693"/>
      <c r="K21" s="1772"/>
      <c r="L21" s="1721"/>
      <c r="M21" s="1721"/>
      <c r="N21" s="1693"/>
      <c r="O21" s="1694"/>
      <c r="P21" s="1693"/>
      <c r="Q21" s="1693"/>
      <c r="R21" s="1693"/>
      <c r="S21" s="1693"/>
      <c r="T21" s="1693"/>
      <c r="U21" s="1693"/>
    </row>
    <row r="22" spans="1:21">
      <c r="A22" s="3120" t="s">
        <v>952</v>
      </c>
      <c r="B22" s="1660" t="s">
        <v>1962</v>
      </c>
      <c r="C22" s="1685">
        <f>'数据-汇总表'!D3</f>
        <v>21830.94</v>
      </c>
      <c r="D22" s="1686" t="s">
        <v>1961</v>
      </c>
      <c r="E22" s="3609" t="s">
        <v>2890</v>
      </c>
      <c r="F22" s="3610"/>
      <c r="G22" s="3610"/>
      <c r="H22" s="3610"/>
      <c r="I22" s="3611"/>
      <c r="J22" s="1693"/>
      <c r="K22" s="1772"/>
      <c r="L22" s="1721"/>
      <c r="M22" s="1721"/>
      <c r="N22" s="1693"/>
      <c r="O22" s="1694"/>
      <c r="P22" s="1693"/>
      <c r="Q22" s="1693"/>
      <c r="R22" s="1693"/>
      <c r="S22" s="1693"/>
      <c r="T22" s="1693"/>
      <c r="U22" s="1693"/>
    </row>
    <row r="23" spans="1:21" ht="43.5" thickBot="1">
      <c r="A23" s="1763" t="s">
        <v>1963</v>
      </c>
      <c r="B23" s="1699" t="s">
        <v>1964</v>
      </c>
      <c r="C23" s="1700"/>
      <c r="D23" s="1701" t="s">
        <v>1965</v>
      </c>
      <c r="E23" s="1702"/>
      <c r="F23" s="1703" t="str">
        <f>IF(AND(C23="是",E23="否"),"是否提供他项权证或相关说明","")</f>
        <v/>
      </c>
      <c r="G23" s="1704"/>
      <c r="H23" s="1693"/>
      <c r="I23" s="1705"/>
      <c r="J23" s="1693"/>
      <c r="K23" s="1772"/>
      <c r="L23" s="1721"/>
      <c r="M23" s="1721"/>
      <c r="N23" s="1693"/>
      <c r="O23" s="1694"/>
      <c r="P23" s="1693"/>
      <c r="Q23" s="1693"/>
      <c r="R23" s="1693"/>
      <c r="S23" s="1693"/>
      <c r="T23" s="1693"/>
      <c r="U23" s="1693"/>
    </row>
    <row r="24" spans="1:21">
      <c r="A24" s="1748" t="s">
        <v>1966</v>
      </c>
      <c r="B24" s="3612" t="s">
        <v>1967</v>
      </c>
      <c r="C24" s="3613"/>
      <c r="D24" s="3614" t="s">
        <v>1968</v>
      </c>
      <c r="E24" s="3615"/>
      <c r="F24" s="1706" t="s">
        <v>1969</v>
      </c>
      <c r="G24" s="1693"/>
      <c r="H24" s="1693"/>
      <c r="I24" s="1705"/>
      <c r="J24" s="1693"/>
      <c r="K24" s="3600" t="s">
        <v>1970</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3"/>
      <c r="O24" s="1694"/>
      <c r="P24" s="1693"/>
      <c r="Q24" s="1693"/>
      <c r="R24" s="1693"/>
      <c r="S24" s="1693"/>
      <c r="T24" s="1693"/>
      <c r="U24" s="1693"/>
    </row>
    <row r="25" spans="1:21" ht="28.5">
      <c r="A25" s="1749"/>
      <c r="B25" s="1746" t="s">
        <v>2326</v>
      </c>
      <c r="C25" s="1707" t="s">
        <v>1971</v>
      </c>
      <c r="D25" s="1708"/>
      <c r="E25" s="1709" t="s">
        <v>952</v>
      </c>
      <c r="F25" s="1710"/>
      <c r="G25" s="1693"/>
      <c r="H25" s="1693"/>
      <c r="I25" s="1705"/>
      <c r="J25" s="1693"/>
      <c r="K25" s="3600"/>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3"/>
      <c r="O25" s="1694"/>
      <c r="P25" s="1693"/>
      <c r="Q25" s="1693"/>
      <c r="R25" s="1693"/>
      <c r="S25" s="1693"/>
      <c r="T25" s="1693"/>
      <c r="U25" s="1693"/>
    </row>
    <row r="26" spans="1:21" ht="29.25" thickBot="1">
      <c r="A26" s="1750"/>
      <c r="B26" s="1747" t="s">
        <v>1972</v>
      </c>
      <c r="C26" s="1707" t="s">
        <v>2327</v>
      </c>
      <c r="D26" s="1659"/>
      <c r="E26" s="1659"/>
      <c r="F26" s="1687"/>
      <c r="G26" s="1693"/>
      <c r="H26" s="1693"/>
      <c r="I26" s="1705"/>
      <c r="J26" s="1693"/>
      <c r="K26" s="3600"/>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3"/>
      <c r="O26" s="1694"/>
      <c r="P26" s="1693"/>
      <c r="Q26" s="1693"/>
      <c r="R26" s="1693"/>
      <c r="S26" s="1693"/>
      <c r="T26" s="1693"/>
      <c r="U26" s="1693"/>
    </row>
    <row r="27" spans="1:21">
      <c r="A27" s="1753" t="s">
        <v>1973</v>
      </c>
      <c r="B27" s="1751" t="s">
        <v>1974</v>
      </c>
      <c r="C27" s="1711"/>
      <c r="D27" s="2629" t="s">
        <v>1974</v>
      </c>
      <c r="E27" s="1712"/>
      <c r="F27" s="1687"/>
      <c r="G27" s="1693"/>
      <c r="H27" s="1693"/>
      <c r="I27" s="1705"/>
      <c r="J27" s="1693"/>
      <c r="K27" s="1772"/>
      <c r="L27" s="1721"/>
      <c r="M27" s="1721"/>
      <c r="N27" s="1693"/>
      <c r="O27" s="1694"/>
      <c r="P27" s="1693"/>
      <c r="Q27" s="1693"/>
      <c r="R27" s="1693"/>
      <c r="S27" s="1693"/>
      <c r="T27" s="1693"/>
      <c r="U27" s="1693"/>
    </row>
    <row r="28" spans="1:21">
      <c r="A28" s="1754"/>
      <c r="B28" s="1751" t="s">
        <v>1975</v>
      </c>
      <c r="C28" s="1713"/>
      <c r="D28" s="2630" t="s">
        <v>1975</v>
      </c>
      <c r="E28" s="1714"/>
      <c r="F28" s="1687"/>
      <c r="G28" s="1693"/>
      <c r="H28" s="1693"/>
      <c r="I28" s="1705"/>
      <c r="J28" s="1693"/>
      <c r="K28" s="1772"/>
      <c r="L28" s="1721"/>
      <c r="M28" s="1721"/>
      <c r="N28" s="1693"/>
      <c r="O28" s="1694"/>
      <c r="P28" s="1693"/>
      <c r="Q28" s="1693"/>
      <c r="R28" s="1693"/>
      <c r="S28" s="1693"/>
      <c r="T28" s="1693"/>
      <c r="U28" s="1693"/>
    </row>
    <row r="29" spans="1:21">
      <c r="A29" s="1754"/>
      <c r="B29" s="1751" t="s">
        <v>1976</v>
      </c>
      <c r="C29" s="1713"/>
      <c r="D29" s="2630" t="s">
        <v>1976</v>
      </c>
      <c r="E29" s="1714"/>
      <c r="F29" s="1687"/>
      <c r="G29" s="1693"/>
      <c r="H29" s="1693"/>
      <c r="I29" s="1705"/>
      <c r="J29" s="1693"/>
      <c r="K29" s="1772"/>
      <c r="L29" s="1721"/>
      <c r="M29" s="1721"/>
      <c r="N29" s="1693"/>
      <c r="O29" s="1694"/>
      <c r="P29" s="1693"/>
      <c r="Q29" s="1693"/>
      <c r="R29" s="1693"/>
      <c r="S29" s="1693"/>
      <c r="T29" s="1693"/>
      <c r="U29" s="1693"/>
    </row>
    <row r="30" spans="1:21" ht="15" thickBot="1">
      <c r="A30" s="1755"/>
      <c r="B30" s="1752" t="s">
        <v>1977</v>
      </c>
      <c r="C30" s="1715"/>
      <c r="D30" s="2631" t="s">
        <v>1977</v>
      </c>
      <c r="E30" s="1716"/>
      <c r="F30" s="1688"/>
      <c r="G30" s="1740"/>
      <c r="H30" s="1740"/>
      <c r="I30" s="1741"/>
      <c r="J30" s="1693"/>
      <c r="K30" s="1772"/>
      <c r="L30" s="1721"/>
      <c r="M30" s="1721"/>
      <c r="N30" s="1693"/>
      <c r="O30" s="1694"/>
      <c r="P30" s="1693"/>
      <c r="Q30" s="1693"/>
      <c r="R30" s="1693"/>
      <c r="S30" s="1693"/>
      <c r="T30" s="1693"/>
      <c r="U30" s="1693"/>
    </row>
    <row r="31" spans="1:21" ht="15" thickTop="1">
      <c r="A31" s="3627" t="s">
        <v>2002</v>
      </c>
      <c r="B31" s="1762" t="s">
        <v>2003</v>
      </c>
      <c r="C31" s="3625"/>
      <c r="D31" s="3626"/>
      <c r="E31" s="1693"/>
      <c r="F31" s="1693"/>
      <c r="G31" s="1693"/>
      <c r="H31" s="1693"/>
      <c r="I31" s="1705"/>
      <c r="J31" s="1693"/>
      <c r="K31" s="2436"/>
      <c r="L31" s="1693"/>
      <c r="M31" s="1693"/>
      <c r="N31" s="1693"/>
      <c r="O31" s="1693"/>
      <c r="P31" s="1693"/>
      <c r="Q31" s="1693"/>
      <c r="R31" s="1693"/>
      <c r="S31" s="1693"/>
      <c r="T31" s="1693"/>
      <c r="U31" s="1693"/>
    </row>
    <row r="32" spans="1:21">
      <c r="A32" s="3627"/>
      <c r="B32" s="1660" t="s">
        <v>2004</v>
      </c>
      <c r="C32" s="1717"/>
      <c r="D32" s="1718"/>
      <c r="E32" s="1693"/>
      <c r="F32" s="1693"/>
      <c r="G32" s="1693"/>
      <c r="H32" s="1693"/>
      <c r="I32" s="1705"/>
      <c r="J32" s="1693"/>
      <c r="K32" s="2436"/>
      <c r="L32" s="1693"/>
      <c r="M32" s="1693"/>
      <c r="N32" s="1693"/>
      <c r="O32" s="1693"/>
      <c r="P32" s="1693"/>
      <c r="Q32" s="1693"/>
      <c r="R32" s="1693"/>
      <c r="S32" s="1693"/>
      <c r="T32" s="1693"/>
      <c r="U32" s="1693"/>
    </row>
    <row r="33" spans="1:21">
      <c r="A33" s="3627"/>
      <c r="B33" s="1660" t="s">
        <v>2005</v>
      </c>
      <c r="C33" s="1719"/>
      <c r="D33" s="1836"/>
      <c r="E33" s="1693"/>
      <c r="F33" s="1693"/>
      <c r="G33" s="1693"/>
      <c r="H33" s="1693"/>
      <c r="I33" s="1705"/>
      <c r="J33" s="1693"/>
      <c r="K33" s="2436"/>
      <c r="L33" s="1693"/>
      <c r="M33" s="1693"/>
      <c r="N33" s="1693"/>
      <c r="O33" s="1693"/>
      <c r="P33" s="1693"/>
      <c r="Q33" s="1693"/>
      <c r="R33" s="1693"/>
      <c r="S33" s="1693"/>
      <c r="T33" s="1693"/>
      <c r="U33" s="1693"/>
    </row>
    <row r="34" spans="1:21">
      <c r="A34" s="3628"/>
      <c r="B34" s="1660" t="s">
        <v>2006</v>
      </c>
      <c r="C34" s="3629"/>
      <c r="D34" s="3630"/>
      <c r="E34" s="1693"/>
      <c r="F34" s="1693"/>
      <c r="G34" s="1693"/>
      <c r="H34" s="1693"/>
      <c r="I34" s="1705"/>
      <c r="J34" s="1693"/>
      <c r="K34" s="2436"/>
      <c r="L34" s="1693"/>
      <c r="M34" s="1693"/>
      <c r="N34" s="1693"/>
      <c r="O34" s="1693"/>
      <c r="P34" s="1693"/>
      <c r="Q34" s="1693"/>
      <c r="R34" s="1693"/>
      <c r="S34" s="1693"/>
      <c r="T34" s="1693"/>
      <c r="U34" s="1693"/>
    </row>
    <row r="35" spans="1:21">
      <c r="A35" s="3631" t="s">
        <v>847</v>
      </c>
      <c r="B35" s="1720"/>
      <c r="C35" s="1774" t="str">
        <f>IF(B35="场地平整","——","具体情况：")</f>
        <v>具体情况：</v>
      </c>
      <c r="D35" s="3633"/>
      <c r="E35" s="3634"/>
      <c r="F35" s="3634"/>
      <c r="G35" s="3634"/>
      <c r="H35" s="3634"/>
      <c r="I35" s="3635"/>
      <c r="J35" s="1693"/>
      <c r="K35" s="1773"/>
      <c r="L35" s="1721"/>
      <c r="M35" s="1721"/>
      <c r="N35" s="1693"/>
      <c r="O35" s="1694"/>
      <c r="P35" s="1693"/>
      <c r="Q35" s="1693"/>
      <c r="R35" s="1693"/>
      <c r="S35" s="1693"/>
      <c r="T35" s="1693"/>
      <c r="U35" s="1693"/>
    </row>
    <row r="36" spans="1:21">
      <c r="A36" s="3627"/>
      <c r="B36" s="3636" t="s">
        <v>2055</v>
      </c>
      <c r="C36" s="3637"/>
      <c r="D36" s="1790"/>
      <c r="E36" s="3638"/>
      <c r="F36" s="3638"/>
      <c r="G36" s="1686" t="str">
        <f>IF(B35="场地未平整","估价结果处理","")</f>
        <v/>
      </c>
      <c r="H36" s="3639"/>
      <c r="I36" s="3639"/>
      <c r="J36" s="1693"/>
      <c r="K36" s="1773"/>
      <c r="L36" s="1721"/>
      <c r="M36" s="1721"/>
      <c r="N36" s="1693"/>
      <c r="O36" s="1694"/>
      <c r="P36" s="1693"/>
      <c r="Q36" s="1693"/>
      <c r="R36" s="1693"/>
      <c r="S36" s="1693"/>
      <c r="T36" s="1693"/>
      <c r="U36" s="1693"/>
    </row>
    <row r="37" spans="1:21" ht="28.5">
      <c r="A37" s="3627"/>
      <c r="B37" s="3616" t="s">
        <v>848</v>
      </c>
      <c r="C37" s="1722" t="s">
        <v>849</v>
      </c>
      <c r="D37" s="1723"/>
      <c r="E37" s="1724"/>
      <c r="F37" s="1693"/>
      <c r="G37" s="1693"/>
      <c r="H37" s="1693"/>
      <c r="I37" s="1705"/>
      <c r="J37" s="1693"/>
      <c r="K37" s="1773"/>
      <c r="L37" s="1693"/>
      <c r="M37" s="1693"/>
      <c r="N37" s="1693"/>
      <c r="O37" s="1693"/>
      <c r="P37" s="1693"/>
      <c r="Q37" s="1693"/>
      <c r="R37" s="1693"/>
      <c r="S37" s="1693"/>
      <c r="T37" s="1693"/>
      <c r="U37" s="1693"/>
    </row>
    <row r="38" spans="1:21">
      <c r="A38" s="3627"/>
      <c r="B38" s="3617"/>
      <c r="C38" s="1668" t="s">
        <v>850</v>
      </c>
      <c r="D38" s="1789">
        <f>ROUNDDOWN(MIN(('数据-取费表'!$B$2-D37)/365,D34),1)</f>
        <v>119.5</v>
      </c>
      <c r="E38" s="1725" t="s">
        <v>851</v>
      </c>
      <c r="F38" s="1693"/>
      <c r="G38" s="1693"/>
      <c r="H38" s="1693"/>
      <c r="I38" s="1705"/>
      <c r="J38" s="1693"/>
      <c r="K38" s="1773"/>
      <c r="L38" s="1693"/>
      <c r="M38" s="1693"/>
      <c r="N38" s="1693"/>
      <c r="O38" s="1693"/>
      <c r="P38" s="1693"/>
      <c r="Q38" s="1693"/>
      <c r="R38" s="1693"/>
      <c r="S38" s="1693"/>
      <c r="T38" s="1693"/>
      <c r="U38" s="1693"/>
    </row>
    <row r="39" spans="1:21">
      <c r="A39" s="3628"/>
      <c r="B39" s="3618"/>
      <c r="C39" s="1696" t="str">
        <f>IF(D38&lt;1,"不存在土地闲置",IF(B35="宗地内已开工建设","已开工，不存在土地闲置","估价对象已涉嫌土地闲置"))</f>
        <v>估价对象已涉嫌土地闲置</v>
      </c>
      <c r="D39" s="1726"/>
      <c r="E39" s="1727"/>
      <c r="F39" s="1693"/>
      <c r="G39" s="1693"/>
      <c r="H39" s="1693"/>
      <c r="I39" s="1705"/>
      <c r="J39" s="1693"/>
      <c r="K39" s="1772"/>
      <c r="L39" s="1721"/>
      <c r="M39" s="1721"/>
      <c r="N39" s="1693"/>
      <c r="O39" s="1694"/>
      <c r="P39" s="1693"/>
      <c r="Q39" s="1693"/>
      <c r="R39" s="1693"/>
      <c r="S39" s="1693"/>
      <c r="T39" s="1693"/>
      <c r="U39" s="1693"/>
    </row>
    <row r="40" spans="1:21">
      <c r="A40" s="1686" t="s">
        <v>1978</v>
      </c>
      <c r="B40" s="1689" t="s">
        <v>3108</v>
      </c>
      <c r="C40" s="1689" t="s">
        <v>3109</v>
      </c>
      <c r="D40" s="1689" t="s">
        <v>3111</v>
      </c>
      <c r="E40" s="1689" t="s">
        <v>3110</v>
      </c>
      <c r="F40" s="1689" t="s">
        <v>3112</v>
      </c>
      <c r="G40" s="1689"/>
      <c r="H40" s="1689"/>
      <c r="I40" s="1705"/>
      <c r="J40" s="1693"/>
      <c r="K40" s="1728">
        <f>COUNTIF(B40:H40,"——")</f>
        <v>0</v>
      </c>
      <c r="L40" s="1697" t="s">
        <v>1979</v>
      </c>
      <c r="M40" s="1695" t="s">
        <v>1980</v>
      </c>
      <c r="N40" s="1695" t="s">
        <v>1981</v>
      </c>
      <c r="O40" s="1695" t="s">
        <v>1982</v>
      </c>
      <c r="P40" s="1695" t="s">
        <v>1983</v>
      </c>
      <c r="Q40" s="1695" t="s">
        <v>1984</v>
      </c>
      <c r="R40" s="1695" t="s">
        <v>1985</v>
      </c>
      <c r="S40" s="3599" t="s">
        <v>1986</v>
      </c>
      <c r="T40" s="1729" t="str">
        <f>NUMBERSTRING(7-K40,1)&amp;"通"</f>
        <v>七通</v>
      </c>
      <c r="U40" s="1693"/>
    </row>
    <row r="41" spans="1:21" ht="28.5">
      <c r="A41" s="1662"/>
      <c r="B41" s="3632" t="s">
        <v>1722</v>
      </c>
      <c r="C41" s="3632"/>
      <c r="D41" s="3632"/>
      <c r="E41" s="3632"/>
      <c r="F41" s="1730" t="str">
        <f>C10</f>
        <v>江苏省镇江市</v>
      </c>
      <c r="G41" s="1693"/>
      <c r="H41" s="1693"/>
      <c r="I41" s="1705"/>
      <c r="J41" s="1693"/>
      <c r="K41" s="1697"/>
      <c r="L41" s="1695"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599"/>
      <c r="T41" s="1731" t="str">
        <f>IF(T40="一通",L41,IF(T40="二通",M41,IF(T40="三通",N41,IF(T40="四通",O41,IF(T40="五通",P41,IF(T40="六通",Q41,R41))))))</f>
        <v>通路、通电、通讯、通上水、通下水、、</v>
      </c>
      <c r="U41" s="1693"/>
    </row>
    <row r="42" spans="1:21">
      <c r="A42" s="1733"/>
      <c r="B42" s="1764" t="s">
        <v>1898</v>
      </c>
      <c r="C42" s="1764" t="s">
        <v>1899</v>
      </c>
      <c r="D42" s="1764" t="s">
        <v>1900</v>
      </c>
      <c r="E42" s="1697" t="s">
        <v>1901</v>
      </c>
      <c r="F42" s="1734"/>
      <c r="G42" s="1693"/>
      <c r="H42" s="1693"/>
      <c r="I42" s="1705"/>
      <c r="J42" s="1693"/>
      <c r="K42" s="1772"/>
      <c r="L42" s="1721"/>
      <c r="M42" s="1721"/>
      <c r="N42" s="1693"/>
      <c r="O42" s="1694"/>
      <c r="P42" s="1693"/>
      <c r="Q42" s="1693"/>
      <c r="R42" s="1693"/>
      <c r="S42" s="1693"/>
      <c r="T42" s="1693"/>
      <c r="U42" s="1693"/>
    </row>
    <row r="43" spans="1:21">
      <c r="A43" s="1735" t="s">
        <v>1707</v>
      </c>
      <c r="B43" s="1736"/>
      <c r="C43" s="1736"/>
      <c r="D43" s="1736"/>
      <c r="E43" s="1736"/>
      <c r="F43" s="1737"/>
      <c r="G43" s="1693"/>
      <c r="H43" s="1693"/>
      <c r="I43" s="1705"/>
      <c r="J43" s="1693"/>
      <c r="K43" s="1772"/>
      <c r="L43" s="1721"/>
      <c r="M43" s="1721"/>
      <c r="N43" s="1693"/>
      <c r="O43" s="1694"/>
      <c r="P43" s="1693"/>
      <c r="Q43" s="1693"/>
      <c r="R43" s="1693"/>
      <c r="S43" s="1693"/>
      <c r="T43" s="1693"/>
      <c r="U43" s="1693"/>
    </row>
    <row r="44" spans="1:21">
      <c r="A44" s="1735" t="s">
        <v>1708</v>
      </c>
      <c r="B44" s="1736"/>
      <c r="C44" s="1736"/>
      <c r="D44" s="1736"/>
      <c r="E44" s="1790"/>
      <c r="F44" s="1737"/>
      <c r="G44" s="1693"/>
      <c r="H44" s="1693"/>
      <c r="I44" s="1705"/>
      <c r="J44" s="1693"/>
      <c r="K44" s="1772"/>
      <c r="L44" s="1721"/>
      <c r="M44" s="1721"/>
      <c r="N44" s="1693"/>
      <c r="O44" s="1694"/>
      <c r="P44" s="1693"/>
      <c r="Q44" s="1693"/>
      <c r="R44" s="1693"/>
      <c r="S44" s="1693"/>
      <c r="T44" s="1693"/>
      <c r="U44" s="1693"/>
    </row>
    <row r="45" spans="1:21" s="3047" customFormat="1" ht="21" thickBot="1">
      <c r="A45" s="3048" t="s">
        <v>2891</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3"/>
      <c r="B46" s="1693"/>
      <c r="C46" s="1693"/>
      <c r="D46" s="1693"/>
      <c r="E46" s="1693"/>
      <c r="F46" s="1693"/>
      <c r="G46" s="1693"/>
      <c r="H46" s="1693"/>
      <c r="I46" s="1705"/>
      <c r="J46" s="1693"/>
      <c r="K46" s="1772"/>
      <c r="L46" s="1721"/>
      <c r="M46" s="1721"/>
      <c r="N46" s="1693"/>
      <c r="O46" s="1694"/>
      <c r="P46" s="1693"/>
      <c r="Q46" s="1693"/>
      <c r="R46" s="1693"/>
      <c r="S46" s="1693"/>
      <c r="T46" s="1693"/>
      <c r="U46" s="1693"/>
    </row>
    <row r="47" spans="1:21">
      <c r="A47" s="1738" t="s">
        <v>2007</v>
      </c>
      <c r="B47" s="1739"/>
      <c r="C47" s="1727"/>
      <c r="D47" s="1693"/>
      <c r="E47" s="1693"/>
      <c r="F47" s="1693"/>
      <c r="G47" s="1693"/>
      <c r="H47" s="1693"/>
      <c r="I47" s="1694"/>
      <c r="J47" s="1693"/>
      <c r="K47" s="1772"/>
      <c r="L47" s="1721"/>
      <c r="M47" s="1721"/>
      <c r="N47" s="1693"/>
      <c r="O47" s="1694"/>
      <c r="P47" s="1693"/>
      <c r="Q47" s="1693"/>
      <c r="R47" s="1693"/>
      <c r="S47" s="1693"/>
      <c r="T47" s="1693"/>
      <c r="U47" s="1693"/>
    </row>
    <row r="48" spans="1:21" ht="28.5">
      <c r="A48" s="1697" t="s">
        <v>2008</v>
      </c>
      <c r="B48" s="1685" t="s">
        <v>2009</v>
      </c>
      <c r="C48" s="1685" t="s">
        <v>2010</v>
      </c>
      <c r="D48" s="1685" t="s">
        <v>2011</v>
      </c>
      <c r="E48" s="1685" t="s">
        <v>2012</v>
      </c>
      <c r="F48" s="1685" t="s">
        <v>2013</v>
      </c>
      <c r="G48" s="1685" t="s">
        <v>2014</v>
      </c>
      <c r="H48" s="1685" t="s">
        <v>2015</v>
      </c>
      <c r="I48" s="1685" t="s">
        <v>2016</v>
      </c>
      <c r="J48" s="1770" t="s">
        <v>2017</v>
      </c>
      <c r="K48" s="1764" t="s">
        <v>2018</v>
      </c>
      <c r="L48" s="1764" t="s">
        <v>2019</v>
      </c>
      <c r="M48" s="1764" t="s">
        <v>2020</v>
      </c>
      <c r="N48" s="1685" t="s">
        <v>2021</v>
      </c>
      <c r="O48" s="1685" t="s">
        <v>2022</v>
      </c>
      <c r="P48" s="1685" t="s">
        <v>2023</v>
      </c>
      <c r="Q48" s="1697" t="s">
        <v>2024</v>
      </c>
      <c r="R48" s="1697" t="s">
        <v>2025</v>
      </c>
      <c r="S48" s="1693"/>
      <c r="T48" s="1693"/>
      <c r="U48" s="1693"/>
    </row>
    <row r="49" spans="1:21">
      <c r="A49" s="1695"/>
      <c r="B49" s="1728"/>
      <c r="C49" s="1728"/>
      <c r="D49" s="1728"/>
      <c r="E49" s="1728"/>
      <c r="F49" s="1728"/>
      <c r="G49" s="1728"/>
      <c r="H49" s="1728"/>
      <c r="I49" s="1728"/>
      <c r="J49" s="1837"/>
      <c r="K49" s="1838"/>
      <c r="L49" s="1838"/>
      <c r="M49" s="1728"/>
      <c r="N49" s="1728"/>
      <c r="O49" s="1728"/>
      <c r="P49" s="1728"/>
      <c r="Q49" s="1728"/>
      <c r="R49" s="1728"/>
      <c r="S49" s="1693"/>
      <c r="T49" s="1693"/>
      <c r="U49" s="1693"/>
    </row>
    <row r="50" spans="1:21">
      <c r="A50" s="1695"/>
      <c r="B50" s="1695"/>
      <c r="C50" s="1728"/>
      <c r="D50" s="1728"/>
      <c r="E50" s="1728"/>
      <c r="F50" s="1728"/>
      <c r="G50" s="1728"/>
      <c r="H50" s="1728"/>
      <c r="I50" s="1728"/>
      <c r="J50" s="1837"/>
      <c r="K50" s="1838"/>
      <c r="L50" s="1838"/>
      <c r="M50" s="1728"/>
      <c r="N50" s="1728"/>
      <c r="O50" s="1728"/>
      <c r="P50" s="1728"/>
      <c r="Q50" s="1728"/>
      <c r="R50" s="1728"/>
      <c r="S50" s="1693"/>
      <c r="T50" s="1693"/>
      <c r="U50" s="1693"/>
    </row>
    <row r="51" spans="1:21">
      <c r="A51" s="1695"/>
      <c r="B51" s="1695"/>
      <c r="C51" s="1728"/>
      <c r="D51" s="1728"/>
      <c r="E51" s="1728"/>
      <c r="F51" s="1728"/>
      <c r="G51" s="1728"/>
      <c r="H51" s="1728"/>
      <c r="I51" s="1728"/>
      <c r="J51" s="1837"/>
      <c r="K51" s="1838"/>
      <c r="L51" s="1838"/>
      <c r="M51" s="1728"/>
      <c r="N51" s="1728"/>
      <c r="O51" s="1728"/>
      <c r="P51" s="1728"/>
      <c r="Q51" s="1728"/>
      <c r="R51" s="1728"/>
      <c r="S51" s="1693"/>
      <c r="T51" s="1693"/>
      <c r="U51" s="1693"/>
    </row>
    <row r="52" spans="1:21">
      <c r="A52" s="1695"/>
      <c r="B52" s="1695"/>
      <c r="C52" s="1728"/>
      <c r="D52" s="1728"/>
      <c r="E52" s="1728"/>
      <c r="F52" s="1728"/>
      <c r="G52" s="1728"/>
      <c r="H52" s="1728"/>
      <c r="I52" s="1728"/>
      <c r="J52" s="1837"/>
      <c r="K52" s="1838"/>
      <c r="L52" s="1838"/>
      <c r="M52" s="1728"/>
      <c r="N52" s="1728"/>
      <c r="O52" s="1728"/>
      <c r="P52" s="1728"/>
      <c r="Q52" s="1728"/>
      <c r="R52" s="1728"/>
      <c r="S52" s="1693"/>
      <c r="T52" s="1693"/>
      <c r="U52" s="1693"/>
    </row>
    <row r="53" spans="1:21">
      <c r="A53" s="1695"/>
      <c r="B53" s="1695"/>
      <c r="C53" s="1728"/>
      <c r="D53" s="1728"/>
      <c r="E53" s="1728"/>
      <c r="F53" s="1728"/>
      <c r="G53" s="1728"/>
      <c r="H53" s="1728"/>
      <c r="I53" s="1728"/>
      <c r="J53" s="1837"/>
      <c r="K53" s="1838"/>
      <c r="L53" s="1838"/>
      <c r="M53" s="1728"/>
      <c r="N53" s="1728"/>
      <c r="O53" s="1728"/>
      <c r="P53" s="1728"/>
      <c r="Q53" s="1728"/>
      <c r="R53" s="1728"/>
      <c r="S53" s="1693"/>
      <c r="T53" s="1693"/>
      <c r="U53" s="1693"/>
    </row>
    <row r="54" spans="1:21">
      <c r="A54" s="1695"/>
      <c r="B54" s="1695"/>
      <c r="C54" s="1695"/>
      <c r="D54" s="1695"/>
      <c r="E54" s="1695"/>
      <c r="F54" s="1728"/>
      <c r="G54" s="1695"/>
      <c r="H54" s="1695"/>
      <c r="I54" s="1695"/>
      <c r="J54" s="1839"/>
      <c r="K54" s="1838"/>
      <c r="L54" s="1838"/>
      <c r="M54" s="1838"/>
      <c r="N54" s="1695"/>
      <c r="O54" s="1695"/>
      <c r="P54" s="1695"/>
      <c r="Q54" s="1695"/>
      <c r="R54" s="1695"/>
      <c r="S54" s="1693"/>
      <c r="T54" s="1693"/>
      <c r="U54" s="1693"/>
    </row>
    <row r="55" spans="1:21">
      <c r="A55" s="1695"/>
      <c r="B55" s="1695"/>
      <c r="C55" s="1695"/>
      <c r="D55" s="1695"/>
      <c r="E55" s="1695"/>
      <c r="F55" s="1728"/>
      <c r="G55" s="1695"/>
      <c r="H55" s="1695"/>
      <c r="I55" s="1695"/>
      <c r="J55" s="1839"/>
      <c r="K55" s="1838"/>
      <c r="L55" s="1838"/>
      <c r="M55" s="1838"/>
      <c r="N55" s="1695"/>
      <c r="O55" s="1695"/>
      <c r="P55" s="1695"/>
      <c r="Q55" s="1695"/>
      <c r="R55" s="1695"/>
      <c r="S55" s="1693"/>
      <c r="T55" s="1693"/>
      <c r="U55" s="1693"/>
    </row>
    <row r="56" spans="1:21">
      <c r="A56" s="1695"/>
      <c r="B56" s="1695"/>
      <c r="C56" s="1695"/>
      <c r="D56" s="1695"/>
      <c r="E56" s="1695"/>
      <c r="F56" s="1728"/>
      <c r="G56" s="1695"/>
      <c r="H56" s="1695"/>
      <c r="I56" s="1695"/>
      <c r="J56" s="1839"/>
      <c r="K56" s="1838"/>
      <c r="L56" s="1838"/>
      <c r="M56" s="1838"/>
      <c r="N56" s="1695"/>
      <c r="O56" s="1695"/>
      <c r="P56" s="1695"/>
      <c r="Q56" s="1695"/>
      <c r="R56" s="1695"/>
      <c r="S56" s="1693"/>
      <c r="T56" s="1693"/>
      <c r="U56" s="1693"/>
    </row>
    <row r="57" spans="1:21">
      <c r="A57" s="1695"/>
      <c r="B57" s="1695"/>
      <c r="C57" s="1695"/>
      <c r="D57" s="1695"/>
      <c r="E57" s="1695"/>
      <c r="F57" s="1728"/>
      <c r="G57" s="1695"/>
      <c r="H57" s="1695"/>
      <c r="I57" s="1695"/>
      <c r="J57" s="1839"/>
      <c r="K57" s="1838"/>
      <c r="L57" s="1838"/>
      <c r="M57" s="1838"/>
      <c r="N57" s="1695"/>
      <c r="O57" s="1695"/>
      <c r="P57" s="1695"/>
      <c r="Q57" s="1695"/>
      <c r="R57" s="1695"/>
      <c r="S57" s="1693"/>
      <c r="T57" s="1693"/>
      <c r="U57" s="1693"/>
    </row>
    <row r="58" spans="1:21">
      <c r="A58" s="1695"/>
      <c r="B58" s="1695"/>
      <c r="C58" s="1695"/>
      <c r="D58" s="1695"/>
      <c r="E58" s="1695"/>
      <c r="F58" s="1728"/>
      <c r="G58" s="1695"/>
      <c r="H58" s="1695"/>
      <c r="I58" s="1695"/>
      <c r="J58" s="1839"/>
      <c r="K58" s="1838"/>
      <c r="L58" s="1838"/>
      <c r="M58" s="1838"/>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0" sqref="C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8" t="s">
        <v>2334</v>
      </c>
      <c r="BA2" s="2339"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21830.94</v>
      </c>
      <c r="B3" s="22">
        <f>IF(C3="否",G5-AT5,G5)</f>
        <v>76408.289999999994</v>
      </c>
      <c r="C3" s="23" t="s">
        <v>3012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76408.289999999994</v>
      </c>
      <c r="H5" s="27">
        <f t="shared" ref="H5:AT5" si="0">SUM(H13:H641)</f>
        <v>76408.289999999994</v>
      </c>
      <c r="I5" s="27">
        <f t="shared" si="0"/>
        <v>68767.460999999996</v>
      </c>
      <c r="J5" s="27">
        <f t="shared" si="0"/>
        <v>0</v>
      </c>
      <c r="K5" s="27">
        <f t="shared" si="0"/>
        <v>7640.8289999999979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76408.289999999994</v>
      </c>
      <c r="BA5" s="29">
        <f t="shared" si="1"/>
        <v>76408.289999999994</v>
      </c>
      <c r="BB5" s="29">
        <f t="shared" si="1"/>
        <v>68767.460999999996</v>
      </c>
      <c r="BC5" s="29">
        <f t="shared" si="1"/>
        <v>7640.8289999999979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21830.94</v>
      </c>
      <c r="F6" s="27" t="s">
        <v>1</v>
      </c>
      <c r="G6" s="27" t="s">
        <v>2</v>
      </c>
      <c r="H6" s="33">
        <f>SUMIF(I$12:AB$12,"总值",I6:AB6)</f>
        <v>21830.94</v>
      </c>
      <c r="I6" s="27">
        <f t="shared" ref="I6:AB6" si="2">ROUND($A$3*I5/$B$3,2)</f>
        <v>19647.849999999999</v>
      </c>
      <c r="J6" s="27">
        <f t="shared" si="2"/>
        <v>0</v>
      </c>
      <c r="K6" s="27">
        <f t="shared" si="2"/>
        <v>2183.09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21830.94</v>
      </c>
      <c r="AZ6" s="27" t="s">
        <v>3</v>
      </c>
      <c r="BA6" s="27">
        <f>ROUND($AY$6*BA5/$AZ$5,2)</f>
        <v>21830.94</v>
      </c>
      <c r="BB6" s="27">
        <f>ROUND($AY$6*BB5/$AZ$5,2)</f>
        <v>19647.849999999999</v>
      </c>
      <c r="BC6" s="27">
        <f t="shared" ref="BC6:BH6" si="4">ROUND($AY$6*BC5/$AZ$5,2)</f>
        <v>2183.09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3" t="s">
        <v>3013</v>
      </c>
      <c r="J9" s="51"/>
      <c r="K9" s="2993" t="s">
        <v>3013</v>
      </c>
      <c r="L9" s="51"/>
      <c r="M9" s="299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3" t="s">
        <v>923</v>
      </c>
      <c r="J10" s="51"/>
      <c r="K10" s="2995" t="s">
        <v>3011</v>
      </c>
      <c r="L10" s="51"/>
      <c r="M10" s="2995"/>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4" t="s">
        <v>3019</v>
      </c>
      <c r="J11" s="71"/>
      <c r="K11" s="2994" t="s">
        <v>3018</v>
      </c>
      <c r="L11" s="71"/>
      <c r="M11" s="70"/>
      <c r="N11" s="71"/>
      <c r="O11" s="70"/>
      <c r="P11" s="71"/>
      <c r="Q11" s="70"/>
      <c r="R11" s="71"/>
      <c r="S11" s="70"/>
      <c r="T11" s="71"/>
      <c r="U11" s="70"/>
      <c r="V11" s="71"/>
      <c r="W11" s="70"/>
      <c r="X11" s="71"/>
      <c r="Y11" s="70"/>
      <c r="Z11" s="71"/>
      <c r="AA11" s="70"/>
      <c r="AB11" s="71"/>
      <c r="AC11" s="55"/>
      <c r="AD11" s="2333" t="s">
        <v>2331</v>
      </c>
      <c r="AE11" s="1002"/>
      <c r="AF11" s="2333" t="s">
        <v>2331</v>
      </c>
      <c r="AG11" s="1002"/>
      <c r="AH11" s="2333" t="s">
        <v>2330</v>
      </c>
      <c r="AI11" s="2334"/>
      <c r="AJ11" s="2333" t="s">
        <v>2330</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c r="D13" s="2989" t="s">
        <v>1679</v>
      </c>
      <c r="E13" s="27">
        <f t="shared" ref="E13:E20" si="6">IF($C$3="是",ROUND($A$3*G13/$B$3,2),ROUND($A$3*(G13-AT13)/$B$3,2))</f>
        <v>21830.94</v>
      </c>
      <c r="F13" s="81"/>
      <c r="G13" s="82">
        <f t="shared" ref="G13:G20" si="7">H13+AC13+AT13</f>
        <v>76408.289999999994</v>
      </c>
      <c r="H13" s="33">
        <f t="shared" ref="H13:H20" si="8">SUMIF(I$12:AB$12,"总值",I13:AB13)</f>
        <v>76408.289999999994</v>
      </c>
      <c r="I13" s="2992">
        <f>A16*0.9</f>
        <v>68767.460999999996</v>
      </c>
      <c r="J13" s="2992"/>
      <c r="K13" s="2992">
        <f>A16-I13</f>
        <v>7640.8289999999979</v>
      </c>
      <c r="L13" s="2992"/>
      <c r="M13" s="2992"/>
      <c r="N13" s="83"/>
      <c r="O13" s="83"/>
      <c r="P13" s="83"/>
      <c r="Q13" s="83"/>
      <c r="R13" s="83"/>
      <c r="S13" s="83"/>
      <c r="T13" s="83"/>
      <c r="U13" s="83"/>
      <c r="V13" s="83"/>
      <c r="W13" s="83"/>
      <c r="X13" s="83"/>
      <c r="Y13" s="83"/>
      <c r="Z13" s="83"/>
      <c r="AA13" s="83"/>
      <c r="AB13" s="83"/>
      <c r="AC13" s="27">
        <f t="shared" ref="AC13:AC20" si="9">SUMIF(AD$12:AS$12,"总值",AD13:AS13)</f>
        <v>0</v>
      </c>
      <c r="AD13" s="2996"/>
      <c r="AE13" s="2996"/>
      <c r="AF13" s="2996"/>
      <c r="AG13" s="2996"/>
      <c r="AH13" s="2996"/>
      <c r="AI13" s="2996"/>
      <c r="AJ13" s="2996"/>
      <c r="AK13" s="2996"/>
      <c r="AL13" s="2996"/>
      <c r="AM13" s="2996"/>
      <c r="AN13" s="2996"/>
      <c r="AO13" s="2996"/>
      <c r="AP13" s="2996"/>
      <c r="AQ13" s="2996"/>
      <c r="AR13" s="2996"/>
      <c r="AS13" s="2996"/>
      <c r="AT13" s="2997"/>
      <c r="AU13" s="2998"/>
      <c r="AV13" s="17">
        <f t="shared" ref="AV13:AX20" si="10">A13</f>
        <v>0</v>
      </c>
      <c r="AW13" s="17">
        <f t="shared" si="10"/>
        <v>0</v>
      </c>
      <c r="AX13" s="17">
        <f t="shared" si="10"/>
        <v>0</v>
      </c>
      <c r="AY13" s="996">
        <f t="shared" ref="AY13:AY20" si="11">ROUND($AY$6*AZ13/$AZ$5,2)</f>
        <v>21830.94</v>
      </c>
      <c r="AZ13" s="27">
        <f t="shared" ref="AZ13:AZ20" si="12">BA13+BL13</f>
        <v>76408.289999999994</v>
      </c>
      <c r="BA13" s="27">
        <f t="shared" ref="BA13:BA20" si="13">SUM(BB13:BK13)</f>
        <v>76408.289999999994</v>
      </c>
      <c r="BB13" s="27">
        <f t="shared" ref="BB13:BB20" si="14">IF($D13="是",I13-J13,0)</f>
        <v>68767.460999999996</v>
      </c>
      <c r="BC13" s="27">
        <f t="shared" ref="BC13:BC20" si="15">IF($D13="是",K13-L13,0)</f>
        <v>7640.8289999999979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v>3.5</v>
      </c>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3.5</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f>A3*A15</f>
        <v>76408.289999999994</v>
      </c>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76408.289999999994</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28.5" hidden="1">
      <c r="A28" s="3179" t="s">
        <v>3094</v>
      </c>
      <c r="B28" s="3179" t="s">
        <v>3010</v>
      </c>
      <c r="C28" s="3179">
        <v>21127.3</v>
      </c>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t="str">
        <f t="shared" si="37"/>
        <v>扬中市八桥镇</v>
      </c>
      <c r="AW28" s="1978" t="str">
        <f t="shared" si="38"/>
        <v>出让</v>
      </c>
      <c r="AX28" s="1978">
        <f t="shared" si="39"/>
        <v>21127.3</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28.5">
      <c r="A29" s="3179" t="s">
        <v>3094</v>
      </c>
      <c r="B29" s="3179" t="s">
        <v>3010</v>
      </c>
      <c r="C29" s="3179">
        <v>20498.400000000001</v>
      </c>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t="str">
        <f t="shared" si="37"/>
        <v>扬中市八桥镇</v>
      </c>
      <c r="AW29" s="1978" t="str">
        <f t="shared" si="38"/>
        <v>出让</v>
      </c>
      <c r="AX29" s="1978">
        <f t="shared" si="39"/>
        <v>20498.400000000001</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28.5">
      <c r="A30" s="3179" t="s">
        <v>3094</v>
      </c>
      <c r="B30" s="3180" t="s">
        <v>3010</v>
      </c>
      <c r="C30" s="3180">
        <v>33028.6</v>
      </c>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t="str">
        <f t="shared" si="37"/>
        <v>扬中市八桥镇</v>
      </c>
      <c r="AW30" s="1978" t="str">
        <f t="shared" si="38"/>
        <v>出让</v>
      </c>
      <c r="AX30" s="1978">
        <f t="shared" si="39"/>
        <v>33028.6</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42.75" hidden="1">
      <c r="A31" s="3179" t="s">
        <v>3095</v>
      </c>
      <c r="B31" s="3180" t="s">
        <v>3096</v>
      </c>
      <c r="C31" s="3180">
        <v>6358.07</v>
      </c>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t="str">
        <f t="shared" si="37"/>
        <v>扬中市三茅街道中园路</v>
      </c>
      <c r="AW31" s="1978" t="str">
        <f t="shared" si="38"/>
        <v>出让</v>
      </c>
      <c r="AX31" s="1978">
        <f t="shared" si="39"/>
        <v>6358.07</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28.5" hidden="1">
      <c r="A32" s="3179" t="s">
        <v>3097</v>
      </c>
      <c r="B32" s="3180" t="s">
        <v>3096</v>
      </c>
      <c r="C32" s="3180">
        <v>7313.9</v>
      </c>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t="str">
        <f t="shared" si="37"/>
        <v>扬中市西来桥镇</v>
      </c>
      <c r="AW32" s="1978" t="str">
        <f t="shared" si="38"/>
        <v>出让</v>
      </c>
      <c r="AX32" s="1978">
        <f t="shared" si="39"/>
        <v>7313.9</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71.25" hidden="1">
      <c r="A33" s="3179" t="s">
        <v>3098</v>
      </c>
      <c r="B33" s="3180" t="s">
        <v>3096</v>
      </c>
      <c r="C33" s="3180">
        <v>16690.509999999998</v>
      </c>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t="str">
        <f t="shared" si="37"/>
        <v>扬中市东升站河南侧、花园路北侧地块四</v>
      </c>
      <c r="AW33" s="1978" t="str">
        <f t="shared" si="38"/>
        <v>出让</v>
      </c>
      <c r="AX33" s="1978">
        <f t="shared" si="39"/>
        <v>16690.509999999998</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71.25">
      <c r="A34" s="3179" t="s">
        <v>3099</v>
      </c>
      <c r="B34" s="3180" t="s">
        <v>3096</v>
      </c>
      <c r="C34" s="3180">
        <v>16996.97</v>
      </c>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t="str">
        <f t="shared" si="37"/>
        <v>扬中市东升站河南侧、花园路北侧地块五</v>
      </c>
      <c r="AW34" s="1978" t="str">
        <f t="shared" si="38"/>
        <v>出让</v>
      </c>
      <c r="AX34" s="1978">
        <f t="shared" si="39"/>
        <v>16996.97</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40" t="s">
        <v>0</v>
      </c>
      <c r="B1" s="3640" t="s">
        <v>4</v>
      </c>
      <c r="C1" s="3640" t="s">
        <v>5</v>
      </c>
      <c r="D1" s="3641" t="s">
        <v>40</v>
      </c>
      <c r="E1" s="3641" t="s">
        <v>41</v>
      </c>
      <c r="F1" s="3641"/>
      <c r="G1" s="3641"/>
      <c r="H1" s="3641"/>
      <c r="I1" s="3641"/>
      <c r="J1" s="3641"/>
      <c r="K1" s="3641"/>
      <c r="L1" s="3641"/>
      <c r="M1" s="3641"/>
    </row>
    <row r="2" spans="1:13" ht="27" customHeight="1">
      <c r="A2" s="3640"/>
      <c r="B2" s="3640"/>
      <c r="C2" s="3640"/>
      <c r="D2" s="3641"/>
      <c r="E2" s="3641" t="s">
        <v>24</v>
      </c>
      <c r="F2" s="3641" t="s">
        <v>25</v>
      </c>
      <c r="G2" s="3641"/>
      <c r="H2" s="3641"/>
      <c r="I2" s="3641"/>
      <c r="J2" s="3641" t="s">
        <v>26</v>
      </c>
      <c r="K2" s="3641"/>
      <c r="L2" s="3641"/>
      <c r="M2" s="3641"/>
    </row>
    <row r="3" spans="1:13" ht="28.5">
      <c r="A3" s="3640"/>
      <c r="B3" s="3640"/>
      <c r="C3" s="3640"/>
      <c r="D3" s="3641"/>
      <c r="E3" s="364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41" t="s">
        <v>42</v>
      </c>
      <c r="B9" s="3641"/>
      <c r="C9" s="364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651" t="s">
        <v>203</v>
      </c>
      <c r="B2" s="3651"/>
      <c r="C2" s="3651"/>
      <c r="D2" s="1974" t="s">
        <v>204</v>
      </c>
      <c r="E2" s="106" t="s">
        <v>205</v>
      </c>
      <c r="F2" s="1983"/>
      <c r="G2" s="1198"/>
      <c r="H2" s="1199"/>
      <c r="I2" s="1200" t="s">
        <v>857</v>
      </c>
      <c r="J2" s="1983"/>
      <c r="K2" s="1983"/>
      <c r="L2" s="1983"/>
    </row>
    <row r="3" spans="1:16" ht="15.75" thickBot="1">
      <c r="A3" s="3652" t="s">
        <v>206</v>
      </c>
      <c r="B3" s="3652"/>
      <c r="C3" s="3652"/>
      <c r="D3" s="107">
        <f>'数据-基础表'!AY6</f>
        <v>21830.94</v>
      </c>
      <c r="E3" s="107">
        <f>'数据-基础表'!AZ5</f>
        <v>76408.289999999994</v>
      </c>
      <c r="F3" s="1983"/>
      <c r="G3" s="280" t="s">
        <v>858</v>
      </c>
      <c r="H3" s="275" t="s">
        <v>859</v>
      </c>
      <c r="I3" s="1975">
        <f>ROUND('数据-基础表'!B3/'数据-基础表'!A3,2)</f>
        <v>3.5</v>
      </c>
      <c r="J3" s="1983"/>
      <c r="K3" s="1983"/>
      <c r="L3" s="1983"/>
    </row>
    <row r="4" spans="1:16" ht="15">
      <c r="A4" s="3653"/>
      <c r="B4" s="3654"/>
      <c r="C4" s="3655"/>
      <c r="D4" s="108" t="s">
        <v>204</v>
      </c>
      <c r="E4" s="109" t="s">
        <v>205</v>
      </c>
      <c r="F4" s="1983"/>
      <c r="G4" s="1201"/>
      <c r="H4" s="275" t="s">
        <v>860</v>
      </c>
      <c r="I4" s="1975">
        <f>ROUND(SUMIF('数据-基础表'!I9:AS9,"地上",'数据-基础表'!I5:AS5)/'数据-基础表'!A3,2)</f>
        <v>3.5</v>
      </c>
      <c r="J4" s="1983"/>
      <c r="K4" s="1983"/>
      <c r="L4" s="1983"/>
    </row>
    <row r="5" spans="1:16">
      <c r="A5" s="110" t="s">
        <v>207</v>
      </c>
      <c r="B5" s="3656" t="s">
        <v>230</v>
      </c>
      <c r="C5" s="3656"/>
      <c r="D5" s="111">
        <f>ROUND($D$3*E5/$E$3,2)</f>
        <v>19647.849999999999</v>
      </c>
      <c r="E5" s="112">
        <f>SUMIF('数据-基础表'!$11:$11,"住宅",'数据-基础表'!$5:$5)</f>
        <v>68767.460999999996</v>
      </c>
      <c r="F5" s="1983"/>
      <c r="G5" s="280" t="s">
        <v>861</v>
      </c>
      <c r="H5" s="275" t="s">
        <v>859</v>
      </c>
      <c r="I5" s="1975">
        <f>ROUND(E31/D31,2)</f>
        <v>3.5</v>
      </c>
      <c r="J5" s="1983"/>
      <c r="K5" s="1983"/>
      <c r="L5" s="1983"/>
    </row>
    <row r="6" spans="1:16" ht="15" thickBot="1">
      <c r="A6" s="113"/>
      <c r="B6" s="3656" t="s">
        <v>208</v>
      </c>
      <c r="C6" s="3656"/>
      <c r="D6" s="111">
        <f>ROUND($D$3*E6/$E$3,2)</f>
        <v>2183.09</v>
      </c>
      <c r="E6" s="112">
        <f>E3-E5</f>
        <v>7640.8289999999979</v>
      </c>
      <c r="F6" s="1983"/>
      <c r="G6" s="1201"/>
      <c r="H6" s="275" t="s">
        <v>860</v>
      </c>
      <c r="I6" s="1975">
        <f>ROUND(F31/D31,2)</f>
        <v>3.5</v>
      </c>
      <c r="J6" s="1983"/>
      <c r="K6" s="1983"/>
      <c r="L6" s="1983"/>
    </row>
    <row r="7" spans="1:16" ht="15">
      <c r="A7" s="3648"/>
      <c r="B7" s="3649"/>
      <c r="C7" s="3650"/>
      <c r="D7" s="108" t="s">
        <v>204</v>
      </c>
      <c r="E7" s="114" t="s">
        <v>231</v>
      </c>
      <c r="F7" s="1983"/>
      <c r="G7" s="1156" t="s">
        <v>1646</v>
      </c>
      <c r="H7" s="1157"/>
      <c r="I7" s="1845">
        <v>4</v>
      </c>
      <c r="J7" s="1983"/>
      <c r="K7" s="1983"/>
      <c r="L7" s="1983"/>
    </row>
    <row r="8" spans="1:16">
      <c r="A8" s="110" t="s">
        <v>209</v>
      </c>
      <c r="B8" s="115" t="s">
        <v>210</v>
      </c>
      <c r="C8" s="111" t="s">
        <v>211</v>
      </c>
      <c r="D8" s="111">
        <f t="shared" ref="D8:D15" si="0">ROUND($D$3*E8/$E$3,2)</f>
        <v>21830.94</v>
      </c>
      <c r="E8" s="116">
        <f>SUMIF('数据-基础表'!BB10:BK10,"地上",'数据-基础表'!BB5:BK5)</f>
        <v>76408.289999999994</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21830.94</v>
      </c>
      <c r="E16" s="120">
        <f>SUM(E8:E15)</f>
        <v>76408.289999999994</v>
      </c>
      <c r="F16" s="1983"/>
      <c r="G16" s="1985"/>
      <c r="H16" s="968" t="s">
        <v>219</v>
      </c>
      <c r="I16" s="969"/>
      <c r="J16" s="1983"/>
      <c r="K16" s="3642" t="s">
        <v>2567</v>
      </c>
      <c r="L16" s="3643"/>
      <c r="M16" s="3643"/>
      <c r="N16" s="3643"/>
      <c r="O16" s="3643"/>
      <c r="P16" s="3644"/>
    </row>
    <row r="17" spans="1:19" ht="15">
      <c r="A17" s="121" t="s">
        <v>216</v>
      </c>
      <c r="B17" s="122" t="s">
        <v>217</v>
      </c>
      <c r="C17" s="2297" t="s">
        <v>2314</v>
      </c>
      <c r="D17" s="108" t="s">
        <v>204</v>
      </c>
      <c r="E17" s="124" t="s">
        <v>205</v>
      </c>
      <c r="F17" s="125"/>
      <c r="G17" s="1366"/>
      <c r="H17" s="970" t="s">
        <v>218</v>
      </c>
      <c r="I17" s="971" t="s">
        <v>2313</v>
      </c>
      <c r="J17" s="1983"/>
      <c r="K17" s="3645" t="s">
        <v>2568</v>
      </c>
      <c r="L17" s="3646"/>
      <c r="M17" s="3647"/>
      <c r="N17" s="3645" t="s">
        <v>2569</v>
      </c>
      <c r="O17" s="3646"/>
      <c r="P17" s="3647"/>
      <c r="R17" s="2298" t="s">
        <v>2312</v>
      </c>
      <c r="S17" s="144"/>
    </row>
    <row r="18" spans="1:19" ht="15">
      <c r="A18" s="117"/>
      <c r="B18" s="128"/>
      <c r="C18" s="129"/>
      <c r="D18" s="2620"/>
      <c r="E18" s="130" t="s">
        <v>220</v>
      </c>
      <c r="F18" s="131" t="s">
        <v>221</v>
      </c>
      <c r="G18" s="1367" t="s">
        <v>222</v>
      </c>
      <c r="H18" s="972" t="s">
        <v>223</v>
      </c>
      <c r="I18" s="973" t="s">
        <v>224</v>
      </c>
      <c r="J18" s="1983"/>
      <c r="K18" s="2583" t="s">
        <v>2570</v>
      </c>
      <c r="L18" s="2584" t="s">
        <v>2571</v>
      </c>
      <c r="M18" s="2585" t="s">
        <v>2572</v>
      </c>
      <c r="N18" s="2583" t="s">
        <v>2570</v>
      </c>
      <c r="O18" s="2584" t="s">
        <v>2571</v>
      </c>
      <c r="P18" s="2585" t="s">
        <v>2572</v>
      </c>
      <c r="R18" s="2299" t="s">
        <v>2310</v>
      </c>
      <c r="S18" s="2299" t="s">
        <v>2311</v>
      </c>
    </row>
    <row r="19" spans="1:19">
      <c r="A19" s="133"/>
      <c r="B19" s="115" t="s">
        <v>225</v>
      </c>
      <c r="C19" s="2999" t="s">
        <v>3014</v>
      </c>
      <c r="D19" s="111">
        <f t="shared" ref="D19:D26" si="1">ROUND($D$3*E19/$E$3,2)</f>
        <v>19647.849999999999</v>
      </c>
      <c r="E19" s="134">
        <f t="shared" ref="E19:E26" si="2">SUM(F19:G19)</f>
        <v>68767.460999999996</v>
      </c>
      <c r="F19" s="135">
        <f>'数据-基础表'!I13</f>
        <v>68767.460999999996</v>
      </c>
      <c r="G19" s="1368"/>
      <c r="H19" s="974">
        <f>ROUND($D$3*I19/$E$3,2)</f>
        <v>0</v>
      </c>
      <c r="I19" s="116">
        <f>IF($I$17="自定义",P19,M19)</f>
        <v>0</v>
      </c>
      <c r="J19" s="1983"/>
      <c r="K19" s="2586">
        <f t="shared" ref="K19:K26" si="3">ROUND(E$28*E19/E$27,2)</f>
        <v>0</v>
      </c>
      <c r="L19" s="275">
        <f t="shared" ref="L19:L26" si="4">ROUND(IF(COUNTIF(C19,"*住宅*")&gt;0,E$29*E19/E$32,0),2)</f>
        <v>0</v>
      </c>
      <c r="M19" s="2587">
        <f>K19+L19</f>
        <v>0</v>
      </c>
      <c r="N19" s="2588"/>
      <c r="O19" s="2589"/>
      <c r="P19" s="2590">
        <f>N19+O19</f>
        <v>0</v>
      </c>
      <c r="R19" s="275">
        <f t="shared" ref="R19:S26" si="5">D19+H19</f>
        <v>19647.849999999999</v>
      </c>
      <c r="S19" s="2300">
        <f t="shared" si="5"/>
        <v>68767.460999999996</v>
      </c>
    </row>
    <row r="20" spans="1:19">
      <c r="A20" s="138"/>
      <c r="B20" s="115" t="s">
        <v>226</v>
      </c>
      <c r="C20" s="2999" t="s">
        <v>3020</v>
      </c>
      <c r="D20" s="111">
        <f t="shared" si="1"/>
        <v>2183.09</v>
      </c>
      <c r="E20" s="134">
        <f t="shared" si="2"/>
        <v>7640.8289999999979</v>
      </c>
      <c r="F20" s="135">
        <f>'数据-基础表'!K13</f>
        <v>7640.8289999999979</v>
      </c>
      <c r="G20" s="1368"/>
      <c r="H20" s="974">
        <f t="shared" ref="H20:H26" si="6">ROUND($D$3*I20/$E$3,2)</f>
        <v>0</v>
      </c>
      <c r="I20" s="116">
        <f t="shared" ref="I20:I26" si="7">IF($I$17="自定义",P20,M20)</f>
        <v>0</v>
      </c>
      <c r="J20" s="1983"/>
      <c r="K20" s="2586">
        <f t="shared" si="3"/>
        <v>0</v>
      </c>
      <c r="L20" s="275">
        <f t="shared" si="4"/>
        <v>0</v>
      </c>
      <c r="M20" s="2587">
        <f t="shared" ref="M20:M26" si="8">K20+L20</f>
        <v>0</v>
      </c>
      <c r="N20" s="2588"/>
      <c r="O20" s="2589"/>
      <c r="P20" s="2590">
        <f t="shared" ref="P20:P26" si="9">N20+O20</f>
        <v>0</v>
      </c>
      <c r="R20" s="275">
        <f t="shared" si="5"/>
        <v>2183.09</v>
      </c>
      <c r="S20" s="2300">
        <f t="shared" si="5"/>
        <v>7640.8289999999979</v>
      </c>
    </row>
    <row r="21" spans="1:19">
      <c r="A21" s="138"/>
      <c r="B21" s="115" t="s">
        <v>226</v>
      </c>
      <c r="C21" s="2999"/>
      <c r="D21" s="111">
        <f t="shared" si="1"/>
        <v>0</v>
      </c>
      <c r="E21" s="134">
        <f t="shared" si="2"/>
        <v>0</v>
      </c>
      <c r="F21" s="135"/>
      <c r="G21" s="1368"/>
      <c r="H21" s="974">
        <f t="shared" si="6"/>
        <v>0</v>
      </c>
      <c r="I21" s="116">
        <f t="shared" si="7"/>
        <v>0</v>
      </c>
      <c r="J21" s="1983"/>
      <c r="K21" s="2586">
        <f t="shared" si="3"/>
        <v>0</v>
      </c>
      <c r="L21" s="275">
        <f t="shared" si="4"/>
        <v>0</v>
      </c>
      <c r="M21" s="2587">
        <f t="shared" si="8"/>
        <v>0</v>
      </c>
      <c r="N21" s="2588"/>
      <c r="O21" s="2589"/>
      <c r="P21" s="2590">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15.75" thickBot="1">
      <c r="A27" s="138"/>
      <c r="B27" s="111"/>
      <c r="C27" s="127" t="s">
        <v>215</v>
      </c>
      <c r="D27" s="134">
        <f>SUM(D19:D26)</f>
        <v>21830.94</v>
      </c>
      <c r="E27" s="143">
        <f>IF(SUM(E19:E26)='数据-基础表'!BA5,SUM(E19:E26),IF(F27="地上面积有误","面积有误","地下面积有误"))</f>
        <v>76408.289999999994</v>
      </c>
      <c r="F27" s="134">
        <f>IF(SUM(F19:F26)=E8,SUM(F19:F26),"地上面积有误")</f>
        <v>76408.289999999994</v>
      </c>
      <c r="G27" s="112">
        <f>SUM(G19:G26)</f>
        <v>0</v>
      </c>
      <c r="H27" s="975">
        <f>SUM(H19:H26)</f>
        <v>0</v>
      </c>
      <c r="I27" s="976">
        <f>SUM(I19:I26)</f>
        <v>0</v>
      </c>
      <c r="J27" s="1983"/>
      <c r="K27" s="2595">
        <f>SUM(K19:K26)</f>
        <v>0</v>
      </c>
      <c r="L27" s="2596">
        <f>SUM(L19:L26)</f>
        <v>0</v>
      </c>
      <c r="M27" s="2597">
        <f>SUM(M19:M26)</f>
        <v>0</v>
      </c>
      <c r="N27" s="2595">
        <f t="shared" ref="N27:O27" si="10">SUM(N19:N26)</f>
        <v>0</v>
      </c>
      <c r="O27" s="2596">
        <f t="shared" si="10"/>
        <v>0</v>
      </c>
      <c r="P27" s="2598">
        <f>SUM(P19:P26)</f>
        <v>0</v>
      </c>
      <c r="R27" s="2304">
        <f>IF(SUM(R19:R26)=$D$3,SUM(R19:R26),SUM(R19:R26)&amp;"误差"&amp;ROUND(SUM(R19:R26)-$D$3,2))</f>
        <v>21830.94</v>
      </c>
      <c r="S27" s="275">
        <f>IF(SUM(S19:S26)=$E$3,SUM(S19:S26),SUM(S19:S26)&amp;"误差"&amp;ROUND(SUM(S19:S26)-E3,2))</f>
        <v>76408.289999999994</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9" t="s">
        <v>2323</v>
      </c>
      <c r="D31" s="1372">
        <f>D27+D30</f>
        <v>21830.94</v>
      </c>
      <c r="E31" s="1372">
        <f>E27+E30</f>
        <v>76408.289999999994</v>
      </c>
      <c r="F31" s="1373">
        <f>F27+F30</f>
        <v>76408.289999999994</v>
      </c>
      <c r="G31" s="1374">
        <f>G27+G30</f>
        <v>0</v>
      </c>
      <c r="H31" s="1983"/>
      <c r="I31" s="1983"/>
      <c r="J31" s="1983"/>
      <c r="K31" s="1983"/>
      <c r="L31" s="1983"/>
    </row>
    <row r="32" spans="1:19">
      <c r="A32" s="1983"/>
      <c r="B32" s="2341" t="s">
        <v>2322</v>
      </c>
      <c r="C32" s="2625"/>
      <c r="D32" s="1201"/>
      <c r="E32" s="1201">
        <f>SUMIF(C19:C26,"*住宅*",E19:E26)</f>
        <v>68767.460999999996</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N23" sqref="N2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43649</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599"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369"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69152</v>
      </c>
      <c r="F6" s="174">
        <f>SUMIF(项目基本情况!D$15:I$15,C6,项目基本情况!D$19:I$19)</f>
        <v>69.87</v>
      </c>
      <c r="G6" s="175">
        <f>IF(ISERROR(ROUND(POWER(1+H6,D6-F6)*(POWER(1+H6,F6)-1)/(POWER(1+H6,D6)-1),3)),0,ROUND(POWER(1+H6,D6-F6)*(POWER(1+H6,F6)-1)/(POWER(1+H6,D6)-1),3))</f>
        <v>1</v>
      </c>
      <c r="H6" s="3000">
        <v>4.4999999999999998E-2</v>
      </c>
      <c r="I6" s="3000">
        <v>0.05</v>
      </c>
      <c r="J6" s="176">
        <v>8.5000000000000006E-2</v>
      </c>
      <c r="K6" s="179">
        <f>SUMIF('数据-汇总表'!C$19:C$33,'数据-取费表'!A6,'数据-汇总表'!E$19:E$33)</f>
        <v>68767.460999999996</v>
      </c>
      <c r="L6" s="3001">
        <v>2650</v>
      </c>
      <c r="M6" s="177">
        <f t="shared" ref="M6:M14" si="0">ROUND(K6*L6/10000,0)</f>
        <v>18223</v>
      </c>
      <c r="N6" s="3002">
        <v>0</v>
      </c>
      <c r="O6" s="177">
        <f>IF($N$5="成新度","——",ROUND(M6*N6,0))</f>
        <v>0</v>
      </c>
      <c r="P6" s="178">
        <f>IF($N$5="成新度","——",M6-O6)</f>
        <v>18223</v>
      </c>
      <c r="Q6" s="3003">
        <v>0.2</v>
      </c>
      <c r="R6" s="179">
        <f>SUMIF('数据-汇总表'!C$19:C$33,A6,'数据-汇总表'!R$19:R$33)</f>
        <v>19647.849999999999</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14"/>
      <c r="AN6" s="2370"/>
      <c r="AO6" s="1999"/>
      <c r="AP6" s="1204">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3011</v>
      </c>
      <c r="D7" s="2307">
        <f>SUMIF(项目基本情况!D$15:I$15,C7,项目基本情况!D$18:I$18)</f>
        <v>40</v>
      </c>
      <c r="E7" s="2308">
        <f>IF(B7="","",SUMIF(项目基本情况!D$15:I$15,C7,项目基本情况!D$17:I$17))</f>
        <v>58194</v>
      </c>
      <c r="F7" s="174">
        <f>SUMIF(项目基本情况!D$15:I$15,C7,项目基本情况!D$19:I$19)</f>
        <v>39.840000000000003</v>
      </c>
      <c r="G7" s="175">
        <f t="shared" ref="G7:G11" si="2">IF(ISERROR(ROUND(POWER(1+H7,D7-F7)*(POWER(1+H7,F7)-1)/(POWER(1+H7,D7)-1),3)),0,ROUND(POWER(1+H7,D7-F7)*(POWER(1+H7,F7)-1)/(POWER(1+H7,D7)-1),3))</f>
        <v>0.999</v>
      </c>
      <c r="H7" s="3000">
        <v>0.05</v>
      </c>
      <c r="I7" s="3000">
        <v>5.5E-2</v>
      </c>
      <c r="J7" s="176">
        <v>8.5000000000000006E-2</v>
      </c>
      <c r="K7" s="179">
        <f>SUMIF('数据-汇总表'!C$19:C$33,'数据-取费表'!A7,'数据-汇总表'!E$19:E$33)</f>
        <v>7640.8289999999979</v>
      </c>
      <c r="L7" s="3001">
        <f>L6</f>
        <v>2650</v>
      </c>
      <c r="M7" s="177">
        <f t="shared" si="0"/>
        <v>2025</v>
      </c>
      <c r="N7" s="3002">
        <v>0</v>
      </c>
      <c r="O7" s="177">
        <f t="shared" ref="O7:O14" si="3">IF($N$5="成新度","——",ROUND(M7*N7,0))</f>
        <v>0</v>
      </c>
      <c r="P7" s="178">
        <f t="shared" ref="P7:P14" si="4">IF($N$5="成新度","——",M7-O7)</f>
        <v>2025</v>
      </c>
      <c r="Q7" s="3003">
        <v>0.2</v>
      </c>
      <c r="R7" s="179">
        <f>SUMIF('数据-汇总表'!C$19:C$33,A7,'数据-汇总表'!R$19:R$33)</f>
        <v>2183.09</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v>
      </c>
      <c r="V7" s="181">
        <v>2.5000000000000001E-2</v>
      </c>
      <c r="W7" s="181">
        <v>0.1</v>
      </c>
      <c r="X7" s="2320"/>
      <c r="Y7" s="182">
        <v>1</v>
      </c>
      <c r="Z7" s="183"/>
      <c r="AA7" s="176"/>
      <c r="AB7" s="176"/>
      <c r="AC7" s="2323"/>
      <c r="AD7" s="184"/>
      <c r="AE7" s="972">
        <f t="shared" ref="AE7:AE13" ca="1" si="6">IF(AN7="",0,SUMIF(INDIRECT("'"&amp;AN7&amp;"'"&amp;"!E:E"),$AE$5,INDIRECT("'"&amp;AN7&amp;"'"&amp;"!F:F")))</f>
        <v>39.840000000000003</v>
      </c>
      <c r="AF7" s="141"/>
      <c r="AG7" s="1213">
        <f t="shared" ref="AG7:AG13" si="7">IF(AF7="",0,AE7-AF7)</f>
        <v>0</v>
      </c>
      <c r="AH7" s="141"/>
      <c r="AI7" s="187">
        <v>365</v>
      </c>
      <c r="AJ7" s="188"/>
      <c r="AK7" s="189">
        <v>0.01</v>
      </c>
      <c r="AL7" s="190">
        <v>1E-3</v>
      </c>
      <c r="AM7" s="2368">
        <v>0.01</v>
      </c>
      <c r="AN7" s="2370" t="s">
        <v>3090</v>
      </c>
      <c r="AO7" s="1999"/>
      <c r="AP7" s="1204">
        <f t="shared" ref="AP7:AP13" si="8">ROUND(1-1/(1+H7)^F7,3)</f>
        <v>0.85699999999999998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00"/>
      <c r="I8" s="3000"/>
      <c r="J8" s="176"/>
      <c r="K8" s="179">
        <f>SUMIF('数据-汇总表'!C$19:C$33,'数据-取费表'!A8,'数据-汇总表'!E$19:E$33)</f>
        <v>0</v>
      </c>
      <c r="L8" s="3001"/>
      <c r="M8" s="177">
        <f>ROUND(K8*L8/10000,0)</f>
        <v>0</v>
      </c>
      <c r="N8" s="3002"/>
      <c r="O8" s="177">
        <f t="shared" si="3"/>
        <v>0</v>
      </c>
      <c r="P8" s="178">
        <f t="shared" si="4"/>
        <v>0</v>
      </c>
      <c r="Q8" s="3003"/>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68"/>
      <c r="AN8" s="2370"/>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68"/>
      <c r="AN9" s="237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68"/>
      <c r="AN10" s="237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7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7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68"/>
      <c r="AN13" s="237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2315</v>
      </c>
      <c r="B14" s="2305" t="s">
        <v>1680</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2317</v>
      </c>
      <c r="B15" s="2305" t="s">
        <v>1680</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1</v>
      </c>
      <c r="H16" s="203">
        <f>ROUND(SUMPRODUCT(H6:H13,K6:K13)/SUMPRODUCT((H6:H13&gt;0)*(K6:K13)),3)</f>
        <v>4.5999999999999999E-2</v>
      </c>
      <c r="I16" s="204"/>
      <c r="J16" s="204"/>
      <c r="K16" s="205">
        <f>SUM(K6:K15)</f>
        <v>76408.289999999994</v>
      </c>
      <c r="L16" s="206">
        <f>ROUND(M16*10000/SUM(K6:K14),0)</f>
        <v>2650</v>
      </c>
      <c r="M16" s="206">
        <f>SUM(M6:M14)</f>
        <v>20248</v>
      </c>
      <c r="N16" s="207">
        <f>ROUND(SUMPRODUCT(M6:M14,N6:N14)/M16,3)</f>
        <v>0</v>
      </c>
      <c r="O16" s="206">
        <f>SUM(O6:O14)</f>
        <v>0</v>
      </c>
      <c r="P16" s="206">
        <f>SUM(P6:P14)</f>
        <v>20248</v>
      </c>
      <c r="Q16" s="208">
        <f>ROUND(SUMPRODUCT(Q6:Q13,K6:K13)/SUMPRODUCT((Q6:Q13&gt;0)*(K6:K13)),2)</f>
        <v>0.2</v>
      </c>
      <c r="R16" s="2310">
        <f>SUM(R6:R13)</f>
        <v>21830.94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0.94399999999999995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3567">
        <v>0.2</v>
      </c>
      <c r="K18" s="1990">
        <f>K16*J18</f>
        <v>15281.657999999999</v>
      </c>
      <c r="L18" s="1990">
        <v>2200</v>
      </c>
      <c r="M18" s="1988">
        <f>L18*K18/10000</f>
        <v>3361.9647600000003</v>
      </c>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2337</v>
      </c>
      <c r="D19" s="1992"/>
      <c r="E19" s="1991"/>
      <c r="F19" s="1991"/>
      <c r="G19" s="1991"/>
      <c r="H19" s="1991"/>
      <c r="I19" s="1991"/>
      <c r="J19" s="1991"/>
      <c r="K19" s="3568">
        <f>K16</f>
        <v>76408.289999999994</v>
      </c>
      <c r="L19" s="1990">
        <f>L18</f>
        <v>2200</v>
      </c>
      <c r="M19" s="1988">
        <f>L19*K19/10000</f>
        <v>16809.823799999998</v>
      </c>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42" t="s">
        <v>2336</v>
      </c>
      <c r="D20" s="1992"/>
      <c r="E20" s="1991"/>
      <c r="F20" s="1991"/>
      <c r="G20" s="1991"/>
      <c r="H20" s="1991"/>
      <c r="I20" s="1991"/>
      <c r="J20" s="1991"/>
      <c r="K20" s="1990"/>
      <c r="L20" s="1990">
        <f>M20*10000/K16</f>
        <v>2639.9999999999995</v>
      </c>
      <c r="M20" s="1988">
        <f>M18+M19</f>
        <v>20171.788559999997</v>
      </c>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2339</v>
      </c>
      <c r="B27" s="227">
        <v>105</v>
      </c>
      <c r="C27" s="2345"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2340</v>
      </c>
      <c r="B28" s="229">
        <v>105</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2338</v>
      </c>
      <c r="B29" s="232"/>
      <c r="C29" s="1553"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200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43" t="s">
        <v>2892</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43" t="s">
        <v>2893</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2894</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2895</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43" t="s">
        <v>2896</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43" t="s">
        <v>2896</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2457</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2458</v>
      </c>
      <c r="B40" s="2459">
        <f ca="1">存贷款利率!E2</f>
        <v>4.7500000000000001E-2</v>
      </c>
      <c r="C40" s="2343"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75">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43" t="s">
        <v>2897</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2898</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2899</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49" t="s">
        <v>2900</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50" t="s">
        <v>2901</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50" t="s">
        <v>2902</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3.5</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1327</v>
      </c>
      <c r="C53" s="3051" t="s">
        <v>2903</v>
      </c>
      <c r="D53" s="3052" t="s">
        <v>2904</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4" t="s">
        <v>2905</v>
      </c>
      <c r="B54" s="186">
        <v>8</v>
      </c>
      <c r="C54" s="1993">
        <v>30</v>
      </c>
      <c r="D54" s="305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4" t="s">
        <v>2906</v>
      </c>
      <c r="B55" s="186">
        <v>5.5</v>
      </c>
      <c r="C55" s="1993">
        <v>24</v>
      </c>
      <c r="D55" s="305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4" t="s">
        <v>2907</v>
      </c>
      <c r="B56" s="186">
        <v>3.5</v>
      </c>
      <c r="C56" s="1993">
        <v>18</v>
      </c>
      <c r="D56" s="305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4" t="s">
        <v>2908</v>
      </c>
      <c r="B57" s="186">
        <v>3</v>
      </c>
      <c r="C57" s="1993">
        <v>12</v>
      </c>
      <c r="D57" s="305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4" t="s">
        <v>2909</v>
      </c>
      <c r="B58" s="186"/>
      <c r="C58" s="1993">
        <v>3</v>
      </c>
      <c r="D58" s="305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4" t="s">
        <v>2910</v>
      </c>
      <c r="B59" s="186"/>
      <c r="C59" s="1993">
        <v>1.5</v>
      </c>
      <c r="D59" s="305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4" t="s">
        <v>2911</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4" t="s">
        <v>2912</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4" t="s">
        <v>2913</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5" t="s">
        <v>2914</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657" t="s">
        <v>1664</v>
      </c>
      <c r="B1" s="3658"/>
      <c r="C1" s="3658"/>
      <c r="D1" s="3658"/>
      <c r="E1" s="3658"/>
      <c r="F1" s="3658"/>
      <c r="G1" s="3658"/>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c r="A3" s="1227" t="s">
        <v>1667</v>
      </c>
      <c r="B3" s="1228" t="s">
        <v>1654</v>
      </c>
      <c r="C3" s="3056" t="s">
        <v>2921</v>
      </c>
      <c r="D3" s="2008"/>
      <c r="E3" s="1229" t="s">
        <v>1667</v>
      </c>
      <c r="F3" s="1230" t="s">
        <v>1655</v>
      </c>
      <c r="G3" s="3060" t="s">
        <v>2920</v>
      </c>
      <c r="H3" s="2007"/>
      <c r="I3" s="2007"/>
      <c r="J3" s="2007"/>
      <c r="K3" s="2007"/>
      <c r="L3" s="2007"/>
      <c r="M3" s="2007"/>
      <c r="N3" s="2007"/>
      <c r="O3" s="2007"/>
      <c r="P3" s="2007"/>
      <c r="Q3" s="2007"/>
      <c r="R3" s="2007"/>
    </row>
    <row r="4" spans="1:18" ht="41.25">
      <c r="A4" s="1229"/>
      <c r="B4" s="1231" t="s">
        <v>1668</v>
      </c>
      <c r="C4" s="3057" t="s">
        <v>2922</v>
      </c>
      <c r="D4" s="2008"/>
      <c r="E4" s="1232"/>
      <c r="F4" s="1233" t="s">
        <v>1669</v>
      </c>
      <c r="G4" s="3058" t="s">
        <v>2917</v>
      </c>
      <c r="H4" s="2007"/>
      <c r="I4" s="2007"/>
      <c r="J4" s="2007"/>
      <c r="K4" s="2007"/>
      <c r="L4" s="2007"/>
      <c r="M4" s="2007"/>
      <c r="N4" s="2007"/>
      <c r="O4" s="2007"/>
      <c r="P4" s="2007"/>
      <c r="Q4" s="2007"/>
      <c r="R4" s="2007"/>
    </row>
    <row r="5" spans="1:18" ht="41.25">
      <c r="A5" s="1229"/>
      <c r="B5" s="1231" t="s">
        <v>1670</v>
      </c>
      <c r="C5" s="3057" t="s">
        <v>2923</v>
      </c>
      <c r="D5" s="2008"/>
      <c r="E5" s="1232"/>
      <c r="F5" s="1231" t="s">
        <v>2547</v>
      </c>
      <c r="G5" s="3058" t="s">
        <v>2918</v>
      </c>
      <c r="H5" s="2007"/>
      <c r="I5" s="2007"/>
      <c r="J5" s="2007"/>
      <c r="K5" s="2007"/>
      <c r="L5" s="2007"/>
      <c r="M5" s="2007"/>
      <c r="N5" s="2007"/>
      <c r="O5" s="2007"/>
      <c r="P5" s="2007"/>
      <c r="Q5" s="2007"/>
      <c r="R5" s="2007"/>
    </row>
    <row r="6" spans="1:18" ht="54">
      <c r="A6" s="1229"/>
      <c r="B6" s="1231" t="s">
        <v>1656</v>
      </c>
      <c r="C6" s="3058" t="s">
        <v>2917</v>
      </c>
      <c r="D6" s="2008"/>
      <c r="E6" s="1232"/>
      <c r="F6" s="1231" t="s">
        <v>2548</v>
      </c>
      <c r="G6" s="3058" t="s">
        <v>2915</v>
      </c>
      <c r="H6" s="2007"/>
      <c r="I6" s="2007"/>
      <c r="J6" s="2007"/>
      <c r="K6" s="2007"/>
      <c r="L6" s="2007"/>
      <c r="M6" s="2007"/>
      <c r="N6" s="2007"/>
      <c r="O6" s="2007"/>
      <c r="P6" s="2007"/>
      <c r="Q6" s="2007"/>
      <c r="R6" s="2007"/>
    </row>
    <row r="7" spans="1:18" ht="41.25" thickBot="1">
      <c r="A7" s="1229"/>
      <c r="B7" s="1231" t="s">
        <v>2547</v>
      </c>
      <c r="C7" s="3058" t="s">
        <v>2918</v>
      </c>
      <c r="D7" s="2009"/>
      <c r="E7" s="1234"/>
      <c r="F7" s="1235" t="s">
        <v>1671</v>
      </c>
      <c r="G7" s="3061" t="s">
        <v>2919</v>
      </c>
      <c r="H7" s="2007"/>
      <c r="I7" s="2007"/>
      <c r="J7" s="2007"/>
      <c r="K7" s="2007"/>
      <c r="L7" s="2007"/>
      <c r="M7" s="2007"/>
      <c r="N7" s="2007"/>
      <c r="O7" s="2007"/>
      <c r="P7" s="2007"/>
      <c r="Q7" s="2007"/>
      <c r="R7" s="2007"/>
    </row>
    <row r="8" spans="1:18" ht="27">
      <c r="A8" s="1229"/>
      <c r="B8" s="1231" t="s">
        <v>2548</v>
      </c>
      <c r="C8" s="3058" t="s">
        <v>2915</v>
      </c>
      <c r="D8" s="2009"/>
      <c r="E8" s="2009"/>
      <c r="F8" s="1554"/>
      <c r="G8" s="1554"/>
      <c r="H8" s="2007"/>
      <c r="I8" s="2007"/>
      <c r="J8" s="2007"/>
      <c r="K8" s="2007"/>
      <c r="L8" s="2007"/>
      <c r="M8" s="2007"/>
      <c r="N8" s="2007"/>
      <c r="O8" s="2007"/>
      <c r="P8" s="2007"/>
      <c r="Q8" s="2007"/>
      <c r="R8" s="2007"/>
    </row>
    <row r="9" spans="1:18" ht="40.5">
      <c r="A9" s="1229"/>
      <c r="B9" s="1231" t="s">
        <v>1657</v>
      </c>
      <c r="C9" s="3057" t="s">
        <v>2916</v>
      </c>
      <c r="D9" s="2008"/>
      <c r="E9" s="2009"/>
      <c r="F9" s="1554"/>
      <c r="G9" s="1554"/>
      <c r="H9" s="2007"/>
      <c r="I9" s="2007"/>
      <c r="J9" s="2007"/>
      <c r="K9" s="2007"/>
      <c r="L9" s="2007"/>
      <c r="M9" s="2007"/>
      <c r="N9" s="2007"/>
      <c r="O9" s="2007"/>
      <c r="P9" s="2007"/>
      <c r="Q9" s="2007"/>
      <c r="R9" s="2007"/>
    </row>
    <row r="10" spans="1:18" s="2015" customFormat="1" ht="15" thickBot="1">
      <c r="A10" s="1236"/>
      <c r="B10" s="1237" t="s">
        <v>1672</v>
      </c>
      <c r="C10" s="3059"/>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4"/>
      <c r="E13" s="2556"/>
      <c r="F13" s="2556"/>
      <c r="G13" s="2556"/>
    </row>
    <row r="14" spans="1:18" ht="14.25" thickBot="1">
      <c r="A14" s="1238"/>
      <c r="B14" s="1239"/>
      <c r="C14" s="1240" t="s">
        <v>1665</v>
      </c>
      <c r="D14" s="2008"/>
      <c r="E14" s="1241"/>
      <c r="F14" s="1241"/>
      <c r="G14" s="1223" t="s">
        <v>1666</v>
      </c>
    </row>
    <row r="15" spans="1:18" ht="54">
      <c r="A15" s="2566" t="s">
        <v>1658</v>
      </c>
      <c r="B15" s="1242" t="s">
        <v>1654</v>
      </c>
      <c r="C15" s="1243" t="str">
        <f>C3</f>
        <v>估价对象周边居住用地比例、居住小区规模和社区发展完善程度，综合评价居住社区成熟度一般</v>
      </c>
      <c r="D15" s="2008"/>
      <c r="E15" s="2563" t="s">
        <v>1659</v>
      </c>
      <c r="F15" s="1242" t="s">
        <v>1674</v>
      </c>
      <c r="G15" s="1244" t="str">
        <f>G3</f>
        <v>估价对象位于XX开发区，园区建设成熟度XX，产业集聚程度XX</v>
      </c>
    </row>
    <row r="16" spans="1:18" ht="40.5">
      <c r="A16" s="2567"/>
      <c r="B16" s="1245" t="s">
        <v>1668</v>
      </c>
      <c r="C16" s="1246" t="str">
        <f>C4</f>
        <v>估价对象位于XX商圈，周边商业氛围成熟，人流量大，商业繁华度好</v>
      </c>
      <c r="D16" s="2008"/>
      <c r="E16" s="2564"/>
      <c r="F16" s="1247" t="s">
        <v>1669</v>
      </c>
      <c r="G16" s="1005" t="str">
        <f>G4</f>
        <v>估价对象周边道路状况、公共交通通达情况、停车便捷程度，综合评价交通便捷度较好</v>
      </c>
    </row>
    <row r="17" spans="1:7" ht="40.5">
      <c r="A17" s="2567"/>
      <c r="B17" s="1245" t="s">
        <v>1670</v>
      </c>
      <c r="C17" s="1246" t="str">
        <f>C5</f>
        <v>估价对象位于XX商圈，周边办公楼项目较多，入驻率高，办公集聚程度较好</v>
      </c>
      <c r="D17" s="2009"/>
      <c r="E17" s="2564"/>
      <c r="F17" s="1247" t="s">
        <v>1675</v>
      </c>
      <c r="G17" s="2771"/>
    </row>
    <row r="18" spans="1:7" ht="54">
      <c r="A18" s="2567"/>
      <c r="B18" s="1247" t="s">
        <v>1656</v>
      </c>
      <c r="C18" s="1005" t="str">
        <f>C6</f>
        <v>估价对象周边道路状况、公共交通通达情况、停车便捷程度，综合评价交通便捷度较好</v>
      </c>
      <c r="D18" s="2009"/>
      <c r="E18" s="2564"/>
      <c r="F18" s="1247" t="s">
        <v>1671</v>
      </c>
      <c r="G18" s="1005" t="str">
        <f>G7</f>
        <v>该园区内是否有污染型企业，绿化情况，卫生条件，整体环境状况判断</v>
      </c>
    </row>
    <row r="19" spans="1:7" ht="27">
      <c r="A19" s="2567"/>
      <c r="B19" s="1247" t="s">
        <v>1660</v>
      </c>
      <c r="C19" s="2771"/>
      <c r="D19" s="2008"/>
      <c r="E19" s="2564"/>
      <c r="F19" s="1231" t="s">
        <v>2547</v>
      </c>
      <c r="G19" s="1005" t="str">
        <f>G5</f>
        <v>估价对象所在区域公共配套设施齐备情况</v>
      </c>
    </row>
    <row r="20" spans="1:7" ht="40.5">
      <c r="A20" s="2567"/>
      <c r="B20" s="1247" t="s">
        <v>1661</v>
      </c>
      <c r="C20" s="1246" t="str">
        <f>C9</f>
        <v>区域自然环境：；人文环境；综合评价环境状况一般</v>
      </c>
      <c r="D20" s="2009"/>
      <c r="E20" s="2564"/>
      <c r="F20" s="1231" t="s">
        <v>2548</v>
      </c>
      <c r="G20" s="1005" t="str">
        <f>G6</f>
        <v>估价对象所在区域基础设施水平</v>
      </c>
    </row>
    <row r="21" spans="1:7" ht="27">
      <c r="A21" s="2567"/>
      <c r="B21" s="1231" t="s">
        <v>2547</v>
      </c>
      <c r="C21" s="1005" t="str">
        <f>C7</f>
        <v>估价对象所在区域公共配套设施齐备情况</v>
      </c>
      <c r="D21" s="2008"/>
      <c r="E21" s="2564"/>
      <c r="F21" s="1247" t="s">
        <v>1662</v>
      </c>
      <c r="G21" s="3062"/>
    </row>
    <row r="22" spans="1:7" ht="27">
      <c r="A22" s="2567"/>
      <c r="B22" s="1231" t="s">
        <v>2548</v>
      </c>
      <c r="C22" s="1005" t="str">
        <f>C8</f>
        <v>估价对象所在区域基础设施水平</v>
      </c>
      <c r="D22" s="2008"/>
      <c r="E22" s="2564"/>
      <c r="F22" s="1247" t="s">
        <v>1672</v>
      </c>
      <c r="G22" s="2771"/>
    </row>
    <row r="23" spans="1:7" ht="15" thickBot="1">
      <c r="A23" s="2567"/>
      <c r="B23" s="1247" t="s">
        <v>1662</v>
      </c>
      <c r="C23" s="3062"/>
      <c r="E23" s="2565"/>
      <c r="F23" s="1248" t="s">
        <v>1676</v>
      </c>
      <c r="G23" s="3063"/>
    </row>
    <row r="24" spans="1:7" ht="14.25" thickBot="1">
      <c r="A24" s="2568"/>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A4" workbookViewId="0">
      <selection activeCell="E23" sqref="E23:E24"/>
    </sheetView>
  </sheetViews>
  <sheetFormatPr defaultColWidth="14.625" defaultRowHeight="13.5"/>
  <cols>
    <col min="1" max="1" width="24.375" customWidth="1"/>
  </cols>
  <sheetData>
    <row r="1" spans="1:9" ht="16.5">
      <c r="A1" s="3020" t="s">
        <v>2845</v>
      </c>
      <c r="B1" s="3020">
        <f>SUM(B14:B23)</f>
        <v>245466.97</v>
      </c>
      <c r="C1" s="3021"/>
      <c r="D1" s="3021"/>
      <c r="E1" s="3021"/>
      <c r="F1" s="3021"/>
    </row>
    <row r="2" spans="1:9" ht="16.5">
      <c r="A2" s="3020" t="s">
        <v>2846</v>
      </c>
      <c r="B2" s="3020">
        <f>SUM(C14:C23)</f>
        <v>70133.42</v>
      </c>
      <c r="C2" s="3021"/>
      <c r="D2" s="3021"/>
      <c r="E2" s="3021"/>
      <c r="F2" s="3021"/>
    </row>
    <row r="3" spans="1:9" ht="16.5">
      <c r="A3" s="3020" t="s">
        <v>2847</v>
      </c>
      <c r="B3" s="3022">
        <f>项目基本情况!D3</f>
        <v>43649</v>
      </c>
      <c r="C3" s="3021"/>
      <c r="D3" s="3021"/>
      <c r="E3" s="3021"/>
      <c r="F3" s="3021"/>
    </row>
    <row r="4" spans="1:9" ht="33">
      <c r="A4" s="3020" t="s">
        <v>2848</v>
      </c>
      <c r="B4" s="3020" t="s">
        <v>2849</v>
      </c>
      <c r="C4" s="3020" t="s">
        <v>2850</v>
      </c>
      <c r="D4" s="3020" t="s">
        <v>2851</v>
      </c>
      <c r="E4" s="3021"/>
      <c r="F4" s="3021"/>
    </row>
    <row r="5" spans="1:9" ht="16.5">
      <c r="A5" s="3020" t="s">
        <v>2852</v>
      </c>
      <c r="B5" s="3020">
        <f ca="1">SUM(D14:D23)</f>
        <v>70298</v>
      </c>
      <c r="C5" s="3020">
        <f ca="1">ROUND(B5*10000/$B$1,0)</f>
        <v>2864</v>
      </c>
      <c r="D5" s="3020">
        <f ca="1">ROUND(B5*10000/$B$2,0)</f>
        <v>10023</v>
      </c>
      <c r="E5" s="3021"/>
      <c r="F5" s="3021"/>
    </row>
    <row r="6" spans="1:9" ht="16.5">
      <c r="A6" s="3020" t="s">
        <v>2853</v>
      </c>
      <c r="B6" s="3020">
        <f ca="1">SUM(G14:G23)</f>
        <v>21995</v>
      </c>
      <c r="C6" s="3020">
        <f t="shared" ref="C6:C8" ca="1" si="0">ROUND(B6*10000/$B$1,0)</f>
        <v>896</v>
      </c>
      <c r="D6" s="3020">
        <f t="shared" ref="D6:D8" ca="1" si="1">ROUND(B6*10000/$B$2,0)</f>
        <v>3136</v>
      </c>
      <c r="E6" s="3021"/>
      <c r="F6" s="3021"/>
    </row>
    <row r="7" spans="1:9" ht="16.5">
      <c r="A7" s="3020" t="s">
        <v>2854</v>
      </c>
      <c r="B7" s="3020">
        <f>SUM(H14:H23)</f>
        <v>0</v>
      </c>
      <c r="C7" s="3020">
        <f t="shared" si="0"/>
        <v>0</v>
      </c>
      <c r="D7" s="3020">
        <f t="shared" si="1"/>
        <v>0</v>
      </c>
      <c r="E7" s="3021"/>
      <c r="F7" s="3021"/>
    </row>
    <row r="8" spans="1:9" ht="16.5">
      <c r="A8" s="3020" t="s">
        <v>2855</v>
      </c>
      <c r="B8" s="3020">
        <f>SUM(I14:I23)</f>
        <v>0</v>
      </c>
      <c r="C8" s="3020">
        <f t="shared" si="0"/>
        <v>0</v>
      </c>
      <c r="D8" s="3020">
        <f t="shared" si="1"/>
        <v>0</v>
      </c>
      <c r="E8" s="3021"/>
      <c r="F8" s="3021"/>
    </row>
    <row r="9" spans="1:9" ht="16.5">
      <c r="A9" s="3020" t="s">
        <v>2856</v>
      </c>
      <c r="B9" s="3023"/>
      <c r="C9" s="3021"/>
      <c r="D9" s="3021"/>
      <c r="E9" s="3021"/>
      <c r="F9" s="3021"/>
    </row>
    <row r="10" spans="1:9" ht="16.5">
      <c r="A10" s="3020" t="s">
        <v>2857</v>
      </c>
      <c r="B10" s="3023"/>
      <c r="C10" s="3021"/>
      <c r="D10" s="3021"/>
      <c r="E10" s="3021"/>
      <c r="F10" s="3021"/>
    </row>
    <row r="11" spans="1:9" ht="16.5">
      <c r="A11" s="3020" t="s">
        <v>2874</v>
      </c>
      <c r="B11" s="3023"/>
      <c r="C11" s="3021"/>
      <c r="D11" s="3021"/>
      <c r="E11" s="3021"/>
      <c r="F11" s="3021"/>
    </row>
    <row r="12" spans="1:9" ht="16.5">
      <c r="A12" s="3021"/>
      <c r="B12" s="3021"/>
      <c r="C12" s="3021"/>
      <c r="D12" s="3021"/>
      <c r="E12" s="3021"/>
      <c r="F12" s="3021"/>
    </row>
    <row r="13" spans="1:9" ht="33">
      <c r="A13" s="3026" t="s">
        <v>2873</v>
      </c>
      <c r="B13" s="3024" t="s">
        <v>2845</v>
      </c>
      <c r="C13" s="3024" t="s">
        <v>2846</v>
      </c>
      <c r="D13" s="3024" t="s">
        <v>2858</v>
      </c>
      <c r="E13" s="3020" t="s">
        <v>2872</v>
      </c>
      <c r="F13" s="3020" t="s">
        <v>2851</v>
      </c>
      <c r="G13" s="3024" t="s">
        <v>2859</v>
      </c>
      <c r="H13" s="3024" t="s">
        <v>2860</v>
      </c>
      <c r="I13" s="3024" t="s">
        <v>2861</v>
      </c>
    </row>
    <row r="14" spans="1:9" ht="16.5">
      <c r="A14" s="3027" t="s">
        <v>2871</v>
      </c>
      <c r="B14" s="3024">
        <f>结果表!L38</f>
        <v>76408.289999999994</v>
      </c>
      <c r="C14" s="3024">
        <f>结果表!K38</f>
        <v>21830.94</v>
      </c>
      <c r="D14" s="3024">
        <f ca="1">结果表!C42</f>
        <v>21995</v>
      </c>
      <c r="E14" s="3024">
        <f ca="1">ROUND(D14*10000/B14,0)</f>
        <v>2879</v>
      </c>
      <c r="F14" s="3024">
        <f ca="1">ROUND(D14*10000/C14,0)</f>
        <v>10075</v>
      </c>
      <c r="G14" s="3024">
        <f ca="1">结果表!C44</f>
        <v>21995</v>
      </c>
      <c r="H14" s="3024" t="str">
        <f>结果表!C45</f>
        <v>——</v>
      </c>
      <c r="I14" s="3024" t="str">
        <f>结果表!C46</f>
        <v>——</v>
      </c>
    </row>
    <row r="15" spans="1:9" ht="16.5">
      <c r="A15" s="3027" t="s">
        <v>2862</v>
      </c>
      <c r="B15" s="3028">
        <f>[2]系统读取表!$B$14</f>
        <v>46695.985000000001</v>
      </c>
      <c r="C15" s="3028">
        <f>[2]系统读取表!$C$14</f>
        <v>13341.71</v>
      </c>
      <c r="D15" s="3028">
        <f>[2]系统读取表!$D$14</f>
        <v>13350</v>
      </c>
      <c r="E15" s="3024">
        <f t="shared" ref="E15:E23" si="2">ROUND(D15*10000/B15,0)</f>
        <v>2859</v>
      </c>
      <c r="F15" s="3024">
        <f t="shared" ref="F15:F23" si="3">ROUND(D15*10000/C15,0)</f>
        <v>10006</v>
      </c>
      <c r="G15" s="3025"/>
      <c r="H15" s="3025"/>
      <c r="I15" s="3028"/>
    </row>
    <row r="16" spans="1:9" ht="16.5">
      <c r="A16" s="3027" t="s">
        <v>2863</v>
      </c>
      <c r="B16" s="3028">
        <f>[3]系统读取表!$B$14</f>
        <v>76274.695000000007</v>
      </c>
      <c r="C16" s="3028">
        <f>[3]系统读取表!$C$14</f>
        <v>21792.77</v>
      </c>
      <c r="D16" s="3028">
        <f>[3]系统读取表!$D$14</f>
        <v>21952</v>
      </c>
      <c r="E16" s="3024">
        <f t="shared" si="2"/>
        <v>2878</v>
      </c>
      <c r="F16" s="3024">
        <f t="shared" si="3"/>
        <v>10073</v>
      </c>
      <c r="G16" s="3025"/>
      <c r="H16" s="3025"/>
      <c r="I16" s="3028"/>
    </row>
    <row r="17" spans="1:9" ht="16.5">
      <c r="A17" s="3027" t="s">
        <v>2864</v>
      </c>
      <c r="B17" s="3028">
        <f>[4]系统读取表!$B$14</f>
        <v>46088</v>
      </c>
      <c r="C17" s="3028">
        <f>[4]系统读取表!$C$14</f>
        <v>13168</v>
      </c>
      <c r="D17" s="3028">
        <f>[4]系统读取表!$D$14</f>
        <v>13001</v>
      </c>
      <c r="E17" s="3024">
        <f t="shared" si="2"/>
        <v>2821</v>
      </c>
      <c r="F17" s="3024">
        <f t="shared" si="3"/>
        <v>9873</v>
      </c>
      <c r="G17" s="3025"/>
      <c r="H17" s="3025"/>
      <c r="I17" s="3028"/>
    </row>
    <row r="18" spans="1:9" ht="16.5">
      <c r="A18" s="3027" t="s">
        <v>2865</v>
      </c>
      <c r="B18" s="3028"/>
      <c r="C18" s="3028"/>
      <c r="D18" s="3028"/>
      <c r="E18" s="3024" t="e">
        <f t="shared" si="2"/>
        <v>#DIV/0!</v>
      </c>
      <c r="F18" s="3024" t="e">
        <f t="shared" si="3"/>
        <v>#DIV/0!</v>
      </c>
      <c r="G18" s="3028"/>
      <c r="H18" s="3028"/>
      <c r="I18" s="3028"/>
    </row>
    <row r="19" spans="1:9" ht="16.5">
      <c r="A19" s="3027" t="s">
        <v>2866</v>
      </c>
      <c r="B19" s="3028"/>
      <c r="C19" s="3028"/>
      <c r="D19" s="3028"/>
      <c r="E19" s="3024" t="e">
        <f t="shared" si="2"/>
        <v>#DIV/0!</v>
      </c>
      <c r="F19" s="3024" t="e">
        <f t="shared" si="3"/>
        <v>#DIV/0!</v>
      </c>
      <c r="G19" s="3028"/>
      <c r="H19" s="3028"/>
      <c r="I19" s="3028"/>
    </row>
    <row r="20" spans="1:9" ht="16.5">
      <c r="A20" s="3027" t="s">
        <v>2867</v>
      </c>
      <c r="B20" s="3028"/>
      <c r="C20" s="3028"/>
      <c r="D20" s="3028"/>
      <c r="E20" s="3024" t="e">
        <f t="shared" si="2"/>
        <v>#DIV/0!</v>
      </c>
      <c r="F20" s="3024" t="e">
        <f t="shared" si="3"/>
        <v>#DIV/0!</v>
      </c>
      <c r="G20" s="3028"/>
      <c r="H20" s="3028"/>
      <c r="I20" s="3028"/>
    </row>
    <row r="21" spans="1:9" ht="16.5">
      <c r="A21" s="3027" t="s">
        <v>2868</v>
      </c>
      <c r="B21" s="3028"/>
      <c r="C21" s="3028"/>
      <c r="D21" s="3028"/>
      <c r="E21" s="3024" t="e">
        <f t="shared" si="2"/>
        <v>#DIV/0!</v>
      </c>
      <c r="F21" s="3024" t="e">
        <f t="shared" si="3"/>
        <v>#DIV/0!</v>
      </c>
      <c r="G21" s="3028"/>
      <c r="H21" s="3028"/>
      <c r="I21" s="3028"/>
    </row>
    <row r="22" spans="1:9" ht="16.5">
      <c r="A22" s="3027" t="s">
        <v>2869</v>
      </c>
      <c r="B22" s="3028"/>
      <c r="C22" s="3028"/>
      <c r="D22" s="3028"/>
      <c r="E22" s="3024" t="e">
        <f t="shared" si="2"/>
        <v>#DIV/0!</v>
      </c>
      <c r="F22" s="3024" t="e">
        <f t="shared" si="3"/>
        <v>#DIV/0!</v>
      </c>
      <c r="G22" s="3028"/>
      <c r="H22" s="3028"/>
      <c r="I22" s="3028"/>
    </row>
    <row r="23" spans="1:9" ht="16.5">
      <c r="A23" s="3027" t="s">
        <v>2870</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15" sqref="E1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2056</v>
      </c>
      <c r="B1" s="1776"/>
      <c r="C1" s="1804" t="s">
        <v>2057</v>
      </c>
      <c r="D1" s="1805"/>
      <c r="E1" s="1804" t="s">
        <v>2058</v>
      </c>
      <c r="F1" s="1806"/>
      <c r="G1" s="311"/>
      <c r="H1" s="311"/>
      <c r="I1" s="311"/>
      <c r="J1" s="2028"/>
      <c r="K1" s="2028"/>
      <c r="L1" s="2028"/>
      <c r="M1" s="2028"/>
      <c r="N1" s="2028"/>
      <c r="O1" s="2028"/>
      <c r="P1" s="2028"/>
      <c r="Q1" s="2028"/>
      <c r="R1" s="2028"/>
      <c r="S1" s="2028"/>
      <c r="T1" s="2028"/>
      <c r="U1" s="2028"/>
      <c r="V1" s="2028"/>
    </row>
    <row r="2" spans="1:22" ht="21.75" customHeight="1" thickBot="1">
      <c r="A2" s="3704" t="str">
        <f>项目基本情况!K2</f>
        <v>江苏省镇江市扬中市油坊镇出让国有建设用地使用权</v>
      </c>
      <c r="B2" s="3705"/>
      <c r="C2" s="3706"/>
      <c r="D2" s="3706"/>
      <c r="E2" s="3706"/>
      <c r="F2" s="3706"/>
      <c r="G2" s="3705"/>
      <c r="H2" s="3705"/>
      <c r="I2" s="3707"/>
      <c r="J2" s="2029"/>
      <c r="K2" s="2028"/>
      <c r="L2" s="2028"/>
      <c r="M2" s="2028"/>
      <c r="N2" s="2028"/>
      <c r="O2" s="2028"/>
      <c r="P2" s="2028"/>
      <c r="Q2" s="2028"/>
      <c r="R2" s="2028"/>
      <c r="S2" s="2028"/>
      <c r="T2" s="2028"/>
      <c r="U2" s="2028"/>
      <c r="V2" s="2028"/>
    </row>
    <row r="3" spans="1:22" ht="14.25">
      <c r="A3" s="3715" t="s">
        <v>298</v>
      </c>
      <c r="B3" s="3716"/>
      <c r="C3" s="3716"/>
      <c r="D3" s="3716"/>
      <c r="E3" s="3716"/>
      <c r="F3" s="3716"/>
      <c r="G3" s="3716"/>
      <c r="H3" s="3716"/>
      <c r="I3" s="3716"/>
      <c r="J3" s="2029"/>
      <c r="K3" s="2028"/>
      <c r="L3" s="2028"/>
      <c r="M3" s="2028"/>
      <c r="N3" s="2028"/>
      <c r="O3" s="2028"/>
      <c r="P3" s="2028"/>
      <c r="Q3" s="2028"/>
      <c r="R3" s="2028"/>
      <c r="S3" s="2028"/>
      <c r="T3" s="2028"/>
      <c r="U3" s="2028"/>
      <c r="V3" s="2028"/>
    </row>
    <row r="4" spans="1:22" ht="14.25">
      <c r="A4" s="258" t="s">
        <v>299</v>
      </c>
      <c r="B4" s="259" t="s">
        <v>300</v>
      </c>
      <c r="C4" s="260" t="s">
        <v>3027</v>
      </c>
      <c r="D4" s="260" t="s">
        <v>3028</v>
      </c>
      <c r="E4" s="3679" t="s">
        <v>301</v>
      </c>
      <c r="F4" s="3721"/>
      <c r="G4" s="3721"/>
      <c r="H4" s="3721"/>
      <c r="I4" s="3680"/>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708" t="s">
        <v>302</v>
      </c>
      <c r="B5" s="3709">
        <v>25</v>
      </c>
      <c r="C5" s="3717"/>
      <c r="D5" s="3720"/>
      <c r="E5" s="261" t="s">
        <v>303</v>
      </c>
      <c r="F5" s="262"/>
      <c r="G5" s="262"/>
      <c r="H5" s="262"/>
      <c r="I5" s="263"/>
      <c r="J5" s="2029"/>
      <c r="K5" s="2028"/>
      <c r="L5" s="2028"/>
      <c r="M5" s="2028"/>
      <c r="N5" s="2028"/>
      <c r="O5" s="2028"/>
      <c r="P5" s="2028"/>
      <c r="Q5" s="2028"/>
      <c r="R5" s="2028"/>
      <c r="S5" s="2028"/>
      <c r="T5" s="2028"/>
      <c r="U5" s="2028"/>
      <c r="V5" s="2028"/>
    </row>
    <row r="6" spans="1:22" ht="14.25">
      <c r="A6" s="3708"/>
      <c r="B6" s="3709"/>
      <c r="C6" s="3718"/>
      <c r="D6" s="3720"/>
      <c r="E6" s="261" t="s">
        <v>304</v>
      </c>
      <c r="F6" s="262"/>
      <c r="G6" s="262"/>
      <c r="H6" s="262"/>
      <c r="I6" s="263"/>
      <c r="J6" s="2029"/>
      <c r="K6" s="2028"/>
      <c r="L6" s="2028"/>
      <c r="M6" s="2028"/>
      <c r="N6" s="2028"/>
      <c r="O6" s="2028"/>
      <c r="P6" s="2028"/>
      <c r="Q6" s="2028"/>
      <c r="R6" s="2028"/>
      <c r="S6" s="2028"/>
      <c r="T6" s="2028"/>
      <c r="U6" s="2028"/>
      <c r="V6" s="2028"/>
    </row>
    <row r="7" spans="1:22" ht="14.25">
      <c r="A7" s="3708"/>
      <c r="B7" s="3709"/>
      <c r="C7" s="3719"/>
      <c r="D7" s="3720"/>
      <c r="E7" s="261" t="s">
        <v>305</v>
      </c>
      <c r="F7" s="262"/>
      <c r="G7" s="262"/>
      <c r="H7" s="262"/>
      <c r="I7" s="263"/>
      <c r="J7" s="2029"/>
      <c r="K7" s="2028"/>
      <c r="L7" s="2028"/>
      <c r="M7" s="2028"/>
      <c r="N7" s="2028"/>
      <c r="O7" s="2028"/>
      <c r="P7" s="2028"/>
      <c r="Q7" s="2028"/>
      <c r="R7" s="2028"/>
      <c r="S7" s="2028"/>
      <c r="T7" s="2028"/>
      <c r="U7" s="2028"/>
      <c r="V7" s="2028"/>
    </row>
    <row r="8" spans="1:22" ht="14.25">
      <c r="A8" s="3708" t="s">
        <v>306</v>
      </c>
      <c r="B8" s="3709">
        <v>15</v>
      </c>
      <c r="C8" s="3717"/>
      <c r="D8" s="3720"/>
      <c r="E8" s="261" t="s">
        <v>307</v>
      </c>
      <c r="F8" s="262"/>
      <c r="G8" s="262"/>
      <c r="H8" s="262"/>
      <c r="I8" s="263"/>
      <c r="J8" s="2029"/>
      <c r="K8" s="2028"/>
      <c r="L8" s="2028"/>
      <c r="M8" s="2028"/>
      <c r="N8" s="2028"/>
      <c r="O8" s="2028"/>
      <c r="P8" s="2028"/>
      <c r="Q8" s="2028"/>
      <c r="R8" s="2028"/>
      <c r="S8" s="2028"/>
      <c r="T8" s="2028"/>
      <c r="U8" s="2028"/>
      <c r="V8" s="2028"/>
    </row>
    <row r="9" spans="1:22" ht="14.25">
      <c r="A9" s="3708"/>
      <c r="B9" s="3709"/>
      <c r="C9" s="3719"/>
      <c r="D9" s="3720"/>
      <c r="E9" s="261" t="s">
        <v>308</v>
      </c>
      <c r="F9" s="262"/>
      <c r="G9" s="262"/>
      <c r="H9" s="262"/>
      <c r="I9" s="263"/>
      <c r="J9" s="2029"/>
      <c r="K9" s="2028"/>
      <c r="L9" s="2028"/>
      <c r="M9" s="2028"/>
      <c r="N9" s="2028"/>
      <c r="O9" s="2028"/>
      <c r="P9" s="2028"/>
      <c r="Q9" s="2028"/>
      <c r="R9" s="2028"/>
      <c r="S9" s="2028"/>
      <c r="T9" s="2028"/>
      <c r="U9" s="2028"/>
      <c r="V9" s="2028"/>
    </row>
    <row r="10" spans="1:22" ht="14.25">
      <c r="A10" s="3708" t="s">
        <v>309</v>
      </c>
      <c r="B10" s="3709">
        <v>15</v>
      </c>
      <c r="C10" s="3717"/>
      <c r="D10" s="3720"/>
      <c r="E10" s="261" t="s">
        <v>310</v>
      </c>
      <c r="F10" s="262"/>
      <c r="G10" s="262"/>
      <c r="H10" s="262"/>
      <c r="I10" s="263"/>
      <c r="J10" s="2029"/>
      <c r="K10" s="2028"/>
      <c r="L10" s="2028"/>
      <c r="M10" s="2028"/>
      <c r="N10" s="2028"/>
      <c r="O10" s="2028"/>
      <c r="P10" s="2028"/>
      <c r="Q10" s="2028"/>
      <c r="R10" s="2028"/>
      <c r="S10" s="2028"/>
      <c r="T10" s="2028"/>
      <c r="U10" s="2028"/>
      <c r="V10" s="2028"/>
    </row>
    <row r="11" spans="1:22" ht="14.25">
      <c r="A11" s="3708"/>
      <c r="B11" s="3709"/>
      <c r="C11" s="3719"/>
      <c r="D11" s="3720"/>
      <c r="E11" s="261" t="s">
        <v>311</v>
      </c>
      <c r="F11" s="262"/>
      <c r="G11" s="262"/>
      <c r="H11" s="262"/>
      <c r="I11" s="263"/>
      <c r="J11" s="2029"/>
      <c r="K11" s="2028"/>
      <c r="L11" s="2028"/>
      <c r="M11" s="2028"/>
      <c r="N11" s="2028"/>
      <c r="O11" s="2028"/>
      <c r="P11" s="2028"/>
      <c r="Q11" s="2028"/>
      <c r="R11" s="2028"/>
      <c r="S11" s="2028"/>
      <c r="T11" s="2028"/>
      <c r="U11" s="2028"/>
      <c r="V11" s="2028"/>
    </row>
    <row r="12" spans="1:22" ht="14.25">
      <c r="A12" s="3708" t="s">
        <v>312</v>
      </c>
      <c r="B12" s="3709">
        <v>15</v>
      </c>
      <c r="C12" s="3717"/>
      <c r="D12" s="3720"/>
      <c r="E12" s="261" t="s">
        <v>313</v>
      </c>
      <c r="F12" s="262"/>
      <c r="G12" s="262"/>
      <c r="H12" s="262"/>
      <c r="I12" s="263"/>
      <c r="J12" s="2029"/>
      <c r="K12" s="2028"/>
      <c r="L12" s="2028"/>
      <c r="M12" s="2028"/>
      <c r="N12" s="2028"/>
      <c r="O12" s="2028"/>
      <c r="P12" s="2028"/>
      <c r="Q12" s="2028"/>
      <c r="R12" s="2028"/>
      <c r="S12" s="2028"/>
      <c r="T12" s="2028"/>
      <c r="U12" s="2028"/>
      <c r="V12" s="2028"/>
    </row>
    <row r="13" spans="1:22" ht="14.25">
      <c r="A13" s="3708"/>
      <c r="B13" s="3709"/>
      <c r="C13" s="3719"/>
      <c r="D13" s="3720"/>
      <c r="E13" s="261" t="s">
        <v>314</v>
      </c>
      <c r="F13" s="262"/>
      <c r="G13" s="262"/>
      <c r="H13" s="262"/>
      <c r="I13" s="263"/>
      <c r="J13" s="2029"/>
      <c r="K13" s="2028"/>
      <c r="L13" s="2028"/>
      <c r="M13" s="2028"/>
      <c r="N13" s="2028"/>
      <c r="O13" s="2028"/>
      <c r="P13" s="2028"/>
      <c r="Q13" s="2028"/>
      <c r="R13" s="2028"/>
      <c r="S13" s="2028"/>
      <c r="T13" s="2028"/>
      <c r="U13" s="2028"/>
      <c r="V13" s="2028"/>
    </row>
    <row r="14" spans="1:22" ht="14.25">
      <c r="A14" s="3708" t="s">
        <v>315</v>
      </c>
      <c r="B14" s="3709">
        <v>30</v>
      </c>
      <c r="C14" s="3717">
        <v>6</v>
      </c>
      <c r="D14" s="3720">
        <v>4</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708"/>
      <c r="B15" s="3709"/>
      <c r="C15" s="3718"/>
      <c r="D15" s="3720"/>
      <c r="E15" s="261" t="s">
        <v>317</v>
      </c>
      <c r="F15" s="262"/>
      <c r="G15" s="262"/>
      <c r="H15" s="262"/>
      <c r="I15" s="263"/>
      <c r="J15" s="2029"/>
      <c r="K15" s="2028"/>
      <c r="L15" s="2028"/>
      <c r="M15" s="2028"/>
      <c r="N15" s="2028"/>
      <c r="O15" s="2028"/>
      <c r="P15" s="2028"/>
      <c r="Q15" s="2028"/>
      <c r="R15" s="2028"/>
      <c r="S15" s="2028"/>
      <c r="T15" s="2028"/>
      <c r="U15" s="2028"/>
      <c r="V15" s="2028"/>
    </row>
    <row r="16" spans="1:22" ht="14.25">
      <c r="A16" s="3708"/>
      <c r="B16" s="3709"/>
      <c r="C16" s="3719"/>
      <c r="D16" s="3720"/>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25151</v>
      </c>
      <c r="D19" s="271">
        <f ca="1">SUMIF(INDIRECT("'"&amp;D4&amp;"'"&amp;"!A:A"),结果表!B19,INDIRECT("'"&amp;D4&amp;"'"&amp;"!B:B"))</f>
        <v>17261</v>
      </c>
      <c r="E19" s="268" t="s">
        <v>323</v>
      </c>
      <c r="F19" s="269" t="s">
        <v>322</v>
      </c>
      <c r="G19" s="272">
        <f ca="1">ROUND(C19*$C$18+D19*$D$18,0)</f>
        <v>21995</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3292</v>
      </c>
      <c r="D20" s="277">
        <f ca="1">SUMIF(INDIRECT("'"&amp;D4&amp;"'"&amp;"!A:A"),结果表!B20,INDIRECT("'"&amp;D4&amp;"'"&amp;"!B:B"))</f>
        <v>2259</v>
      </c>
      <c r="E20" s="274"/>
      <c r="F20" s="275" t="s">
        <v>325</v>
      </c>
      <c r="G20" s="278">
        <f ca="1">ROUND(C20*$C$18+D20*$D$18,0)</f>
        <v>2879</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11521</v>
      </c>
      <c r="D21" s="151">
        <f ca="1">SUMIF(INDIRECT("'"&amp;D4&amp;"'"&amp;"!A:A"),结果表!B21,INDIRECT("'"&amp;D4&amp;"'"&amp;"!B:B"))</f>
        <v>7907</v>
      </c>
      <c r="E21" s="274"/>
      <c r="F21" s="280" t="s">
        <v>327</v>
      </c>
      <c r="G21" s="282">
        <f ca="1">ROUND(C21*$C$18+D21*$D$18,0)</f>
        <v>10075</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0.45709982040437991</v>
      </c>
      <c r="E22" s="284"/>
      <c r="F22" s="285"/>
      <c r="G22" s="286">
        <f ca="1">ROUND(G19/('数据-汇总表'!D3/666.67),0)</f>
        <v>672</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681"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723"/>
      <c r="B25" s="1321" t="s">
        <v>331</v>
      </c>
      <c r="C25" s="290">
        <f>IF(B30=0,0,C30)</f>
        <v>0</v>
      </c>
      <c r="D25" s="291"/>
      <c r="E25" s="311"/>
      <c r="F25" s="311"/>
      <c r="G25" s="311"/>
      <c r="H25" s="311"/>
      <c r="I25" s="311"/>
      <c r="J25" s="2028"/>
      <c r="K25" s="1255" t="str">
        <f ca="1">项目基本情况!B16&amp;"国有建设用地使用权价格："&amp;O38&amp;"万元"</f>
        <v>出让国有建设用地使用权价格：21995万元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大写金额：人民币贰亿壹仟玖佰玖拾伍万元整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单位面积地价：10075元/平方米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楼面地价：2879元/平方米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抵押价格：21995万元</v>
      </c>
      <c r="L29" s="1252"/>
      <c r="M29" s="1252"/>
      <c r="N29" s="1252"/>
      <c r="O29" s="1251"/>
      <c r="P29" s="2028"/>
      <c r="V29" s="2028"/>
    </row>
    <row r="30" spans="1:26" ht="18.75" thickBot="1">
      <c r="A30" s="3105" t="s">
        <v>336</v>
      </c>
      <c r="B30" s="309"/>
      <c r="C30" s="309"/>
      <c r="D30" s="310"/>
      <c r="E30" s="3106" t="s">
        <v>2970</v>
      </c>
      <c r="F30" s="311"/>
      <c r="G30" s="311"/>
      <c r="H30" s="311"/>
      <c r="I30" s="311"/>
      <c r="J30" s="2028"/>
      <c r="K30" s="1258" t="str">
        <f ca="1">IF(K29="——","——","大写金额：人民币"&amp;NUMBERSTRING(INT(O39*10000),2)&amp;"元整")</f>
        <v>大写金额：人民币贰亿壹仟玖佰玖拾伍万元整</v>
      </c>
      <c r="L30" s="1252"/>
      <c r="M30" s="1252"/>
      <c r="N30" s="1252"/>
      <c r="O30" s="1251"/>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v>
      </c>
      <c r="L31" s="2443"/>
      <c r="M31" s="2443"/>
      <c r="N31" s="2443"/>
      <c r="O31" s="2444"/>
      <c r="P31" s="2028"/>
      <c r="V31" s="2028"/>
    </row>
    <row r="32" spans="1:26" ht="18.75" thickBot="1">
      <c r="A32" s="268" t="s">
        <v>337</v>
      </c>
      <c r="B32" s="1382" t="s">
        <v>1689</v>
      </c>
      <c r="C32" s="1383">
        <f ca="1">G19-C24</f>
        <v>21995</v>
      </c>
      <c r="D32" s="1384" t="s">
        <v>1690</v>
      </c>
      <c r="E32" s="311"/>
      <c r="F32" s="311"/>
      <c r="G32" s="311"/>
      <c r="H32" s="311"/>
      <c r="I32" s="311"/>
      <c r="J32" s="2028"/>
      <c r="K32" s="2442" t="str">
        <f>IF(K31="——","——","大写金额：人民币"&amp;NUMBERSTRING(INT(O40*10000),2)&amp;"元整")</f>
        <v>——</v>
      </c>
      <c r="L32" s="2445"/>
      <c r="M32" s="2445"/>
      <c r="N32" s="2445"/>
      <c r="O32" s="2446"/>
      <c r="P32" s="2028"/>
      <c r="V32" s="2028"/>
    </row>
    <row r="33" spans="1:26" ht="18.75" thickBot="1">
      <c r="A33" s="298" t="s">
        <v>340</v>
      </c>
      <c r="B33" s="1385" t="s">
        <v>1691</v>
      </c>
      <c r="C33" s="264">
        <f ca="1">ROUND(C32*10000/'数据-汇总表'!E3,0)</f>
        <v>2879</v>
      </c>
      <c r="D33" s="1386" t="s">
        <v>1692</v>
      </c>
      <c r="E33" s="3681" t="s">
        <v>338</v>
      </c>
      <c r="F33" s="296" t="s">
        <v>339</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7" t="s">
        <v>1693</v>
      </c>
      <c r="C34" s="264">
        <f ca="1">ROUND(C32*10000/'数据-汇总表'!D3,0)</f>
        <v>10075</v>
      </c>
      <c r="D34" s="1388" t="s">
        <v>1692</v>
      </c>
      <c r="E34" s="3682"/>
      <c r="F34" s="127" t="s">
        <v>341</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672</v>
      </c>
      <c r="D35" s="1391" t="s">
        <v>1694</v>
      </c>
      <c r="E35" s="3683"/>
      <c r="F35" s="301" t="s">
        <v>342</v>
      </c>
      <c r="G35" s="982"/>
      <c r="H35" s="981" t="s">
        <v>343</v>
      </c>
      <c r="I35" s="311"/>
      <c r="J35" s="2028"/>
      <c r="K35" s="3687" t="s">
        <v>350</v>
      </c>
      <c r="L35" s="3687" t="s">
        <v>351</v>
      </c>
      <c r="M35" s="1264" t="s">
        <v>352</v>
      </c>
      <c r="N35" s="3687" t="s">
        <v>353</v>
      </c>
      <c r="O35" s="3687" t="s">
        <v>354</v>
      </c>
      <c r="P35" s="2028"/>
      <c r="V35" s="2028"/>
    </row>
    <row r="36" spans="1:26" ht="16.5" customHeight="1">
      <c r="A36" s="303" t="s">
        <v>344</v>
      </c>
      <c r="B36" s="304" t="s">
        <v>333</v>
      </c>
      <c r="C36" s="305" t="s">
        <v>345</v>
      </c>
      <c r="D36" s="305" t="s">
        <v>346</v>
      </c>
      <c r="E36" s="306" t="s">
        <v>347</v>
      </c>
      <c r="F36" s="311"/>
      <c r="G36" s="311"/>
      <c r="H36" s="311"/>
      <c r="I36" s="311"/>
      <c r="J36" s="2030"/>
      <c r="K36" s="3688"/>
      <c r="L36" s="3688"/>
      <c r="M36" s="1266" t="s">
        <v>355</v>
      </c>
      <c r="N36" s="3688"/>
      <c r="O36" s="3688"/>
      <c r="P36" s="2028"/>
      <c r="V36" s="2028"/>
    </row>
    <row r="37" spans="1:26" ht="16.5" customHeight="1" thickBot="1">
      <c r="A37" s="1260" t="s">
        <v>348</v>
      </c>
      <c r="B37" s="307"/>
      <c r="C37" s="294"/>
      <c r="D37" s="294"/>
      <c r="E37" s="295"/>
      <c r="F37" s="311"/>
      <c r="G37" s="311"/>
      <c r="H37" s="311"/>
      <c r="I37" s="311"/>
      <c r="J37" s="2030"/>
      <c r="K37" s="3689"/>
      <c r="L37" s="3689"/>
      <c r="M37" s="1267"/>
      <c r="N37" s="3689"/>
      <c r="O37" s="3689"/>
      <c r="P37" s="2028"/>
      <c r="V37" s="2028"/>
    </row>
    <row r="38" spans="1:26" ht="16.5" customHeight="1" thickBot="1">
      <c r="A38" s="1260" t="s">
        <v>349</v>
      </c>
      <c r="B38" s="307"/>
      <c r="C38" s="294"/>
      <c r="D38" s="294"/>
      <c r="E38" s="295"/>
      <c r="F38" s="311"/>
      <c r="G38" s="311"/>
      <c r="H38" s="311"/>
      <c r="I38" s="311"/>
      <c r="J38" s="2030"/>
      <c r="K38" s="1268">
        <f>'数据-汇总表'!D3</f>
        <v>21830.94</v>
      </c>
      <c r="L38" s="1269">
        <f>'数据-汇总表'!E3</f>
        <v>76408.289999999994</v>
      </c>
      <c r="M38" s="1269">
        <f ca="1">C34</f>
        <v>10075</v>
      </c>
      <c r="N38" s="1269">
        <f ca="1">C33</f>
        <v>2879</v>
      </c>
      <c r="O38" s="1270">
        <f ca="1">C32</f>
        <v>21995</v>
      </c>
      <c r="P38" s="2028"/>
      <c r="V38" s="2028"/>
    </row>
    <row r="39" spans="1:26" ht="16.5" customHeight="1" thickBot="1">
      <c r="A39" s="1265"/>
      <c r="B39" s="308"/>
      <c r="C39" s="309"/>
      <c r="D39" s="309"/>
      <c r="E39" s="310"/>
      <c r="F39" s="311"/>
      <c r="G39" s="311"/>
      <c r="H39" s="311"/>
      <c r="I39" s="311"/>
      <c r="J39" s="2030"/>
      <c r="K39" s="3664" t="str">
        <f>MID(A44,3,LEN(A44)-2)</f>
        <v>抵押价格</v>
      </c>
      <c r="L39" s="3665"/>
      <c r="M39" s="3665"/>
      <c r="N39" s="3666"/>
      <c r="O39" s="1393">
        <f ca="1">C44</f>
        <v>21995</v>
      </c>
      <c r="P39" s="2028"/>
      <c r="V39" s="2028"/>
    </row>
    <row r="40" spans="1:26" ht="19.5" thickBot="1">
      <c r="A40" s="104" t="s">
        <v>873</v>
      </c>
      <c r="B40" s="311"/>
      <c r="C40" s="311"/>
      <c r="D40" s="311"/>
      <c r="E40" s="311"/>
      <c r="F40" s="311"/>
      <c r="G40" s="311"/>
      <c r="H40" s="311"/>
      <c r="I40" s="311"/>
      <c r="J40" s="2030"/>
      <c r="K40" s="3664" t="str">
        <f t="shared" ref="K40:K41" si="0">MID(A45,3,LEN(A45)-2)</f>
        <v/>
      </c>
      <c r="L40" s="3665"/>
      <c r="M40" s="3665"/>
      <c r="N40" s="3666"/>
      <c r="O40" s="1393" t="str">
        <f>C45</f>
        <v>——</v>
      </c>
      <c r="P40" s="2028"/>
      <c r="V40" s="2028"/>
    </row>
    <row r="41" spans="1:26" ht="16.5" thickBot="1">
      <c r="A41" s="312" t="s">
        <v>356</v>
      </c>
      <c r="B41" s="313"/>
      <c r="C41" s="314" t="s">
        <v>357</v>
      </c>
      <c r="D41" s="315" t="s">
        <v>358</v>
      </c>
      <c r="E41" s="315" t="s">
        <v>359</v>
      </c>
      <c r="F41" s="316" t="s">
        <v>360</v>
      </c>
      <c r="G41" s="311"/>
      <c r="H41" s="311"/>
      <c r="I41" s="311"/>
      <c r="J41" s="2030"/>
      <c r="K41" s="3664" t="str">
        <f t="shared" si="0"/>
        <v/>
      </c>
      <c r="L41" s="3665"/>
      <c r="M41" s="3665"/>
      <c r="N41" s="3666"/>
      <c r="O41" s="1393" t="str">
        <f>C46</f>
        <v>——</v>
      </c>
      <c r="P41" s="2028"/>
      <c r="V41" s="2028"/>
    </row>
    <row r="42" spans="1:26" ht="29.25">
      <c r="A42" s="3724" t="s">
        <v>2068</v>
      </c>
      <c r="B42" s="3725"/>
      <c r="C42" s="264">
        <f ca="1">C32</f>
        <v>21995</v>
      </c>
      <c r="D42" s="317">
        <f ca="1">C33</f>
        <v>2879</v>
      </c>
      <c r="E42" s="317">
        <f ca="1">C34</f>
        <v>10075</v>
      </c>
      <c r="F42" s="318">
        <f ca="1">C35</f>
        <v>672</v>
      </c>
      <c r="G42" s="311"/>
      <c r="H42" s="311"/>
      <c r="I42" s="319"/>
      <c r="J42" s="2030"/>
      <c r="K42" s="1271" t="s">
        <v>361</v>
      </c>
      <c r="L42" s="2047" t="s">
        <v>362</v>
      </c>
      <c r="M42" s="1272" t="s">
        <v>363</v>
      </c>
      <c r="N42" s="2048" t="s">
        <v>364</v>
      </c>
      <c r="O42" s="2049" t="s">
        <v>365</v>
      </c>
      <c r="P42" s="2028"/>
      <c r="V42" s="2028"/>
    </row>
    <row r="43" spans="1:26" ht="30">
      <c r="A43" s="3734" t="s">
        <v>2731</v>
      </c>
      <c r="B43" s="3735"/>
      <c r="C43" s="264">
        <f>IF(H33="正常操作",G33+G34+G35,G34+G35)</f>
        <v>0</v>
      </c>
      <c r="D43" s="317" t="s">
        <v>43</v>
      </c>
      <c r="E43" s="317" t="s">
        <v>44</v>
      </c>
      <c r="F43" s="318" t="s">
        <v>44</v>
      </c>
      <c r="G43" s="2844" t="s">
        <v>952</v>
      </c>
      <c r="H43" s="311"/>
      <c r="I43" s="319"/>
      <c r="J43" s="2030"/>
      <c r="K43" s="1273" t="str">
        <f>C4</f>
        <v>剩余法-待开发</v>
      </c>
      <c r="L43" s="1274">
        <f ca="1">IF(L42="估价结果/万元",C19,C20)</f>
        <v>25151</v>
      </c>
      <c r="M43" s="1275">
        <f>C18</f>
        <v>0.6</v>
      </c>
      <c r="N43" s="1276">
        <f ca="1">IF(N42="测算结果/万元",G19,G20)</f>
        <v>21995</v>
      </c>
      <c r="O43" s="1277">
        <f ca="1">IF(O42="最终结果/万元",C32,C33)</f>
        <v>21995</v>
      </c>
      <c r="P43" s="2028"/>
      <c r="V43" s="2028"/>
    </row>
    <row r="44" spans="1:26" ht="30.75" thickBot="1">
      <c r="A44" s="3724" t="str">
        <f>IF(OR(项目基本情况!E8="抵押价格",项目基本情况!E8="已注销及未注销"),"3.抵押价格","——")</f>
        <v>3.抵押价格</v>
      </c>
      <c r="B44" s="3725"/>
      <c r="C44" s="264">
        <f ca="1">IF(A44="——","——",C42-C43)</f>
        <v>21995</v>
      </c>
      <c r="D44" s="317">
        <f ca="1">ROUND(C44*10000/'数据-汇总表'!E3,0)</f>
        <v>2879</v>
      </c>
      <c r="E44" s="317">
        <f ca="1">ROUND(C44*10000/'数据-汇总表'!D3,0)</f>
        <v>10075</v>
      </c>
      <c r="F44" s="318">
        <f ca="1">ROUND(C44/('数据-汇总表'!D3/666.67),0)</f>
        <v>672</v>
      </c>
      <c r="G44" s="311"/>
      <c r="H44" s="311"/>
      <c r="I44" s="319"/>
      <c r="J44" s="2030"/>
      <c r="K44" s="1278" t="str">
        <f>D4</f>
        <v>比较法-住宅、综合</v>
      </c>
      <c r="L44" s="1279">
        <f ca="1">IF(L42="估价结果/万元",D19,D20)</f>
        <v>17261</v>
      </c>
      <c r="M44" s="1280">
        <f>D18</f>
        <v>0.4</v>
      </c>
      <c r="N44" s="1281"/>
      <c r="O44" s="1282"/>
      <c r="P44" s="2028"/>
      <c r="V44" s="2028"/>
    </row>
    <row r="45" spans="1:26" ht="15">
      <c r="A45" s="3729" t="str">
        <f>IF(项目基本情况!E8="已注销及未注销","4.抵押担保权已注销时的抵押价格",IF(项目基本情况!E8="已注销","3.抵押担保权已注销时的抵押价格","——"))</f>
        <v>——</v>
      </c>
      <c r="B45" s="3730"/>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726" t="str">
        <f>IF(项目基本情况!E9="抵押净值",IF(A45="——","4.抵押净值","5.抵押净值"),"——")</f>
        <v>——</v>
      </c>
      <c r="B46" s="3727"/>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692" t="s">
        <v>374</v>
      </c>
      <c r="B63" s="3693"/>
      <c r="C63" s="3694"/>
      <c r="D63" s="341">
        <f ca="1">ROUND(C42*F63,0)</f>
        <v>13197</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731" t="s">
        <v>378</v>
      </c>
      <c r="B64" s="3732"/>
      <c r="C64" s="3732"/>
      <c r="D64" s="3732"/>
      <c r="E64" s="3732"/>
      <c r="F64" s="3732"/>
      <c r="G64" s="3733"/>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728" t="s">
        <v>386</v>
      </c>
      <c r="B66" s="3699"/>
      <c r="C66" s="3699"/>
      <c r="D66" s="261">
        <f ca="1">IF(H66="情况1",0,IF(H66="情况2",D70,IF(H66="情况3",D71,IF(H66="情况4",D72))))</f>
        <v>704</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668" t="s">
        <v>385</v>
      </c>
      <c r="M66" s="3669"/>
      <c r="N66" s="2437"/>
      <c r="O66" s="2438"/>
      <c r="P66" s="2439"/>
      <c r="Q66" s="2028"/>
      <c r="R66" s="2028"/>
      <c r="S66" s="2028"/>
      <c r="T66" s="2028"/>
      <c r="U66" s="2028"/>
      <c r="V66" s="2028"/>
    </row>
    <row r="67" spans="1:22" ht="25.5" customHeight="1">
      <c r="A67" s="352" t="s">
        <v>390</v>
      </c>
      <c r="B67" s="3711" t="s">
        <v>391</v>
      </c>
      <c r="C67" s="3711"/>
      <c r="D67" s="353">
        <v>0</v>
      </c>
      <c r="E67" s="41" t="s">
        <v>392</v>
      </c>
      <c r="F67" s="62" t="s">
        <v>21</v>
      </c>
      <c r="G67" s="3695"/>
      <c r="H67" s="311"/>
      <c r="I67" s="1292"/>
      <c r="J67" s="2035"/>
      <c r="K67" s="1976">
        <v>2</v>
      </c>
      <c r="L67" s="3667" t="s">
        <v>389</v>
      </c>
      <c r="M67" s="3667"/>
      <c r="N67" s="1325">
        <f>'数据-取费表'!B2</f>
        <v>43649</v>
      </c>
      <c r="O67" s="1325"/>
      <c r="P67" s="1325"/>
      <c r="Q67" s="2028"/>
      <c r="R67" s="2028"/>
      <c r="S67" s="2028"/>
      <c r="T67" s="2028"/>
      <c r="U67" s="2028"/>
      <c r="V67" s="2028"/>
    </row>
    <row r="68" spans="1:22" ht="25.5" customHeight="1">
      <c r="A68" s="354"/>
      <c r="B68" s="3711" t="s">
        <v>394</v>
      </c>
      <c r="C68" s="3711"/>
      <c r="D68" s="355"/>
      <c r="E68" s="77"/>
      <c r="F68" s="356"/>
      <c r="G68" s="3696"/>
      <c r="H68" s="311"/>
      <c r="I68" s="1292"/>
      <c r="J68" s="2035"/>
      <c r="K68" s="1976">
        <v>3</v>
      </c>
      <c r="L68" s="3667" t="s">
        <v>393</v>
      </c>
      <c r="M68" s="3667"/>
      <c r="N68" s="1293">
        <f ca="1">C42</f>
        <v>21995</v>
      </c>
      <c r="O68" s="1293"/>
      <c r="P68" s="1293"/>
      <c r="Q68" s="2028"/>
      <c r="R68" s="2028"/>
      <c r="S68" s="2028"/>
      <c r="T68" s="2028"/>
      <c r="U68" s="2028"/>
      <c r="V68" s="2028"/>
    </row>
    <row r="69" spans="1:22" ht="12" customHeight="1">
      <c r="A69" s="357"/>
      <c r="B69" s="3711" t="s">
        <v>395</v>
      </c>
      <c r="C69" s="3711"/>
      <c r="D69" s="358"/>
      <c r="E69" s="73"/>
      <c r="F69" s="356"/>
      <c r="G69" s="3697"/>
      <c r="H69" s="311"/>
      <c r="I69" s="1292"/>
      <c r="J69" s="2035"/>
      <c r="K69" s="1294">
        <v>4</v>
      </c>
      <c r="L69" s="3673" t="s">
        <v>2884</v>
      </c>
      <c r="M69" s="3674"/>
      <c r="N69" s="1295">
        <f ca="1">C44</f>
        <v>21995</v>
      </c>
      <c r="O69" s="1295"/>
      <c r="P69" s="1295"/>
      <c r="Q69" s="2028"/>
      <c r="R69" s="2028"/>
      <c r="S69" s="2028"/>
      <c r="T69" s="2028"/>
      <c r="U69" s="2028"/>
      <c r="V69" s="2028"/>
    </row>
    <row r="70" spans="1:22" ht="24" customHeight="1">
      <c r="A70" s="359" t="s">
        <v>396</v>
      </c>
      <c r="B70" s="3711" t="s">
        <v>397</v>
      </c>
      <c r="C70" s="3711"/>
      <c r="D70" s="358">
        <f ca="1">ROUND(D63*'数据-取费表'!B41/(1+'数据-取费表'!C42),0)</f>
        <v>704</v>
      </c>
      <c r="E70" s="17" t="s">
        <v>398</v>
      </c>
      <c r="F70" s="360">
        <f>'数据-取费表'!B41</f>
        <v>5.6000000000000001E-2</v>
      </c>
      <c r="G70" s="361"/>
      <c r="H70" s="311"/>
      <c r="I70" s="1292"/>
      <c r="J70" s="2035"/>
      <c r="K70" s="3037"/>
      <c r="L70" s="3038"/>
      <c r="M70" s="3038"/>
      <c r="N70" s="3039" t="s">
        <v>2889</v>
      </c>
      <c r="O70" s="3038"/>
      <c r="P70" s="3040"/>
      <c r="Q70" s="2028"/>
      <c r="R70" s="2028"/>
      <c r="S70" s="2028"/>
      <c r="T70" s="2028"/>
      <c r="U70" s="2028"/>
      <c r="V70" s="2028"/>
    </row>
    <row r="71" spans="1:22" ht="12" customHeight="1">
      <c r="A71" s="359" t="s">
        <v>404</v>
      </c>
      <c r="B71" s="3710" t="s">
        <v>405</v>
      </c>
      <c r="C71" s="3722"/>
      <c r="D71" s="358">
        <f ca="1">ROUND(D63*'数据-取费表'!B41/(1+'数据-取费表'!C42),0)</f>
        <v>704</v>
      </c>
      <c r="E71" s="17" t="s">
        <v>398</v>
      </c>
      <c r="F71" s="360">
        <f>'数据-取费表'!B41</f>
        <v>5.6000000000000001E-2</v>
      </c>
      <c r="G71" s="361"/>
      <c r="H71" s="311"/>
      <c r="I71" s="1292"/>
      <c r="J71" s="2035"/>
      <c r="K71" s="3036" t="s">
        <v>399</v>
      </c>
      <c r="L71" s="3675" t="s">
        <v>400</v>
      </c>
      <c r="M71" s="3675"/>
      <c r="N71" s="3036" t="s">
        <v>401</v>
      </c>
      <c r="O71" s="3036" t="s">
        <v>402</v>
      </c>
      <c r="P71" s="3036" t="s">
        <v>403</v>
      </c>
      <c r="Q71" s="2028"/>
      <c r="R71" s="2028"/>
      <c r="S71" s="2028"/>
      <c r="T71" s="2028"/>
      <c r="U71" s="2028"/>
      <c r="V71" s="2028"/>
    </row>
    <row r="72" spans="1:22" ht="12" customHeight="1">
      <c r="A72" s="359" t="s">
        <v>407</v>
      </c>
      <c r="B72" s="3710" t="s">
        <v>408</v>
      </c>
      <c r="C72" s="3722"/>
      <c r="D72" s="358">
        <f ca="1">C86</f>
        <v>592</v>
      </c>
      <c r="E72" s="73" t="s">
        <v>409</v>
      </c>
      <c r="F72" s="360">
        <f>'数据-取费表'!B41</f>
        <v>5.6000000000000001E-2</v>
      </c>
      <c r="G72" s="361"/>
      <c r="H72" s="1298"/>
      <c r="I72" s="1292"/>
      <c r="J72" s="2035"/>
      <c r="K72" s="1976">
        <v>1</v>
      </c>
      <c r="L72" s="3672" t="s">
        <v>406</v>
      </c>
      <c r="M72" s="3672"/>
      <c r="N72" s="1296">
        <f ca="1">D66</f>
        <v>704</v>
      </c>
      <c r="O72" s="1859" t="str">
        <f>E66</f>
        <v>销售额×税（费）率</v>
      </c>
      <c r="P72" s="1297">
        <f>F66</f>
        <v>5.6000000000000001E-2</v>
      </c>
      <c r="Q72" s="2028"/>
      <c r="R72" s="2028"/>
      <c r="S72" s="2028"/>
      <c r="T72" s="2028"/>
      <c r="U72" s="2028"/>
      <c r="V72" s="2028"/>
    </row>
    <row r="73" spans="1:22" ht="24" customHeight="1">
      <c r="A73" s="3698" t="s">
        <v>411</v>
      </c>
      <c r="B73" s="3699"/>
      <c r="C73" s="3699"/>
      <c r="D73" s="362">
        <f>IF(H73="个人住宅",0,ROUND(D63*I73,0))</f>
        <v>0</v>
      </c>
      <c r="E73" s="17" t="s">
        <v>412</v>
      </c>
      <c r="F73" s="360" t="str">
        <f>IF(H73="正常",I73,"免征")</f>
        <v>免征</v>
      </c>
      <c r="G73" s="361"/>
      <c r="H73" s="191" t="s">
        <v>2456</v>
      </c>
      <c r="I73" s="360">
        <f>'数据-取费表'!B49</f>
        <v>5.0000000000000001E-4</v>
      </c>
      <c r="J73" s="2035"/>
      <c r="K73" s="1976">
        <v>2</v>
      </c>
      <c r="L73" s="3672" t="s">
        <v>410</v>
      </c>
      <c r="M73" s="3672"/>
      <c r="N73" s="1296">
        <f t="shared" ref="N73:P74" si="1">D73</f>
        <v>0</v>
      </c>
      <c r="O73" s="1859" t="str">
        <f t="shared" si="1"/>
        <v>销售额×税（费）率</v>
      </c>
      <c r="P73" s="1297" t="str">
        <f t="shared" si="1"/>
        <v>免征</v>
      </c>
      <c r="Q73" s="2028"/>
      <c r="R73" s="2028"/>
      <c r="S73" s="2028"/>
      <c r="T73" s="2028"/>
      <c r="U73" s="2028"/>
      <c r="V73" s="2028"/>
    </row>
    <row r="74" spans="1:22" ht="24.75">
      <c r="A74" s="3698" t="s">
        <v>415</v>
      </c>
      <c r="B74" s="3699"/>
      <c r="C74" s="3699"/>
      <c r="D74" s="362">
        <f ca="1">IF(H74="个人住宅",D75,D76)</f>
        <v>6815</v>
      </c>
      <c r="E74" s="17" t="s">
        <v>416</v>
      </c>
      <c r="F74" s="360" t="str">
        <f>IF(H74="正常",F76,"免征")</f>
        <v>——</v>
      </c>
      <c r="G74" s="983" t="s">
        <v>417</v>
      </c>
      <c r="H74" s="363" t="s">
        <v>413</v>
      </c>
      <c r="I74" s="42"/>
      <c r="J74" s="2035"/>
      <c r="K74" s="1976">
        <v>3</v>
      </c>
      <c r="L74" s="3672" t="s">
        <v>414</v>
      </c>
      <c r="M74" s="3672"/>
      <c r="N74" s="1296">
        <f t="shared" ca="1" si="1"/>
        <v>6815</v>
      </c>
      <c r="O74" s="1859" t="str">
        <f t="shared" si="1"/>
        <v>增值额×税（费）率</v>
      </c>
      <c r="P74" s="1299" t="str">
        <f t="shared" si="1"/>
        <v>——</v>
      </c>
      <c r="Q74" s="2028"/>
      <c r="R74" s="2028"/>
      <c r="S74" s="2028"/>
      <c r="T74" s="2028"/>
      <c r="U74" s="2028"/>
      <c r="V74" s="2028"/>
    </row>
    <row r="75" spans="1:22" ht="24">
      <c r="A75" s="359" t="s">
        <v>418</v>
      </c>
      <c r="B75" s="3679" t="s">
        <v>419</v>
      </c>
      <c r="C75" s="3680"/>
      <c r="D75" s="364">
        <v>0</v>
      </c>
      <c r="E75" s="41" t="s">
        <v>420</v>
      </c>
      <c r="F75" s="365"/>
      <c r="G75" s="361"/>
      <c r="H75" s="42"/>
      <c r="I75" s="42"/>
      <c r="J75" s="2035"/>
      <c r="K75" s="3029">
        <f>IF(H77="非个人房产","",4)</f>
        <v>4</v>
      </c>
      <c r="L75" s="3672" t="str">
        <f>IF(H77="非个人房产","——","个人所得税")</f>
        <v>个人所得税</v>
      </c>
      <c r="M75" s="3672"/>
      <c r="N75" s="1300">
        <f ca="1">D77</f>
        <v>132</v>
      </c>
      <c r="O75" s="1872" t="str">
        <f>E77</f>
        <v>销售额×税（费）率</v>
      </c>
      <c r="P75" s="1301">
        <f>F77</f>
        <v>0.01</v>
      </c>
      <c r="Q75" s="2028"/>
      <c r="R75" s="2028"/>
      <c r="S75" s="2028"/>
      <c r="T75" s="2028"/>
      <c r="U75" s="2028"/>
      <c r="V75" s="2028"/>
    </row>
    <row r="76" spans="1:22" ht="24.75">
      <c r="A76" s="359" t="s">
        <v>396</v>
      </c>
      <c r="B76" s="3679" t="s">
        <v>422</v>
      </c>
      <c r="C76" s="3721"/>
      <c r="D76" s="362">
        <f ca="1">IF(H76="转让取得",C99,C115)</f>
        <v>6815</v>
      </c>
      <c r="E76" s="17" t="s">
        <v>423</v>
      </c>
      <c r="F76" s="53" t="s">
        <v>21</v>
      </c>
      <c r="G76" s="361"/>
      <c r="H76" s="363" t="s">
        <v>424</v>
      </c>
      <c r="I76" s="42"/>
      <c r="J76" s="2035"/>
      <c r="K76" s="3029" t="str">
        <f>IF(项目基本情况!K6="上海银行",IF(K75="",4,K75+1),"")</f>
        <v/>
      </c>
      <c r="L76" s="3660" t="str">
        <f>IF(项目基本情况!K6="上海银行","其他处置费用","")</f>
        <v/>
      </c>
      <c r="M76" s="3661"/>
      <c r="N76" s="1296" t="str">
        <f>IF(项目基本情况!K6="上海银行",N89,"")</f>
        <v/>
      </c>
      <c r="O76" s="3662" t="str">
        <f>IF(项目基本情况!K6="上海银行","包含处置中涉及的律师、诉讼、拍卖、评估等费用","")</f>
        <v/>
      </c>
      <c r="P76" s="3663"/>
      <c r="Q76" s="2028"/>
      <c r="R76" s="2028"/>
      <c r="S76" s="2028"/>
      <c r="T76" s="2028"/>
      <c r="U76" s="2028"/>
      <c r="V76" s="2028"/>
    </row>
    <row r="77" spans="1:22" ht="26.25" thickBot="1">
      <c r="A77" s="3690" t="s">
        <v>426</v>
      </c>
      <c r="B77" s="3691"/>
      <c r="C77" s="3691"/>
      <c r="D77" s="366">
        <f ca="1">IF(H77="非个人房产","——",IF(H77="个人住宅",0,ROUND(D63*I77,0)))</f>
        <v>132</v>
      </c>
      <c r="E77" s="367" t="str">
        <f>IF(H77="非个人房产","——","销售额×税（费）率")</f>
        <v>销售额×税（费）率</v>
      </c>
      <c r="F77" s="368">
        <f>IF(H77="非个人房产","——",IF(H77="个人住宅","免征",I77))</f>
        <v>0.01</v>
      </c>
      <c r="G77" s="984" t="s">
        <v>417</v>
      </c>
      <c r="H77" s="363" t="s">
        <v>2885</v>
      </c>
      <c r="I77" s="369">
        <v>0.01</v>
      </c>
      <c r="J77" s="2035"/>
      <c r="K77" s="3686">
        <f>IF(AND(K75="",K76=""),4,IF(项目基本情况!K6="上海银行",K76+1,K75+1))</f>
        <v>5</v>
      </c>
      <c r="L77" s="3672" t="s">
        <v>2886</v>
      </c>
      <c r="M77" s="3035" t="s">
        <v>421</v>
      </c>
      <c r="N77" s="1302"/>
      <c r="O77" s="1303">
        <f ca="1">SUMIF(N72:N76,"&lt;9e307")</f>
        <v>7651</v>
      </c>
      <c r="P77" s="1304"/>
      <c r="Q77" s="3033">
        <f ca="1">O77/N69</f>
        <v>0.34785178449647647</v>
      </c>
      <c r="R77" s="2028"/>
      <c r="S77" s="2028"/>
      <c r="T77" s="2028"/>
      <c r="U77" s="2028"/>
      <c r="V77" s="2028"/>
    </row>
    <row r="78" spans="1:22" ht="12" customHeight="1">
      <c r="A78" s="1305"/>
      <c r="B78" s="311"/>
      <c r="C78" s="311"/>
      <c r="D78" s="311"/>
      <c r="E78" s="42"/>
      <c r="F78" s="42"/>
      <c r="G78" s="42"/>
      <c r="H78" s="1003"/>
      <c r="I78" s="311"/>
      <c r="J78" s="2035"/>
      <c r="K78" s="3686"/>
      <c r="L78" s="3672"/>
      <c r="M78" s="3035" t="s">
        <v>425</v>
      </c>
      <c r="N78" s="1302"/>
      <c r="O78" s="1303" t="str">
        <f ca="1">NUMBERSTRING(INT(O77*10000),2)&amp;"元整"</f>
        <v>柒仟陆佰伍拾壹万元整</v>
      </c>
      <c r="P78" s="1304"/>
      <c r="Q78" s="2028"/>
      <c r="R78" s="2028"/>
      <c r="S78" s="2028"/>
      <c r="T78" s="2028"/>
      <c r="U78" s="2028"/>
      <c r="V78" s="2028"/>
    </row>
    <row r="79" spans="1:22" ht="13.5" thickBot="1">
      <c r="A79" s="3676" t="s">
        <v>427</v>
      </c>
      <c r="B79" s="3676"/>
      <c r="C79" s="3676"/>
      <c r="D79" s="3676"/>
      <c r="E79" s="3676"/>
      <c r="F79" s="42"/>
      <c r="G79" s="42"/>
      <c r="H79" s="1003"/>
      <c r="I79" s="311"/>
      <c r="J79" s="2035"/>
      <c r="K79" s="3670">
        <f>K77+1</f>
        <v>6</v>
      </c>
      <c r="L79" s="3672" t="s">
        <v>2887</v>
      </c>
      <c r="M79" s="3035" t="s">
        <v>421</v>
      </c>
      <c r="N79" s="1302"/>
      <c r="O79" s="1303">
        <f ca="1">N69-O77</f>
        <v>14344</v>
      </c>
      <c r="P79" s="1304"/>
      <c r="Q79" s="2028"/>
      <c r="R79" s="2028"/>
      <c r="S79" s="2028"/>
      <c r="T79" s="2028"/>
      <c r="U79" s="2028"/>
      <c r="V79" s="2028"/>
    </row>
    <row r="80" spans="1:22" ht="25.5">
      <c r="A80" s="3677" t="s">
        <v>428</v>
      </c>
      <c r="B80" s="3678"/>
      <c r="C80" s="994"/>
      <c r="D80" s="994" t="s">
        <v>429</v>
      </c>
      <c r="E80" s="370" t="s">
        <v>430</v>
      </c>
      <c r="F80" s="42"/>
      <c r="G80" s="42"/>
      <c r="H80" s="1003"/>
      <c r="I80" s="311"/>
      <c r="J80" s="2028"/>
      <c r="K80" s="3671"/>
      <c r="L80" s="3672"/>
      <c r="M80" s="3035" t="s">
        <v>425</v>
      </c>
      <c r="N80" s="1302"/>
      <c r="O80" s="1303" t="str">
        <f ca="1">NUMBERSTRING(INT(O79*10000),2)&amp;"元整"</f>
        <v>壹亿肆仟叁佰肆拾肆万元整</v>
      </c>
      <c r="P80" s="1304"/>
      <c r="Q80" s="2028"/>
      <c r="R80" s="2028"/>
      <c r="S80" s="2028"/>
      <c r="T80" s="2028"/>
      <c r="U80" s="2028"/>
      <c r="V80" s="2028"/>
    </row>
    <row r="81" spans="1:26" ht="13.5" thickBot="1">
      <c r="A81" s="381" t="s">
        <v>1824</v>
      </c>
      <c r="B81" s="371" t="s">
        <v>431</v>
      </c>
      <c r="C81" s="372">
        <f ca="1">ROUND((C82+C83)/(1+'数据-取费表'!C42),0)</f>
        <v>12569</v>
      </c>
      <c r="D81" s="373"/>
      <c r="E81" s="374"/>
      <c r="F81" s="42"/>
      <c r="G81" s="42"/>
      <c r="H81" s="1003"/>
      <c r="I81" s="311"/>
      <c r="J81" s="2028"/>
      <c r="K81" s="3029">
        <f>K79+1</f>
        <v>7</v>
      </c>
      <c r="L81" s="3684" t="s">
        <v>2888</v>
      </c>
      <c r="M81" s="3685"/>
      <c r="N81" s="1306"/>
      <c r="O81" s="1307">
        <f ca="1">ROUND(O79*10000/'数据-汇总表'!E3,0)</f>
        <v>1877</v>
      </c>
      <c r="P81" s="1308"/>
      <c r="Q81" s="2028"/>
      <c r="R81" s="2028"/>
      <c r="S81" s="2028"/>
      <c r="T81" s="2028"/>
      <c r="U81" s="2028"/>
      <c r="V81" s="2028"/>
    </row>
    <row r="82" spans="1:26" ht="13.5" thickTop="1">
      <c r="A82" s="375" t="s">
        <v>1825</v>
      </c>
      <c r="B82" s="376" t="s">
        <v>432</v>
      </c>
      <c r="C82" s="377">
        <f ca="1">D63</f>
        <v>13197</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659" t="s">
        <v>2875</v>
      </c>
      <c r="L83" s="3041" t="s">
        <v>2876</v>
      </c>
      <c r="M83" s="3031">
        <f ca="1">IF(N69&gt;10000,N69*0.5%,IF(AND(N69&gt;1000,N69&lt;=10000),N69*1%,IF(AND(N69&gt;100,N69&lt;=1000),N69*3%,IF(AND(N69&gt;10,N69&lt;=100),N69*5%,N69*8%))))</f>
        <v>109.97500000000001</v>
      </c>
      <c r="N83" s="53">
        <f ca="1">ROUND(M83,1)</f>
        <v>110</v>
      </c>
      <c r="O83" s="3034"/>
      <c r="P83" s="2028"/>
      <c r="Q83" s="2028"/>
      <c r="R83" s="2028"/>
      <c r="S83" s="2028"/>
      <c r="T83" s="2028"/>
      <c r="U83" s="2028"/>
      <c r="V83" s="2028"/>
    </row>
    <row r="84" spans="1:26" ht="12.75">
      <c r="A84" s="381" t="s">
        <v>1827</v>
      </c>
      <c r="B84" s="382" t="s">
        <v>434</v>
      </c>
      <c r="C84" s="383">
        <v>2000</v>
      </c>
      <c r="D84" s="384" t="s">
        <v>19</v>
      </c>
      <c r="E84" s="3076" t="s">
        <v>2942</v>
      </c>
      <c r="F84" s="42"/>
      <c r="G84" s="42"/>
      <c r="H84" s="1003"/>
      <c r="I84" s="311"/>
      <c r="J84" s="2028"/>
      <c r="K84" s="3659"/>
      <c r="L84" s="3041" t="s">
        <v>2877</v>
      </c>
      <c r="M84" s="3031">
        <f ca="1">IF(N69&gt;2000,N69*0.5%,IF(AND(N69&gt;1000,N69&lt;=2000),N69*0.6%,IF(AND(N69&gt;500,N69&lt;=1000),N69*0.7%,IF(AND(N69&gt;200,N69&lt;=500),N69*0.8%,IF(AND(N69&gt;100,N69&lt;=200),N69*0.9%,IF(AND(N69&gt;50,N69&lt;=100),N69*1%,IF(AND(N69&gt;20,N69&lt;=50),N69*1.5%,IF(AND(N69&gt;10,N69&lt;=20),N69*2%,IF(AND(N69&gt;1,N69&lt;=10),N69*2.5%)))))))))</f>
        <v>109.97500000000001</v>
      </c>
      <c r="N84" s="53">
        <f t="shared" ref="N84:N85" ca="1" si="2">ROUND(M84,1)</f>
        <v>110</v>
      </c>
      <c r="O84" s="2028" t="s">
        <v>2878</v>
      </c>
      <c r="P84" s="2028"/>
      <c r="Q84" s="2028"/>
      <c r="R84" s="2028"/>
      <c r="S84" s="2028"/>
      <c r="T84" s="2028"/>
      <c r="U84" s="2028"/>
      <c r="V84" s="2028"/>
    </row>
    <row r="85" spans="1:26" ht="12.75">
      <c r="A85" s="381" t="s">
        <v>1828</v>
      </c>
      <c r="B85" s="382" t="s">
        <v>435</v>
      </c>
      <c r="C85" s="385">
        <f ca="1">C81-C84</f>
        <v>10569</v>
      </c>
      <c r="D85" s="378" t="s">
        <v>19</v>
      </c>
      <c r="E85" s="379"/>
      <c r="F85" s="42"/>
      <c r="G85" s="42"/>
      <c r="H85" s="1003"/>
      <c r="I85" s="311"/>
      <c r="J85" s="2028"/>
      <c r="K85" s="3659"/>
      <c r="L85" s="3041" t="s">
        <v>2879</v>
      </c>
      <c r="M85" s="3031">
        <f ca="1">IF(N69&gt;1000,N69*0.1%,IF(AND(N69&gt;500,N69&lt;=1000),N69*0.5%,IF(AND(N69&gt;50,N69&lt;=500),N69*1%,IF(AND(N69&gt;1,N69&lt;=50),N69*1.5%))))</f>
        <v>21.995000000000001</v>
      </c>
      <c r="N85" s="53">
        <f t="shared" ca="1" si="2"/>
        <v>22</v>
      </c>
      <c r="O85" s="2028" t="s">
        <v>2878</v>
      </c>
      <c r="P85" s="2028"/>
      <c r="Q85" s="2028"/>
      <c r="R85" s="2028"/>
      <c r="S85" s="2028"/>
      <c r="T85" s="2028"/>
      <c r="U85" s="2028"/>
      <c r="V85" s="2028"/>
    </row>
    <row r="86" spans="1:26" ht="13.5" thickBot="1">
      <c r="A86" s="386" t="s">
        <v>1829</v>
      </c>
      <c r="B86" s="387" t="s">
        <v>436</v>
      </c>
      <c r="C86" s="388">
        <f ca="1">IF(C85&lt;=0,0,ROUND(C85*D86,0))</f>
        <v>592</v>
      </c>
      <c r="D86" s="389">
        <f>'数据-取费表'!B41</f>
        <v>5.6000000000000001E-2</v>
      </c>
      <c r="E86" s="390"/>
      <c r="F86" s="42"/>
      <c r="G86" s="42"/>
      <c r="H86" s="1003"/>
      <c r="I86" s="311"/>
      <c r="J86" s="2028"/>
      <c r="K86" s="3659"/>
      <c r="L86" s="3041" t="s">
        <v>2880</v>
      </c>
      <c r="M86" s="3031">
        <f ca="1">N69*0.5%</f>
        <v>109.97500000000001</v>
      </c>
      <c r="N86" s="53">
        <f ca="1">IF(M86&gt;0.5,0.5,ROUND(M86,0))</f>
        <v>0.5</v>
      </c>
      <c r="O86" s="2028" t="s">
        <v>2881</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659"/>
      <c r="L87" s="3041" t="s">
        <v>2882</v>
      </c>
      <c r="M87" s="3031">
        <f ca="1">IF(N69&gt;=10000,(8.25+(N69-10000)*0.01%),IF(AND(N69&gt;=8000,N69&lt;10000),(7.85+(N69-8000)*0.02%),IF(AND(N69&gt;=5000,N69&lt;8000),(6.65+(N69-5000)*0.04%),IF(AND(N69&gt;=2000,N69&lt;5000),(4.25+(PN69-2000)*0.08%),IF(AND(N69&gt;=1000,N69&lt;2000),(2.75+(N69-1000)*0.15%),IF(AND(N69&gt;=100,N69&lt;1000),(0.5+(N69-100)*0.25%),IF(AND(N69&gt;0,N69&lt;100),N69*0.5%)))))))</f>
        <v>9.4495000000000005</v>
      </c>
      <c r="N87" s="53">
        <f ca="1">ROUND(M87*0.9,1)</f>
        <v>8.5</v>
      </c>
      <c r="O87" s="3034"/>
      <c r="P87" s="311"/>
      <c r="Q87" s="2028"/>
      <c r="R87" s="2028"/>
      <c r="S87" s="2028"/>
      <c r="T87" s="2028"/>
      <c r="U87" s="2028"/>
      <c r="V87" s="2028"/>
      <c r="W87" s="292"/>
      <c r="X87" s="292"/>
      <c r="Y87" s="292"/>
      <c r="Z87" s="292"/>
    </row>
    <row r="88" spans="1:26" s="1314" customFormat="1" ht="15" thickBot="1">
      <c r="A88" s="3713" t="s">
        <v>437</v>
      </c>
      <c r="B88" s="3714"/>
      <c r="C88" s="3714"/>
      <c r="D88" s="3714"/>
      <c r="E88" s="3714"/>
      <c r="F88" s="3714"/>
      <c r="G88" s="3714"/>
      <c r="H88" s="3714"/>
      <c r="I88" s="1315"/>
      <c r="J88" s="2036"/>
      <c r="K88" s="3659"/>
      <c r="L88" s="3041" t="s">
        <v>2883</v>
      </c>
      <c r="M88" s="3031">
        <f ca="1">IF(N69&gt;10000,N69*0.5%,IF(AND(N69&gt;5000,N69&lt;=10000),N69*1%,IF(AND(N69&gt;1000,N69&lt;=5000),N69*2%,IF(AND(N69&gt;200,N69&lt;=1000),N69*3%,N69*5%))))</f>
        <v>109.97500000000001</v>
      </c>
      <c r="N88" s="53">
        <f ca="1">ROUND(M88,1)</f>
        <v>110</v>
      </c>
      <c r="O88" s="3034"/>
      <c r="P88" s="11"/>
      <c r="Q88" s="2033"/>
      <c r="R88" s="2033"/>
      <c r="S88" s="2033"/>
      <c r="T88" s="2033"/>
      <c r="U88" s="2033"/>
      <c r="V88" s="2033"/>
      <c r="W88" s="2037"/>
      <c r="X88" s="2037"/>
      <c r="Y88" s="2037"/>
      <c r="Z88" s="2037"/>
    </row>
    <row r="89" spans="1:26" s="1314" customFormat="1" ht="14.25">
      <c r="A89" s="3677" t="s">
        <v>428</v>
      </c>
      <c r="B89" s="3678"/>
      <c r="C89" s="994"/>
      <c r="D89" s="994" t="s">
        <v>429</v>
      </c>
      <c r="E89" s="391" t="s">
        <v>438</v>
      </c>
      <c r="F89" s="392"/>
      <c r="G89" s="392"/>
      <c r="H89" s="393"/>
      <c r="I89" s="1316"/>
      <c r="J89" s="2038"/>
      <c r="K89" s="3659"/>
      <c r="L89" s="3041" t="s">
        <v>27</v>
      </c>
      <c r="M89" s="3032"/>
      <c r="N89" s="53">
        <f ca="1">ROUND(SUM(N83:N88),0)</f>
        <v>361</v>
      </c>
      <c r="O89" s="3042">
        <f ca="1">N89/N69</f>
        <v>1.6412821095703568E-2</v>
      </c>
      <c r="P89" s="2033"/>
      <c r="Q89" s="2033"/>
      <c r="R89" s="2033"/>
      <c r="S89" s="2033"/>
      <c r="T89" s="2033"/>
      <c r="U89" s="2033"/>
      <c r="V89" s="2033"/>
      <c r="W89" s="2037"/>
      <c r="X89" s="2037"/>
      <c r="Y89" s="2037"/>
      <c r="Z89" s="2037"/>
    </row>
    <row r="90" spans="1:26" s="1314" customFormat="1" ht="14.25">
      <c r="A90" s="381" t="s">
        <v>1824</v>
      </c>
      <c r="B90" s="382" t="s">
        <v>439</v>
      </c>
      <c r="C90" s="385">
        <f ca="1">ROUND(D63/(1+'数据-取费表'!C42),0)</f>
        <v>12569</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440</v>
      </c>
      <c r="C91" s="385">
        <f ca="1">C92+C96</f>
        <v>2636</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710" t="s">
        <v>447</v>
      </c>
      <c r="F94" s="3711"/>
      <c r="G94" s="3711"/>
      <c r="H94" s="3712"/>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75</v>
      </c>
      <c r="D96" s="406">
        <f>'数据-取费表'!B43</f>
        <v>6.000000000000001E-3</v>
      </c>
      <c r="E96" s="3700" t="s">
        <v>2429</v>
      </c>
      <c r="F96" s="3701"/>
      <c r="G96" s="3701"/>
      <c r="H96" s="3702"/>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1836</v>
      </c>
      <c r="B97" s="382" t="s">
        <v>451</v>
      </c>
      <c r="C97" s="385">
        <f ca="1">C90-C91</f>
        <v>9933</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1837</v>
      </c>
      <c r="B98" s="382" t="s">
        <v>452</v>
      </c>
      <c r="C98" s="407">
        <f ca="1">IF(C97&lt;=0,0,C97/C91)</f>
        <v>3.7682094081942337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1838</v>
      </c>
      <c r="B99" s="387" t="s">
        <v>453</v>
      </c>
      <c r="C99" s="408">
        <f ca="1">ROUND(IF(C97&lt;=0,0,IF(C98&gt;=200%,C97*60%-C91*35%,IF(C98&gt;=100%,C97*50%-C91*15%,IF(C98&gt;=50%,C97*40%-C91*5%,IF(C98&lt;50%,C97*30%,0))))),0)</f>
        <v>5037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713" t="s">
        <v>454</v>
      </c>
      <c r="B101" s="3714"/>
      <c r="C101" s="3714"/>
      <c r="D101" s="3714"/>
      <c r="E101" s="3714"/>
      <c r="F101" s="3714"/>
      <c r="G101" s="3714"/>
      <c r="H101" s="3714"/>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677" t="s">
        <v>428</v>
      </c>
      <c r="B102" s="3678"/>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439</v>
      </c>
      <c r="C103" s="385">
        <f ca="1">ROUND(D63/(1+'数据-取费表'!C42),0)</f>
        <v>12569</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440</v>
      </c>
      <c r="C104" s="385">
        <f ca="1">IF(H106="仅含出让金",C105+C108+C109+C110+C111+C112,C105+C109+C110+C111+C112)</f>
        <v>765</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456</v>
      </c>
      <c r="C106" s="416">
        <v>555</v>
      </c>
      <c r="D106" s="406"/>
      <c r="E106" s="417" t="s">
        <v>457</v>
      </c>
      <c r="F106" s="986"/>
      <c r="G106" s="418" t="s">
        <v>458</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1839</v>
      </c>
      <c r="B109" s="376" t="s">
        <v>461</v>
      </c>
      <c r="C109" s="405">
        <f>IF(H109="——",IF(F1="现房",'剩余法-现房'!C18,'剩余法-待开发'!C18),I109)</f>
        <v>55</v>
      </c>
      <c r="D109" s="406"/>
      <c r="E109" s="3703" t="s">
        <v>462</v>
      </c>
      <c r="F109" s="3701"/>
      <c r="G109" s="3701"/>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1840</v>
      </c>
      <c r="B110" s="376" t="s">
        <v>463</v>
      </c>
      <c r="C110" s="405">
        <f>ROUND((C105+C108+C109)*D110,0)</f>
        <v>63</v>
      </c>
      <c r="D110" s="406">
        <v>0.1</v>
      </c>
      <c r="E110" s="3703" t="s">
        <v>464</v>
      </c>
      <c r="F110" s="3701"/>
      <c r="G110" s="3701"/>
      <c r="H110" s="3702"/>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1841</v>
      </c>
      <c r="B111" s="376" t="s">
        <v>450</v>
      </c>
      <c r="C111" s="405">
        <f ca="1">ROUND(D63*D111/(1+'数据-取费表'!C42),0)</f>
        <v>75</v>
      </c>
      <c r="D111" s="406">
        <f>'数据-取费表'!B43</f>
        <v>6.000000000000001E-3</v>
      </c>
      <c r="E111" s="3700" t="s">
        <v>2429</v>
      </c>
      <c r="F111" s="3701"/>
      <c r="G111" s="3701"/>
      <c r="H111" s="3702"/>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1842</v>
      </c>
      <c r="B112" s="376" t="s">
        <v>465</v>
      </c>
      <c r="C112" s="405">
        <f>ROUND(C108*D112,0)</f>
        <v>0</v>
      </c>
      <c r="D112" s="406">
        <v>0.2</v>
      </c>
      <c r="E112" s="3703" t="s">
        <v>2454</v>
      </c>
      <c r="F112" s="3701"/>
      <c r="G112" s="3701"/>
      <c r="H112" s="3702"/>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1836</v>
      </c>
      <c r="B113" s="382" t="s">
        <v>451</v>
      </c>
      <c r="C113" s="385">
        <f ca="1">ROUND(C103-C104,0)</f>
        <v>11804</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1837</v>
      </c>
      <c r="B114" s="382" t="s">
        <v>452</v>
      </c>
      <c r="C114" s="407">
        <f ca="1">IF(C113&lt;=0,0,C113/C104)</f>
        <v>15.430065359477124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1838</v>
      </c>
      <c r="B115" s="387" t="s">
        <v>453</v>
      </c>
      <c r="C115" s="408">
        <f ca="1">ROUND(IF(C113&lt;=0,0,IF(C114&gt;=200%,C113*60%-C104*35%,IF(C114&gt;=100%,C113*50%-C104*15%,IF(C114&gt;=50%,C113*40%-C104*5%,IF(C114&lt;50%,C113*30%,0))))),0)</f>
        <v>6815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K13" sqref="K13"/>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17261</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2259</v>
      </c>
      <c r="C3" s="2061"/>
      <c r="D3" s="2549"/>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7907</v>
      </c>
      <c r="C4" s="2061"/>
      <c r="D4" s="2549"/>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527</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758" t="s">
        <v>522</v>
      </c>
      <c r="D6" s="3759"/>
      <c r="E6" s="3758" t="s">
        <v>523</v>
      </c>
      <c r="F6" s="3759"/>
      <c r="G6" s="3758" t="s">
        <v>524</v>
      </c>
      <c r="H6" s="3759"/>
      <c r="I6" s="3758" t="s">
        <v>525</v>
      </c>
      <c r="J6" s="3759"/>
      <c r="K6" s="514" t="s">
        <v>526</v>
      </c>
      <c r="L6" s="2133"/>
      <c r="M6" s="2132"/>
      <c r="N6" s="2132"/>
      <c r="O6" s="2134"/>
      <c r="P6" s="3760" t="s">
        <v>527</v>
      </c>
      <c r="Q6" s="3761"/>
      <c r="R6" s="3746" t="s">
        <v>523</v>
      </c>
      <c r="S6" s="3747"/>
      <c r="T6" s="3746" t="s">
        <v>524</v>
      </c>
      <c r="U6" s="3747"/>
      <c r="V6" s="3766" t="s">
        <v>525</v>
      </c>
      <c r="W6" s="3766"/>
      <c r="X6" s="1568"/>
      <c r="Y6" s="3746" t="s">
        <v>527</v>
      </c>
      <c r="Z6" s="3747"/>
      <c r="AA6" s="3741" t="s">
        <v>523</v>
      </c>
      <c r="AB6" s="3742" t="s">
        <v>524</v>
      </c>
      <c r="AC6" s="3741" t="s">
        <v>525</v>
      </c>
    </row>
    <row r="7" spans="1:30" ht="20.25">
      <c r="A7" s="515"/>
      <c r="B7" s="516"/>
      <c r="C7" s="3769" t="s">
        <v>2929</v>
      </c>
      <c r="D7" s="3770"/>
      <c r="E7" s="3769" t="str">
        <f>Sheet1!A3</f>
        <v>规划道路东侧、规划区间路南侧、联盟南路西侧、南江路北侧</v>
      </c>
      <c r="F7" s="3770"/>
      <c r="G7" s="3769" t="str">
        <f>Sheet1!$A$10</f>
        <v>新坝镇大全路南侧、浮玉花园北侧</v>
      </c>
      <c r="H7" s="3770"/>
      <c r="I7" s="3769" t="str">
        <f>Sheet1!$A$35</f>
        <v>迎宾大道北侧、菲尔斯金陵大酒店西北侧</v>
      </c>
      <c r="J7" s="3770"/>
      <c r="K7" s="514"/>
      <c r="L7" s="2133"/>
      <c r="M7" s="2132"/>
      <c r="N7" s="2132"/>
      <c r="O7" s="2134"/>
      <c r="P7" s="3762"/>
      <c r="Q7" s="3763"/>
      <c r="R7" s="3748"/>
      <c r="S7" s="3749"/>
      <c r="T7" s="3748"/>
      <c r="U7" s="3749"/>
      <c r="V7" s="3766"/>
      <c r="W7" s="3766"/>
      <c r="X7" s="1568"/>
      <c r="Y7" s="3748"/>
      <c r="Z7" s="3749"/>
      <c r="AA7" s="3742"/>
      <c r="AB7" s="3742"/>
      <c r="AC7" s="3742"/>
    </row>
    <row r="8" spans="1:30" ht="21" thickBot="1">
      <c r="A8" s="515"/>
      <c r="B8" s="516"/>
      <c r="C8" s="3771" t="s">
        <v>2933</v>
      </c>
      <c r="D8" s="3772"/>
      <c r="E8" s="3771" t="s">
        <v>2933</v>
      </c>
      <c r="F8" s="3772"/>
      <c r="G8" s="3767" t="s">
        <v>2933</v>
      </c>
      <c r="H8" s="3768"/>
      <c r="I8" s="3767" t="s">
        <v>2933</v>
      </c>
      <c r="J8" s="3768"/>
      <c r="K8" s="514" t="s">
        <v>528</v>
      </c>
      <c r="L8" s="2133"/>
      <c r="M8" s="2132"/>
      <c r="N8" s="2132"/>
      <c r="O8" s="2134"/>
      <c r="P8" s="3764"/>
      <c r="Q8" s="3765"/>
      <c r="R8" s="3748"/>
      <c r="S8" s="3749"/>
      <c r="T8" s="3750"/>
      <c r="U8" s="3751"/>
      <c r="V8" s="3766"/>
      <c r="W8" s="3766"/>
      <c r="X8" s="1568"/>
      <c r="Y8" s="3750"/>
      <c r="Z8" s="3751"/>
      <c r="AA8" s="3743"/>
      <c r="AB8" s="3743"/>
      <c r="AC8" s="3743"/>
    </row>
    <row r="9" spans="1:30" s="1220" customFormat="1" ht="21" thickBot="1">
      <c r="A9" s="2890"/>
      <c r="B9" s="2897" t="s">
        <v>529</v>
      </c>
      <c r="C9" s="2889">
        <f>'数据-取费表'!B2</f>
        <v>43649</v>
      </c>
      <c r="D9" s="520">
        <v>100</v>
      </c>
      <c r="E9" s="521" t="str">
        <f>Sheet1!$H$4</f>
        <v>2019-05-23</v>
      </c>
      <c r="F9" s="522">
        <f>SUMIF(72:72,YEAR(E9)&amp;"-"&amp;INT((MONTH(E9)+2)/3),73:73)</f>
        <v>99.5</v>
      </c>
      <c r="G9" s="523" t="str">
        <f>Sheet1!$H$10</f>
        <v>2019-04-22</v>
      </c>
      <c r="H9" s="520">
        <f>SUMIF(72:72,YEAR(G9)&amp;"-"&amp;INT((MONTH(G9)+2)/3),73:73)</f>
        <v>99.5</v>
      </c>
      <c r="I9" s="523" t="str">
        <f>Sheet1!$H$35</f>
        <v>2017-12-21</v>
      </c>
      <c r="J9" s="520">
        <f>SUMIF(72:72,YEAR(I9)&amp;"-"&amp;INT((MONTH(I9)+2)/3),73:73)</f>
        <v>96.5</v>
      </c>
      <c r="K9" s="524"/>
      <c r="L9" s="2135"/>
      <c r="M9" s="2132"/>
      <c r="N9" s="2132"/>
      <c r="O9" s="2136"/>
      <c r="P9" s="3744" t="s">
        <v>530</v>
      </c>
      <c r="Q9" s="3753"/>
      <c r="R9" s="1569" t="s">
        <v>8</v>
      </c>
      <c r="S9" s="1570">
        <f t="shared" ref="S9:S17" si="0">F9</f>
        <v>99.5</v>
      </c>
      <c r="T9" s="1569" t="s">
        <v>8</v>
      </c>
      <c r="U9" s="1570">
        <f t="shared" ref="U9:U17" si="1">H9</f>
        <v>99.5</v>
      </c>
      <c r="V9" s="1569" t="s">
        <v>8</v>
      </c>
      <c r="W9" s="1570">
        <f t="shared" ref="W9:W17" si="2">J9</f>
        <v>96.5</v>
      </c>
      <c r="X9" s="1571"/>
      <c r="Y9" s="3744" t="s">
        <v>530</v>
      </c>
      <c r="Z9" s="3745"/>
      <c r="AA9" s="1572">
        <f>D9/F9</f>
        <v>1.0050251256281406</v>
      </c>
      <c r="AB9" s="1572">
        <f>D9/H9</f>
        <v>1.0050251256281406</v>
      </c>
      <c r="AC9" s="1572">
        <f>D9/J9</f>
        <v>1.0362694300518134</v>
      </c>
    </row>
    <row r="10" spans="1:30" s="1220" customFormat="1" ht="21" thickBot="1">
      <c r="A10" s="2891"/>
      <c r="B10" s="2898"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5"/>
      <c r="M10" s="2132"/>
      <c r="N10" s="2132"/>
      <c r="O10" s="2136"/>
      <c r="P10" s="3744" t="s">
        <v>533</v>
      </c>
      <c r="Q10" s="3745"/>
      <c r="R10" s="1569" t="s">
        <v>8</v>
      </c>
      <c r="S10" s="1570">
        <f t="shared" si="0"/>
        <v>100</v>
      </c>
      <c r="T10" s="1569" t="s">
        <v>8</v>
      </c>
      <c r="U10" s="1570">
        <f t="shared" si="1"/>
        <v>100</v>
      </c>
      <c r="V10" s="1569" t="s">
        <v>8</v>
      </c>
      <c r="W10" s="1570">
        <f t="shared" si="2"/>
        <v>100</v>
      </c>
      <c r="X10" s="1571"/>
      <c r="Y10" s="3744" t="s">
        <v>533</v>
      </c>
      <c r="Z10" s="3745"/>
      <c r="AA10" s="1572">
        <f t="shared" ref="AA10:AA47" si="3">D10/F10</f>
        <v>1</v>
      </c>
      <c r="AB10" s="1572">
        <f t="shared" ref="AB10:AB47" si="4">D10/H10</f>
        <v>1</v>
      </c>
      <c r="AC10" s="1572">
        <f t="shared" ref="AC10:AC47" si="5">D10/J10</f>
        <v>1</v>
      </c>
    </row>
    <row r="11" spans="1:30" s="1220" customFormat="1" ht="20.25">
      <c r="A11" s="2892"/>
      <c r="B11" s="2899" t="s">
        <v>2757</v>
      </c>
      <c r="C11" s="2886" t="s">
        <v>3279</v>
      </c>
      <c r="D11" s="254">
        <v>100</v>
      </c>
      <c r="E11" s="526" t="s">
        <v>923</v>
      </c>
      <c r="F11" s="254">
        <f>SUMIF(77:77,E11,78:78)-SUMIF(77:77,C11,78:78)+100</f>
        <v>98</v>
      </c>
      <c r="G11" s="526" t="s">
        <v>923</v>
      </c>
      <c r="H11" s="254">
        <f>SUMIF(77:77,G11,78:78)-SUMIF(77:77,C11,78:78)+100</f>
        <v>98</v>
      </c>
      <c r="I11" s="526" t="s">
        <v>923</v>
      </c>
      <c r="J11" s="254">
        <f>SUMIF(77:77,I11,78:78)-SUMIF(77:77,C11,78:78)+100</f>
        <v>98</v>
      </c>
      <c r="K11" s="524"/>
      <c r="L11" s="2135"/>
      <c r="M11" s="2132"/>
      <c r="N11" s="2132"/>
      <c r="O11" s="2137"/>
      <c r="P11" s="3752" t="s">
        <v>535</v>
      </c>
      <c r="Q11" s="1151" t="str">
        <f t="shared" ref="Q11:Q17" si="6">B11</f>
        <v>用途</v>
      </c>
      <c r="R11" s="1569" t="s">
        <v>8</v>
      </c>
      <c r="S11" s="1570">
        <f t="shared" si="0"/>
        <v>98</v>
      </c>
      <c r="T11" s="1569" t="s">
        <v>8</v>
      </c>
      <c r="U11" s="1570">
        <f t="shared" si="1"/>
        <v>98</v>
      </c>
      <c r="V11" s="1569" t="s">
        <v>8</v>
      </c>
      <c r="W11" s="1570">
        <f t="shared" si="2"/>
        <v>98</v>
      </c>
      <c r="X11" s="1571"/>
      <c r="Y11" s="3709" t="s">
        <v>536</v>
      </c>
      <c r="Z11" s="1150" t="str">
        <f t="shared" ref="Z11:Z17" si="7">Q11</f>
        <v>用途</v>
      </c>
      <c r="AA11" s="1572">
        <f t="shared" si="3"/>
        <v>1.0204081632653061</v>
      </c>
      <c r="AB11" s="1572">
        <f t="shared" si="4"/>
        <v>1.0204081632653061</v>
      </c>
      <c r="AC11" s="1572">
        <f t="shared" si="5"/>
        <v>1.0204081632653061</v>
      </c>
    </row>
    <row r="12" spans="1:30" s="1338" customFormat="1" ht="27">
      <c r="A12" s="2893"/>
      <c r="B12" s="2898" t="s">
        <v>2758</v>
      </c>
      <c r="C12" s="910" t="s">
        <v>3008</v>
      </c>
      <c r="D12" s="255">
        <v>100</v>
      </c>
      <c r="E12" s="910" t="s">
        <v>3008</v>
      </c>
      <c r="F12" s="255">
        <f>ROUND(100/'数据-取费表'!G16,0)</f>
        <v>100</v>
      </c>
      <c r="G12" s="910">
        <v>70</v>
      </c>
      <c r="H12" s="255">
        <f>ROUND(100/'数据-取费表'!G16,0)</f>
        <v>100</v>
      </c>
      <c r="I12" s="910">
        <v>70</v>
      </c>
      <c r="J12" s="255">
        <f>ROUND(100/'数据-取费表'!G16,0)</f>
        <v>100</v>
      </c>
      <c r="K12" s="531"/>
      <c r="L12" s="2138"/>
      <c r="M12" s="2132"/>
      <c r="N12" s="2132"/>
      <c r="O12" s="2139"/>
      <c r="P12" s="3752"/>
      <c r="Q12" s="1151" t="str">
        <f t="shared" si="6"/>
        <v>土地使用年限（年）</v>
      </c>
      <c r="R12" s="1569" t="s">
        <v>8</v>
      </c>
      <c r="S12" s="1570">
        <f t="shared" si="0"/>
        <v>100</v>
      </c>
      <c r="T12" s="1569" t="s">
        <v>8</v>
      </c>
      <c r="U12" s="1570">
        <f t="shared" si="1"/>
        <v>100</v>
      </c>
      <c r="V12" s="1569" t="s">
        <v>8</v>
      </c>
      <c r="W12" s="1570">
        <f t="shared" si="2"/>
        <v>100</v>
      </c>
      <c r="X12" s="1571"/>
      <c r="Y12" s="3709"/>
      <c r="Z12" s="1150" t="str">
        <f t="shared" si="7"/>
        <v>土地使用年限（年）</v>
      </c>
      <c r="AA12" s="1572">
        <f t="shared" si="3"/>
        <v>1</v>
      </c>
      <c r="AB12" s="1572">
        <f t="shared" si="4"/>
        <v>1</v>
      </c>
      <c r="AC12" s="1572">
        <f t="shared" si="5"/>
        <v>1</v>
      </c>
    </row>
    <row r="13" spans="1:30" ht="20.25">
      <c r="A13" s="2894"/>
      <c r="B13" s="2898" t="s">
        <v>2759</v>
      </c>
      <c r="C13" s="534">
        <v>3.5</v>
      </c>
      <c r="D13" s="255">
        <v>100</v>
      </c>
      <c r="E13" s="533">
        <v>2.6</v>
      </c>
      <c r="F13" s="255">
        <f>LOOKUP(E13,82:82,83:83)-LOOKUP(C13,82:82,83:83)+100</f>
        <v>101</v>
      </c>
      <c r="G13" s="534">
        <v>1.4</v>
      </c>
      <c r="H13" s="255">
        <f>LOOKUP(G13,82:82,83:83)-LOOKUP(C13,82:82,83:83)+100</f>
        <v>102</v>
      </c>
      <c r="I13" s="533">
        <v>2</v>
      </c>
      <c r="J13" s="255">
        <f>LOOKUP(I13,82:82,83:83)-LOOKUP(C13,82:82,83:83)+100</f>
        <v>101</v>
      </c>
      <c r="K13" s="535">
        <v>1</v>
      </c>
      <c r="L13" s="2140"/>
      <c r="M13" s="2132"/>
      <c r="N13" s="2132"/>
      <c r="O13" s="2141"/>
      <c r="P13" s="3752"/>
      <c r="Q13" s="1151" t="str">
        <f t="shared" si="6"/>
        <v>容积率</v>
      </c>
      <c r="R13" s="1569" t="s">
        <v>8</v>
      </c>
      <c r="S13" s="1570">
        <f t="shared" si="0"/>
        <v>101</v>
      </c>
      <c r="T13" s="1569" t="s">
        <v>8</v>
      </c>
      <c r="U13" s="1570">
        <f t="shared" si="1"/>
        <v>102</v>
      </c>
      <c r="V13" s="1569" t="s">
        <v>8</v>
      </c>
      <c r="W13" s="1570">
        <f t="shared" si="2"/>
        <v>101</v>
      </c>
      <c r="X13" s="1571"/>
      <c r="Y13" s="3709"/>
      <c r="Z13" s="1150" t="str">
        <f t="shared" si="7"/>
        <v>容积率</v>
      </c>
      <c r="AA13" s="1572">
        <f t="shared" si="3"/>
        <v>0.99009900990099009</v>
      </c>
      <c r="AB13" s="1572">
        <f t="shared" si="4"/>
        <v>0.98039215686274506</v>
      </c>
      <c r="AC13" s="1572">
        <f t="shared" si="5"/>
        <v>0.99009900990099009</v>
      </c>
    </row>
    <row r="14" spans="1:30" s="1220" customFormat="1" ht="20.25">
      <c r="A14" s="2891"/>
      <c r="B14" s="2900" t="s">
        <v>2760</v>
      </c>
      <c r="C14" s="2887"/>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752"/>
      <c r="Q14" s="1151" t="str">
        <f t="shared" si="6"/>
        <v>配建</v>
      </c>
      <c r="R14" s="1569" t="s">
        <v>8</v>
      </c>
      <c r="S14" s="1570">
        <f t="shared" si="0"/>
        <v>100</v>
      </c>
      <c r="T14" s="1569" t="s">
        <v>8</v>
      </c>
      <c r="U14" s="1570">
        <f t="shared" si="1"/>
        <v>100</v>
      </c>
      <c r="V14" s="1569" t="s">
        <v>8</v>
      </c>
      <c r="W14" s="1570">
        <f t="shared" si="2"/>
        <v>100</v>
      </c>
      <c r="X14" s="1571"/>
      <c r="Y14" s="3709"/>
      <c r="Z14" s="1150" t="str">
        <f t="shared" si="7"/>
        <v>配建</v>
      </c>
      <c r="AA14" s="1572">
        <f>D14/F14</f>
        <v>1</v>
      </c>
      <c r="AB14" s="1572">
        <f>D14/H14</f>
        <v>1</v>
      </c>
      <c r="AC14" s="1572">
        <f>D14/J14</f>
        <v>1</v>
      </c>
    </row>
    <row r="15" spans="1:30" ht="20.25">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752"/>
      <c r="Q15" s="1151">
        <f t="shared" si="6"/>
        <v>111</v>
      </c>
      <c r="R15" s="1569" t="s">
        <v>8</v>
      </c>
      <c r="S15" s="1570">
        <f t="shared" si="0"/>
        <v>100</v>
      </c>
      <c r="T15" s="1569" t="s">
        <v>8</v>
      </c>
      <c r="U15" s="1570">
        <f t="shared" si="1"/>
        <v>100</v>
      </c>
      <c r="V15" s="1569" t="s">
        <v>8</v>
      </c>
      <c r="W15" s="1570">
        <f t="shared" si="2"/>
        <v>100</v>
      </c>
      <c r="X15" s="1571"/>
      <c r="Y15" s="3709"/>
      <c r="Z15" s="1150">
        <f t="shared" si="7"/>
        <v>111</v>
      </c>
      <c r="AA15" s="1572">
        <f>D15/F15</f>
        <v>1</v>
      </c>
      <c r="AB15" s="1572">
        <f>D15/H15</f>
        <v>1</v>
      </c>
      <c r="AC15" s="1572">
        <f>D15/J15</f>
        <v>1</v>
      </c>
    </row>
    <row r="16" spans="1:30" ht="21"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752"/>
      <c r="Q16" s="1151">
        <f t="shared" si="6"/>
        <v>111</v>
      </c>
      <c r="R16" s="1569" t="s">
        <v>8</v>
      </c>
      <c r="S16" s="1570">
        <f t="shared" si="0"/>
        <v>100</v>
      </c>
      <c r="T16" s="1569" t="s">
        <v>8</v>
      </c>
      <c r="U16" s="1570">
        <f t="shared" si="1"/>
        <v>100</v>
      </c>
      <c r="V16" s="1569" t="s">
        <v>8</v>
      </c>
      <c r="W16" s="1570">
        <f t="shared" si="2"/>
        <v>100</v>
      </c>
      <c r="X16" s="1571"/>
      <c r="Y16" s="3709"/>
      <c r="Z16" s="1150">
        <f t="shared" si="7"/>
        <v>111</v>
      </c>
      <c r="AA16" s="1572">
        <f>D16/F16</f>
        <v>1</v>
      </c>
      <c r="AB16" s="1572">
        <f>D16/H16</f>
        <v>1</v>
      </c>
      <c r="AC16" s="1572">
        <f>D16/J16</f>
        <v>1</v>
      </c>
    </row>
    <row r="17" spans="1:29" ht="99.75">
      <c r="A17" s="2888" t="s">
        <v>2755</v>
      </c>
      <c r="B17" s="578" t="s">
        <v>295</v>
      </c>
      <c r="C17" s="548" t="str">
        <f>估价对象房地状况!C15</f>
        <v>估价对象周边居住用地比例、居住小区规模和社区发展完善程度，综合评价居住社区成熟度一般</v>
      </c>
      <c r="D17" s="551">
        <v>100</v>
      </c>
      <c r="E17" s="552" t="s">
        <v>3261</v>
      </c>
      <c r="F17" s="549">
        <f>SUMIF(90:90,E18,91:91)-SUMIF(90:90,C18,91:91)+100</f>
        <v>100</v>
      </c>
      <c r="G17" s="550" t="s">
        <v>3261</v>
      </c>
      <c r="H17" s="549">
        <f>SUMIF(90:90,G18,91:91)-SUMIF(90:90,C18,91:91)+100</f>
        <v>100</v>
      </c>
      <c r="I17" s="552" t="s">
        <v>3261</v>
      </c>
      <c r="J17" s="549">
        <f>SUMIF(90:90,I18,91:91)-SUMIF(90:90,C18,91:91)+100</f>
        <v>100</v>
      </c>
      <c r="K17" s="535">
        <v>5</v>
      </c>
      <c r="L17" s="2142"/>
      <c r="M17" s="2132"/>
      <c r="N17" s="2132"/>
      <c r="O17" s="2141"/>
      <c r="P17" s="3754" t="s">
        <v>540</v>
      </c>
      <c r="Q17" s="1573" t="str">
        <f t="shared" si="6"/>
        <v>居住社区成熟度</v>
      </c>
      <c r="R17" s="1574" t="s">
        <v>8</v>
      </c>
      <c r="S17" s="1575">
        <f t="shared" si="0"/>
        <v>100</v>
      </c>
      <c r="T17" s="1574" t="s">
        <v>8</v>
      </c>
      <c r="U17" s="1575">
        <f t="shared" si="1"/>
        <v>100</v>
      </c>
      <c r="V17" s="1574" t="s">
        <v>8</v>
      </c>
      <c r="W17" s="1575">
        <f t="shared" si="2"/>
        <v>100</v>
      </c>
      <c r="X17" s="1568"/>
      <c r="Y17" s="3754" t="s">
        <v>540</v>
      </c>
      <c r="Z17" s="1576" t="str">
        <f t="shared" si="7"/>
        <v>居住社区成熟度</v>
      </c>
      <c r="AA17" s="1577">
        <f t="shared" si="3"/>
        <v>1</v>
      </c>
      <c r="AB17" s="1577">
        <f t="shared" si="4"/>
        <v>1</v>
      </c>
      <c r="AC17" s="1577">
        <f t="shared" si="5"/>
        <v>1</v>
      </c>
    </row>
    <row r="18" spans="1:29" ht="20.25">
      <c r="A18" s="532"/>
      <c r="B18" s="553"/>
      <c r="C18" s="558" t="s">
        <v>3150</v>
      </c>
      <c r="D18" s="557"/>
      <c r="E18" s="558" t="s">
        <v>3150</v>
      </c>
      <c r="F18" s="555"/>
      <c r="G18" s="558" t="s">
        <v>3150</v>
      </c>
      <c r="H18" s="559"/>
      <c r="I18" s="558" t="s">
        <v>3150</v>
      </c>
      <c r="J18" s="555"/>
      <c r="K18" s="531"/>
      <c r="L18" s="2142"/>
      <c r="M18" s="2132"/>
      <c r="N18" s="2132"/>
      <c r="O18" s="2141"/>
      <c r="P18" s="3755"/>
      <c r="Q18" s="1573"/>
      <c r="R18" s="1574"/>
      <c r="S18" s="1575"/>
      <c r="T18" s="1574"/>
      <c r="U18" s="1575"/>
      <c r="V18" s="1574"/>
      <c r="W18" s="1575"/>
      <c r="X18" s="1568"/>
      <c r="Y18" s="3755"/>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t="s">
        <v>3271</v>
      </c>
      <c r="F19" s="559">
        <f>SUMIF(92:92,E20,93:93)-SUMIF(92:92,C20,93:93)+100</f>
        <v>100</v>
      </c>
      <c r="G19" s="562" t="s">
        <v>3271</v>
      </c>
      <c r="H19" s="565">
        <f>SUMIF(92:92,G20,93:93)-SUMIF(92:92,C20,93:93)+100</f>
        <v>100</v>
      </c>
      <c r="I19" s="564" t="s">
        <v>3271</v>
      </c>
      <c r="J19" s="565">
        <f>SUMIF(92:92,I20,93:93)-SUMIF(92:92,C20,93:93)+100</f>
        <v>100</v>
      </c>
      <c r="K19" s="535">
        <v>2</v>
      </c>
      <c r="L19" s="2142"/>
      <c r="M19" s="2132"/>
      <c r="N19" s="2132"/>
      <c r="O19" s="2141"/>
      <c r="P19" s="3755"/>
      <c r="Q19" s="1573" t="str">
        <f>B19</f>
        <v>商业繁华度</v>
      </c>
      <c r="R19" s="1574" t="s">
        <v>8</v>
      </c>
      <c r="S19" s="1575">
        <f>F19</f>
        <v>100</v>
      </c>
      <c r="T19" s="1574" t="s">
        <v>8</v>
      </c>
      <c r="U19" s="1575">
        <f>H19</f>
        <v>100</v>
      </c>
      <c r="V19" s="1574" t="s">
        <v>8</v>
      </c>
      <c r="W19" s="1575">
        <f>J19</f>
        <v>100</v>
      </c>
      <c r="X19" s="1568"/>
      <c r="Y19" s="3755"/>
      <c r="Z19" s="1576" t="str">
        <f>Q19</f>
        <v>商业繁华度</v>
      </c>
      <c r="AA19" s="1577">
        <f t="shared" si="3"/>
        <v>1</v>
      </c>
      <c r="AB19" s="1577">
        <f t="shared" si="4"/>
        <v>1</v>
      </c>
      <c r="AC19" s="1577">
        <f t="shared" si="5"/>
        <v>1</v>
      </c>
    </row>
    <row r="20" spans="1:29" ht="20.25">
      <c r="A20" s="532"/>
      <c r="B20" s="566"/>
      <c r="C20" s="558" t="s">
        <v>3150</v>
      </c>
      <c r="D20" s="563"/>
      <c r="E20" s="558" t="s">
        <v>3150</v>
      </c>
      <c r="F20" s="559"/>
      <c r="G20" s="558" t="s">
        <v>3150</v>
      </c>
      <c r="H20" s="555"/>
      <c r="I20" s="569" t="s">
        <v>3150</v>
      </c>
      <c r="J20" s="555"/>
      <c r="K20" s="531"/>
      <c r="L20" s="2142"/>
      <c r="M20" s="2132"/>
      <c r="N20" s="2132"/>
      <c r="O20" s="2141"/>
      <c r="P20" s="3755"/>
      <c r="Q20" s="1573"/>
      <c r="R20" s="1574"/>
      <c r="S20" s="1575"/>
      <c r="T20" s="1574"/>
      <c r="U20" s="1575"/>
      <c r="V20" s="1574"/>
      <c r="W20" s="1575"/>
      <c r="X20" s="1568"/>
      <c r="Y20" s="3755"/>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t="s">
        <v>3272</v>
      </c>
      <c r="F21" s="565">
        <f>SUMIF(94:94,E22,95:95)-SUMIF(94:94,C22,95:95)+100</f>
        <v>100</v>
      </c>
      <c r="G21" s="570" t="s">
        <v>3272</v>
      </c>
      <c r="H21" s="559">
        <f>SUMIF(94:94,G22,95:95)-SUMIF(94:94,C22,95:95)+100</f>
        <v>100</v>
      </c>
      <c r="I21" s="572" t="s">
        <v>3272</v>
      </c>
      <c r="J21" s="559">
        <f>SUMIF(94:94,I22,95:95)-SUMIF(94:94,C22,95:95)+100</f>
        <v>100</v>
      </c>
      <c r="K21" s="535">
        <v>2</v>
      </c>
      <c r="L21" s="2142"/>
      <c r="M21" s="2132"/>
      <c r="N21" s="2132"/>
      <c r="O21" s="2141"/>
      <c r="P21" s="3755"/>
      <c r="Q21" s="1573" t="str">
        <f>B21</f>
        <v>办公集聚程度</v>
      </c>
      <c r="R21" s="1574" t="s">
        <v>8</v>
      </c>
      <c r="S21" s="1575">
        <f>F21</f>
        <v>100</v>
      </c>
      <c r="T21" s="1574" t="s">
        <v>8</v>
      </c>
      <c r="U21" s="1575">
        <f>H21</f>
        <v>100</v>
      </c>
      <c r="V21" s="1574" t="s">
        <v>8</v>
      </c>
      <c r="W21" s="1575">
        <f>J21</f>
        <v>100</v>
      </c>
      <c r="X21" s="1568"/>
      <c r="Y21" s="3755"/>
      <c r="Z21" s="1576" t="str">
        <f>Q21</f>
        <v>办公集聚程度</v>
      </c>
      <c r="AA21" s="1577">
        <f t="shared" si="3"/>
        <v>1</v>
      </c>
      <c r="AB21" s="1577">
        <f t="shared" si="4"/>
        <v>1</v>
      </c>
      <c r="AC21" s="1577">
        <f t="shared" si="5"/>
        <v>1</v>
      </c>
    </row>
    <row r="22" spans="1:29" ht="20.25" hidden="1">
      <c r="A22" s="532"/>
      <c r="B22" s="566"/>
      <c r="C22" s="554" t="s">
        <v>3149</v>
      </c>
      <c r="D22" s="557"/>
      <c r="E22" s="558" t="s">
        <v>3149</v>
      </c>
      <c r="F22" s="555"/>
      <c r="G22" s="556" t="s">
        <v>3149</v>
      </c>
      <c r="H22" s="555"/>
      <c r="I22" s="558" t="s">
        <v>3149</v>
      </c>
      <c r="J22" s="555"/>
      <c r="K22" s="531"/>
      <c r="L22" s="2142"/>
      <c r="M22" s="2132"/>
      <c r="N22" s="2132"/>
      <c r="O22" s="2141"/>
      <c r="P22" s="3755"/>
      <c r="Q22" s="1573"/>
      <c r="R22" s="1574"/>
      <c r="S22" s="1575"/>
      <c r="T22" s="1574"/>
      <c r="U22" s="1575"/>
      <c r="V22" s="1574"/>
      <c r="W22" s="1575"/>
      <c r="X22" s="1568"/>
      <c r="Y22" s="3755"/>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t="s">
        <v>3263</v>
      </c>
      <c r="F23" s="565">
        <f>SUMIF(96:96,E24,97:97)-SUMIF(96:96,C24,97:97)+100</f>
        <v>100</v>
      </c>
      <c r="G23" s="562" t="s">
        <v>3263</v>
      </c>
      <c r="H23" s="559">
        <f>SUMIF(96:96,G24,97:97)-SUMIF(96:96,C24,97:97)+100</f>
        <v>100</v>
      </c>
      <c r="I23" s="564" t="s">
        <v>3263</v>
      </c>
      <c r="J23" s="559">
        <f>SUMIF(96:96,I24,97:97)-SUMIF(96:96,C24,97:97)+100</f>
        <v>100</v>
      </c>
      <c r="K23" s="535">
        <v>2</v>
      </c>
      <c r="L23" s="2142"/>
      <c r="M23" s="2132"/>
      <c r="N23" s="2132"/>
      <c r="O23" s="2141"/>
      <c r="P23" s="3755"/>
      <c r="Q23" s="1573" t="str">
        <f>B23</f>
        <v>交通便捷度</v>
      </c>
      <c r="R23" s="1574" t="s">
        <v>8</v>
      </c>
      <c r="S23" s="1575">
        <f>F23</f>
        <v>100</v>
      </c>
      <c r="T23" s="1574" t="s">
        <v>8</v>
      </c>
      <c r="U23" s="1575">
        <f>H23</f>
        <v>100</v>
      </c>
      <c r="V23" s="1574" t="s">
        <v>8</v>
      </c>
      <c r="W23" s="1575">
        <f>J23</f>
        <v>100</v>
      </c>
      <c r="X23" s="1568"/>
      <c r="Y23" s="3755"/>
      <c r="Z23" s="1576" t="str">
        <f>Q23</f>
        <v>交通便捷度</v>
      </c>
      <c r="AA23" s="1577">
        <f t="shared" si="3"/>
        <v>1</v>
      </c>
      <c r="AB23" s="1577">
        <f t="shared" si="4"/>
        <v>1</v>
      </c>
      <c r="AC23" s="1577">
        <f t="shared" si="5"/>
        <v>1</v>
      </c>
    </row>
    <row r="24" spans="1:29" ht="20.25">
      <c r="A24" s="532"/>
      <c r="B24" s="578"/>
      <c r="C24" s="558" t="s">
        <v>3150</v>
      </c>
      <c r="D24" s="557"/>
      <c r="E24" s="558" t="s">
        <v>3150</v>
      </c>
      <c r="F24" s="555"/>
      <c r="G24" s="558" t="s">
        <v>3150</v>
      </c>
      <c r="H24" s="555"/>
      <c r="I24" s="558" t="s">
        <v>3150</v>
      </c>
      <c r="J24" s="555"/>
      <c r="K24" s="531"/>
      <c r="L24" s="2142"/>
      <c r="M24" s="2132"/>
      <c r="N24" s="2132"/>
      <c r="O24" s="2141"/>
      <c r="P24" s="3755"/>
      <c r="Q24" s="1573"/>
      <c r="R24" s="1574"/>
      <c r="S24" s="1575"/>
      <c r="T24" s="1574"/>
      <c r="U24" s="1575"/>
      <c r="V24" s="1574"/>
      <c r="W24" s="1575"/>
      <c r="X24" s="1568"/>
      <c r="Y24" s="3755"/>
      <c r="Z24" s="1576"/>
      <c r="AA24" s="1577">
        <v>1</v>
      </c>
      <c r="AB24" s="1577">
        <v>1</v>
      </c>
      <c r="AC24" s="1577">
        <v>1</v>
      </c>
    </row>
    <row r="25" spans="1:29" ht="27">
      <c r="A25" s="515"/>
      <c r="B25" s="259" t="s">
        <v>544</v>
      </c>
      <c r="C25" s="573">
        <f>估价对象房地状况!C19</f>
        <v>0</v>
      </c>
      <c r="D25" s="563">
        <v>100</v>
      </c>
      <c r="E25" s="564">
        <v>0</v>
      </c>
      <c r="F25" s="565">
        <f>SUMIF(98:98,E26,99:99)-SUMIF(98:98,C26,99:99)+100</f>
        <v>100</v>
      </c>
      <c r="G25" s="562">
        <v>0</v>
      </c>
      <c r="H25" s="559">
        <f>SUMIF(98:98,G26,99:99)-SUMIF(98:98,C26,99:99)+100</f>
        <v>100</v>
      </c>
      <c r="I25" s="564">
        <v>0</v>
      </c>
      <c r="J25" s="559">
        <f>SUMIF(98:98,I26,99:99)-SUMIF(98:98,C26,99:99)+100</f>
        <v>100</v>
      </c>
      <c r="K25" s="535">
        <v>2</v>
      </c>
      <c r="L25" s="2142"/>
      <c r="M25" s="2132"/>
      <c r="N25" s="2132"/>
      <c r="O25" s="2141"/>
      <c r="P25" s="3755"/>
      <c r="Q25" s="1573" t="str">
        <f t="shared" ref="Q25:Q39" si="8">B25</f>
        <v>区域土地利用方向</v>
      </c>
      <c r="R25" s="1574" t="s">
        <v>8</v>
      </c>
      <c r="S25" s="1575">
        <f>F25</f>
        <v>100</v>
      </c>
      <c r="T25" s="1574" t="s">
        <v>8</v>
      </c>
      <c r="U25" s="1575">
        <f>H25</f>
        <v>100</v>
      </c>
      <c r="V25" s="1574" t="s">
        <v>8</v>
      </c>
      <c r="W25" s="1575">
        <f>J25</f>
        <v>100</v>
      </c>
      <c r="X25" s="1568"/>
      <c r="Y25" s="3755"/>
      <c r="Z25" s="1576" t="str">
        <f>Q25</f>
        <v>区域土地利用方向</v>
      </c>
      <c r="AA25" s="1577">
        <f t="shared" si="3"/>
        <v>1</v>
      </c>
      <c r="AB25" s="1577">
        <f t="shared" si="4"/>
        <v>1</v>
      </c>
      <c r="AC25" s="1577">
        <f t="shared" si="5"/>
        <v>1</v>
      </c>
    </row>
    <row r="26" spans="1:29" ht="20.25">
      <c r="A26" s="515"/>
      <c r="B26" s="1007"/>
      <c r="C26" s="554" t="s">
        <v>3150</v>
      </c>
      <c r="D26" s="557"/>
      <c r="E26" s="558" t="s">
        <v>3150</v>
      </c>
      <c r="F26" s="555"/>
      <c r="G26" s="556" t="s">
        <v>3150</v>
      </c>
      <c r="H26" s="555"/>
      <c r="I26" s="558" t="s">
        <v>3150</v>
      </c>
      <c r="J26" s="555"/>
      <c r="K26" s="531"/>
      <c r="L26" s="2142"/>
      <c r="M26" s="2132"/>
      <c r="N26" s="2132"/>
      <c r="O26" s="2141"/>
      <c r="P26" s="3755"/>
      <c r="Q26" s="1573"/>
      <c r="R26" s="1574"/>
      <c r="S26" s="1575"/>
      <c r="T26" s="1574"/>
      <c r="U26" s="1575"/>
      <c r="V26" s="1574"/>
      <c r="W26" s="1575"/>
      <c r="X26" s="1568"/>
      <c r="Y26" s="3755"/>
      <c r="Z26" s="1576"/>
      <c r="AA26" s="1577"/>
      <c r="AB26" s="1577"/>
      <c r="AC26" s="1577"/>
    </row>
    <row r="27" spans="1:29" ht="57">
      <c r="A27" s="515"/>
      <c r="B27" s="578" t="s">
        <v>545</v>
      </c>
      <c r="C27" s="561" t="str">
        <f>估价对象房地状况!C20</f>
        <v>区域自然环境：；人文环境；综合评价环境状况一般</v>
      </c>
      <c r="D27" s="563">
        <v>100</v>
      </c>
      <c r="E27" s="564" t="s">
        <v>3273</v>
      </c>
      <c r="F27" s="559">
        <f>SUMIF(100:100,E28,101:101)-SUMIF(100:100,C28,101:101)+100</f>
        <v>100</v>
      </c>
      <c r="G27" s="562" t="s">
        <v>3273</v>
      </c>
      <c r="H27" s="559">
        <f>SUMIF(100:100,G28,101:101)-SUMIF(100:100,C28,101:101)+100</f>
        <v>100</v>
      </c>
      <c r="I27" s="564" t="s">
        <v>3273</v>
      </c>
      <c r="J27" s="559">
        <f>SUMIF(100:100,I28,101:101)-SUMIF(100:100,C28,101:101)+100</f>
        <v>100</v>
      </c>
      <c r="K27" s="535">
        <v>1</v>
      </c>
      <c r="L27" s="2142"/>
      <c r="M27" s="2132"/>
      <c r="N27" s="2132"/>
      <c r="O27" s="2141"/>
      <c r="P27" s="3755"/>
      <c r="Q27" s="1573" t="str">
        <f t="shared" si="8"/>
        <v>自然及人文环境状况</v>
      </c>
      <c r="R27" s="1574" t="s">
        <v>8</v>
      </c>
      <c r="S27" s="1575">
        <f>F27</f>
        <v>100</v>
      </c>
      <c r="T27" s="1574" t="s">
        <v>8</v>
      </c>
      <c r="U27" s="1575">
        <f>H27</f>
        <v>100</v>
      </c>
      <c r="V27" s="1574" t="s">
        <v>8</v>
      </c>
      <c r="W27" s="1575">
        <f>J27</f>
        <v>100</v>
      </c>
      <c r="X27" s="1568"/>
      <c r="Y27" s="3755"/>
      <c r="Z27" s="1576" t="str">
        <f>Q27</f>
        <v>自然及人文环境状况</v>
      </c>
      <c r="AA27" s="1577">
        <f t="shared" si="3"/>
        <v>1</v>
      </c>
      <c r="AB27" s="1577">
        <f t="shared" si="4"/>
        <v>1</v>
      </c>
      <c r="AC27" s="1577">
        <f t="shared" si="5"/>
        <v>1</v>
      </c>
    </row>
    <row r="28" spans="1:29" ht="20.25">
      <c r="A28" s="515"/>
      <c r="B28" s="566"/>
      <c r="C28" s="558" t="s">
        <v>3150</v>
      </c>
      <c r="D28" s="557"/>
      <c r="E28" s="558" t="s">
        <v>3150</v>
      </c>
      <c r="F28" s="555"/>
      <c r="G28" s="558" t="s">
        <v>3150</v>
      </c>
      <c r="H28" s="555"/>
      <c r="I28" s="576" t="s">
        <v>3150</v>
      </c>
      <c r="J28" s="555"/>
      <c r="K28" s="531"/>
      <c r="L28" s="2142"/>
      <c r="M28" s="2132"/>
      <c r="N28" s="2132"/>
      <c r="O28" s="2141"/>
      <c r="P28" s="3755"/>
      <c r="Q28" s="1573"/>
      <c r="R28" s="1574"/>
      <c r="S28" s="1575"/>
      <c r="T28" s="1574"/>
      <c r="U28" s="1575"/>
      <c r="V28" s="1574"/>
      <c r="W28" s="1575"/>
      <c r="X28" s="1568"/>
      <c r="Y28" s="3755"/>
      <c r="Z28" s="1576"/>
      <c r="AA28" s="1577">
        <v>1</v>
      </c>
      <c r="AB28" s="1577">
        <v>1</v>
      </c>
      <c r="AC28" s="1577">
        <v>1</v>
      </c>
    </row>
    <row r="29" spans="1:29" s="1220" customFormat="1" ht="42.75">
      <c r="A29" s="577"/>
      <c r="B29" s="2570" t="s">
        <v>2549</v>
      </c>
      <c r="C29" s="573" t="str">
        <f>估价对象房地状况!C21</f>
        <v>估价对象所在区域公共配套设施齐备情况</v>
      </c>
      <c r="D29" s="563">
        <v>100</v>
      </c>
      <c r="E29" s="564" t="s">
        <v>3264</v>
      </c>
      <c r="F29" s="559">
        <f>SUMIF(102:102,E30,103:103)-SUMIF(102:102,C30,103:103)+100</f>
        <v>100</v>
      </c>
      <c r="G29" s="562" t="s">
        <v>3264</v>
      </c>
      <c r="H29" s="559">
        <f>SUMIF(102:102,G30,103:103)-SUMIF(102:102,C30,103:103)+100</f>
        <v>100</v>
      </c>
      <c r="I29" s="564" t="s">
        <v>3264</v>
      </c>
      <c r="J29" s="559">
        <f>SUMIF(102:102,I30,103:103)-SUMIF(102:102,C30,103:103)+100</f>
        <v>100</v>
      </c>
      <c r="K29" s="535">
        <v>1</v>
      </c>
      <c r="L29" s="2135"/>
      <c r="M29" s="2132"/>
      <c r="N29" s="2132"/>
      <c r="O29" s="2137"/>
      <c r="P29" s="3755"/>
      <c r="Q29" s="1151" t="str">
        <f t="shared" si="8"/>
        <v>公共配套设施</v>
      </c>
      <c r="R29" s="1569" t="s">
        <v>8</v>
      </c>
      <c r="S29" s="1570">
        <f>F29</f>
        <v>100</v>
      </c>
      <c r="T29" s="1569" t="s">
        <v>8</v>
      </c>
      <c r="U29" s="1570">
        <f>H29</f>
        <v>100</v>
      </c>
      <c r="V29" s="1569" t="s">
        <v>8</v>
      </c>
      <c r="W29" s="1570">
        <f>J29</f>
        <v>100</v>
      </c>
      <c r="X29" s="1571"/>
      <c r="Y29" s="3755"/>
      <c r="Z29" s="1150" t="str">
        <f>Q29</f>
        <v>公共配套设施</v>
      </c>
      <c r="AA29" s="1577">
        <f>D29/F29</f>
        <v>1</v>
      </c>
      <c r="AB29" s="1577">
        <f>D29/H29</f>
        <v>1</v>
      </c>
      <c r="AC29" s="1577">
        <f>D29/J29</f>
        <v>1</v>
      </c>
    </row>
    <row r="30" spans="1:29" s="1220" customFormat="1" ht="20.25">
      <c r="A30" s="577"/>
      <c r="B30" s="566"/>
      <c r="C30" s="3285" t="s">
        <v>3150</v>
      </c>
      <c r="D30" s="557"/>
      <c r="E30" s="3285" t="s">
        <v>3150</v>
      </c>
      <c r="F30" s="555"/>
      <c r="G30" s="3285" t="s">
        <v>3150</v>
      </c>
      <c r="H30" s="555"/>
      <c r="I30" s="3285" t="s">
        <v>3150</v>
      </c>
      <c r="J30" s="555"/>
      <c r="K30" s="531"/>
      <c r="L30" s="2135"/>
      <c r="M30" s="2132"/>
      <c r="N30" s="2132"/>
      <c r="O30" s="2137"/>
      <c r="P30" s="3755"/>
      <c r="Q30" s="1151"/>
      <c r="R30" s="1569"/>
      <c r="S30" s="1570"/>
      <c r="T30" s="1569"/>
      <c r="U30" s="1570"/>
      <c r="V30" s="1569"/>
      <c r="W30" s="1570"/>
      <c r="X30" s="1571"/>
      <c r="Y30" s="3755"/>
      <c r="Z30" s="1150"/>
      <c r="AA30" s="1577">
        <v>1</v>
      </c>
      <c r="AB30" s="1577">
        <v>1</v>
      </c>
      <c r="AC30" s="1577">
        <v>1</v>
      </c>
    </row>
    <row r="31" spans="1:29" s="1220" customFormat="1" ht="28.5">
      <c r="A31" s="577"/>
      <c r="B31" s="2570" t="s">
        <v>2550</v>
      </c>
      <c r="C31" s="573" t="str">
        <f>估价对象房地状况!C22</f>
        <v>估价对象所在区域基础设施水平</v>
      </c>
      <c r="D31" s="563">
        <v>100</v>
      </c>
      <c r="E31" s="564" t="s">
        <v>3274</v>
      </c>
      <c r="F31" s="559">
        <f>SUMIF(104:104,E32,105:105)-SUMIF(104:104,C32,105:105)+100</f>
        <v>100</v>
      </c>
      <c r="G31" s="562" t="s">
        <v>3274</v>
      </c>
      <c r="H31" s="559">
        <f>SUMIF(104:104,G32,105:105)-SUMIF(104:104,C32,105:105)+100</f>
        <v>100</v>
      </c>
      <c r="I31" s="564" t="s">
        <v>3274</v>
      </c>
      <c r="J31" s="559">
        <f>SUMIF(104:104,I32,105:105)-SUMIF(104:104,C32,105:105)+100</f>
        <v>100</v>
      </c>
      <c r="K31" s="535">
        <v>1</v>
      </c>
      <c r="L31" s="2135"/>
      <c r="M31" s="2132"/>
      <c r="N31" s="2132"/>
      <c r="O31" s="2137"/>
      <c r="P31" s="3755"/>
      <c r="Q31" s="2557" t="str">
        <f t="shared" ref="Q31" si="9">B31</f>
        <v>基础设施水平</v>
      </c>
      <c r="R31" s="1569" t="s">
        <v>8</v>
      </c>
      <c r="S31" s="1570">
        <f>F31</f>
        <v>100</v>
      </c>
      <c r="T31" s="1569" t="s">
        <v>8</v>
      </c>
      <c r="U31" s="1570">
        <f>H31</f>
        <v>100</v>
      </c>
      <c r="V31" s="1569" t="s">
        <v>8</v>
      </c>
      <c r="W31" s="1570">
        <f>J31</f>
        <v>100</v>
      </c>
      <c r="X31" s="1571"/>
      <c r="Y31" s="3755"/>
      <c r="Z31" s="2554" t="str">
        <f>Q31</f>
        <v>基础设施水平</v>
      </c>
      <c r="AA31" s="1577">
        <f>D31/F31</f>
        <v>1</v>
      </c>
      <c r="AB31" s="1577">
        <f>D31/H31</f>
        <v>1</v>
      </c>
      <c r="AC31" s="1577">
        <f>D31/J31</f>
        <v>1</v>
      </c>
    </row>
    <row r="32" spans="1:29" s="1220" customFormat="1" ht="21" thickBot="1">
      <c r="A32" s="577"/>
      <c r="B32" s="566"/>
      <c r="C32" s="579" t="s">
        <v>3154</v>
      </c>
      <c r="D32" s="557"/>
      <c r="E32" s="2571" t="s">
        <v>3154</v>
      </c>
      <c r="F32" s="555"/>
      <c r="G32" s="2571" t="s">
        <v>3154</v>
      </c>
      <c r="H32" s="555"/>
      <c r="I32" s="2571" t="s">
        <v>3154</v>
      </c>
      <c r="J32" s="555"/>
      <c r="K32" s="531"/>
      <c r="L32" s="2135"/>
      <c r="M32" s="2132"/>
      <c r="N32" s="2132"/>
      <c r="O32" s="2137"/>
      <c r="P32" s="3755"/>
      <c r="Q32" s="2557"/>
      <c r="R32" s="1569"/>
      <c r="S32" s="1570"/>
      <c r="T32" s="1569"/>
      <c r="U32" s="1570"/>
      <c r="V32" s="1569"/>
      <c r="W32" s="1570"/>
      <c r="X32" s="1571"/>
      <c r="Y32" s="3755"/>
      <c r="Z32" s="2554"/>
      <c r="AA32" s="1577">
        <v>1</v>
      </c>
      <c r="AB32" s="1577">
        <v>1</v>
      </c>
      <c r="AC32" s="1577">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75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755"/>
      <c r="Z33" s="1576" t="str">
        <f t="shared" ref="Z33:Z47" si="13">Q33</f>
        <v>临街状况</v>
      </c>
      <c r="AA33" s="1577">
        <f t="shared" si="3"/>
        <v>1</v>
      </c>
      <c r="AB33" s="1577">
        <f t="shared" si="4"/>
        <v>1</v>
      </c>
      <c r="AC33" s="1577">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755"/>
      <c r="Q34" s="1573" t="str">
        <f t="shared" si="8"/>
        <v>毗邻道路的类型与等级</v>
      </c>
      <c r="R34" s="1574" t="s">
        <v>8</v>
      </c>
      <c r="S34" s="1575">
        <f t="shared" si="10"/>
        <v>100</v>
      </c>
      <c r="T34" s="1574" t="s">
        <v>8</v>
      </c>
      <c r="U34" s="1575">
        <f t="shared" si="11"/>
        <v>100</v>
      </c>
      <c r="V34" s="1574" t="s">
        <v>8</v>
      </c>
      <c r="W34" s="1575">
        <f t="shared" si="12"/>
        <v>100</v>
      </c>
      <c r="X34" s="1568"/>
      <c r="Y34" s="3755"/>
      <c r="Z34" s="1576" t="str">
        <f t="shared" si="13"/>
        <v>毗邻道路的类型与等级</v>
      </c>
      <c r="AA34" s="1577">
        <f t="shared" si="3"/>
        <v>1</v>
      </c>
      <c r="AB34" s="1577">
        <f t="shared" si="4"/>
        <v>1</v>
      </c>
      <c r="AC34" s="1577">
        <f t="shared" si="5"/>
        <v>1</v>
      </c>
    </row>
    <row r="35" spans="1:29" ht="20.25" hidden="1">
      <c r="A35" s="532"/>
      <c r="B35" s="566"/>
      <c r="C35" s="554"/>
      <c r="D35" s="557"/>
      <c r="E35" s="576"/>
      <c r="F35" s="555"/>
      <c r="G35" s="554"/>
      <c r="H35" s="555"/>
      <c r="I35" s="576"/>
      <c r="J35" s="555"/>
      <c r="K35" s="581"/>
      <c r="L35" s="2142"/>
      <c r="M35" s="2132"/>
      <c r="N35" s="2132"/>
      <c r="O35" s="2141"/>
      <c r="P35" s="3755"/>
      <c r="Q35" s="1573"/>
      <c r="R35" s="1574"/>
      <c r="S35" s="1575"/>
      <c r="T35" s="1574"/>
      <c r="U35" s="1575"/>
      <c r="V35" s="1574"/>
      <c r="W35" s="1575"/>
      <c r="X35" s="1568"/>
      <c r="Y35" s="3755"/>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755"/>
      <c r="Q36" s="1573" t="str">
        <f t="shared" si="8"/>
        <v>土地级别</v>
      </c>
      <c r="R36" s="1574" t="s">
        <v>8</v>
      </c>
      <c r="S36" s="1575">
        <f t="shared" si="10"/>
        <v>100</v>
      </c>
      <c r="T36" s="1574" t="s">
        <v>8</v>
      </c>
      <c r="U36" s="1575">
        <f t="shared" si="11"/>
        <v>100</v>
      </c>
      <c r="V36" s="1574" t="s">
        <v>8</v>
      </c>
      <c r="W36" s="1575">
        <f t="shared" si="12"/>
        <v>100</v>
      </c>
      <c r="X36" s="1568"/>
      <c r="Y36" s="3755"/>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755"/>
      <c r="Q37" s="1573">
        <f t="shared" si="8"/>
        <v>111</v>
      </c>
      <c r="R37" s="1574" t="s">
        <v>8</v>
      </c>
      <c r="S37" s="1575">
        <f t="shared" si="10"/>
        <v>100</v>
      </c>
      <c r="T37" s="1574" t="s">
        <v>8</v>
      </c>
      <c r="U37" s="1575">
        <f t="shared" si="11"/>
        <v>100</v>
      </c>
      <c r="V37" s="1574" t="s">
        <v>8</v>
      </c>
      <c r="W37" s="1575">
        <f t="shared" si="12"/>
        <v>100</v>
      </c>
      <c r="X37" s="1568"/>
      <c r="Y37" s="3755"/>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756" t="s">
        <v>550</v>
      </c>
      <c r="Q38" s="1573">
        <f t="shared" si="8"/>
        <v>111</v>
      </c>
      <c r="R38" s="1574" t="s">
        <v>8</v>
      </c>
      <c r="S38" s="1575">
        <f t="shared" si="10"/>
        <v>100</v>
      </c>
      <c r="T38" s="1574" t="s">
        <v>8</v>
      </c>
      <c r="U38" s="1575">
        <f t="shared" si="11"/>
        <v>100</v>
      </c>
      <c r="V38" s="1574" t="s">
        <v>8</v>
      </c>
      <c r="W38" s="1575">
        <f t="shared" si="12"/>
        <v>100</v>
      </c>
      <c r="X38" s="1568"/>
      <c r="Y38" s="3757"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757"/>
      <c r="Q39" s="1573">
        <f t="shared" si="8"/>
        <v>111</v>
      </c>
      <c r="R39" s="1578" t="s">
        <v>8</v>
      </c>
      <c r="S39" s="1579">
        <f t="shared" si="10"/>
        <v>100</v>
      </c>
      <c r="T39" s="1578" t="s">
        <v>8</v>
      </c>
      <c r="U39" s="1579">
        <f t="shared" si="11"/>
        <v>100</v>
      </c>
      <c r="V39" s="1578" t="s">
        <v>8</v>
      </c>
      <c r="W39" s="1579">
        <f t="shared" si="12"/>
        <v>100</v>
      </c>
      <c r="X39" s="1580"/>
      <c r="Y39" s="3757"/>
      <c r="Z39" s="1581">
        <f t="shared" si="13"/>
        <v>111</v>
      </c>
      <c r="AA39" s="1577">
        <f t="shared" si="3"/>
        <v>1</v>
      </c>
      <c r="AB39" s="1577">
        <f t="shared" si="4"/>
        <v>1</v>
      </c>
      <c r="AC39" s="1577">
        <f t="shared" si="5"/>
        <v>1</v>
      </c>
    </row>
    <row r="40" spans="1:29" ht="20.25">
      <c r="A40" s="2885" t="s">
        <v>2756</v>
      </c>
      <c r="B40" s="595" t="s">
        <v>552</v>
      </c>
      <c r="C40" s="596">
        <f>'数据-基础表'!A3</f>
        <v>21830.94</v>
      </c>
      <c r="D40" s="597">
        <v>100</v>
      </c>
      <c r="E40" s="596">
        <f>Sheet1!D3</f>
        <v>52281.32</v>
      </c>
      <c r="F40" s="597">
        <f>LOOKUP(E40,119:119,120:120)-LOOKUP(C40,119:119,120:120)+100</f>
        <v>98</v>
      </c>
      <c r="G40" s="596">
        <f>Sheet1!$D$10</f>
        <v>5992.4</v>
      </c>
      <c r="H40" s="597">
        <f>LOOKUP(G40,119:119,120:120)-LOOKUP(C40,119:119,120:120)+100</f>
        <v>98</v>
      </c>
      <c r="I40" s="598">
        <f>Sheet1!$D$35</f>
        <v>67785.55</v>
      </c>
      <c r="J40" s="597">
        <f>LOOKUP(I40,119:119,120:120)-LOOKUP(C40,119:119,120:120)+100</f>
        <v>98</v>
      </c>
      <c r="K40" s="581"/>
      <c r="L40" s="2142"/>
      <c r="M40" s="2132"/>
      <c r="N40" s="2132"/>
      <c r="O40" s="2141"/>
      <c r="P40" s="3757"/>
      <c r="Q40" s="1573" t="str">
        <f>B40</f>
        <v>宗地面积</v>
      </c>
      <c r="R40" s="1574" t="s">
        <v>8</v>
      </c>
      <c r="S40" s="1575">
        <f t="shared" si="10"/>
        <v>98</v>
      </c>
      <c r="T40" s="1574" t="s">
        <v>8</v>
      </c>
      <c r="U40" s="1575">
        <f t="shared" si="11"/>
        <v>98</v>
      </c>
      <c r="V40" s="1574" t="s">
        <v>8</v>
      </c>
      <c r="W40" s="1575">
        <f t="shared" si="12"/>
        <v>98</v>
      </c>
      <c r="X40" s="1568"/>
      <c r="Y40" s="3757"/>
      <c r="Z40" s="1576" t="str">
        <f t="shared" si="13"/>
        <v>宗地面积</v>
      </c>
      <c r="AA40" s="1577">
        <f t="shared" si="3"/>
        <v>1.0204081632653061</v>
      </c>
      <c r="AB40" s="1577">
        <f t="shared" si="4"/>
        <v>1.0204081632653061</v>
      </c>
      <c r="AC40" s="1577">
        <f t="shared" si="5"/>
        <v>1.0204081632653061</v>
      </c>
    </row>
    <row r="41" spans="1:29" ht="20.25">
      <c r="A41" s="594"/>
      <c r="B41" s="527" t="s">
        <v>553</v>
      </c>
      <c r="C41" s="599" t="s">
        <v>3267</v>
      </c>
      <c r="D41" s="540">
        <v>100</v>
      </c>
      <c r="E41" s="599" t="s">
        <v>3267</v>
      </c>
      <c r="F41" s="540">
        <f>SUMIF(121:121,E41,122:122)-SUMIF(121:121,C41,122:122)+100</f>
        <v>100</v>
      </c>
      <c r="G41" s="599" t="s">
        <v>3267</v>
      </c>
      <c r="H41" s="540">
        <f>SUMIF(121:121,G41,122:122)-SUMIF(121:121,C41,122:122)+100</f>
        <v>100</v>
      </c>
      <c r="I41" s="599" t="s">
        <v>3267</v>
      </c>
      <c r="J41" s="540">
        <f>SUMIF(121:121,I41,122:122)-SUMIF(121:121,C41,122:122)+100</f>
        <v>100</v>
      </c>
      <c r="K41" s="584">
        <v>2</v>
      </c>
      <c r="L41" s="2142"/>
      <c r="M41" s="2132"/>
      <c r="N41" s="2132"/>
      <c r="O41" s="2141"/>
      <c r="P41" s="3757"/>
      <c r="Q41" s="1573" t="str">
        <f t="shared" ref="Q41:Q47" si="14">B41</f>
        <v>宗地形状</v>
      </c>
      <c r="R41" s="1574" t="s">
        <v>8</v>
      </c>
      <c r="S41" s="1575">
        <f t="shared" si="10"/>
        <v>100</v>
      </c>
      <c r="T41" s="1574" t="s">
        <v>8</v>
      </c>
      <c r="U41" s="1575">
        <f t="shared" si="11"/>
        <v>100</v>
      </c>
      <c r="V41" s="1574" t="s">
        <v>8</v>
      </c>
      <c r="W41" s="1575">
        <f t="shared" si="12"/>
        <v>100</v>
      </c>
      <c r="X41" s="1568"/>
      <c r="Y41" s="3757"/>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757"/>
      <c r="Q42" s="1573" t="str">
        <f t="shared" si="14"/>
        <v>临街宽度及深度</v>
      </c>
      <c r="R42" s="1574" t="s">
        <v>8</v>
      </c>
      <c r="S42" s="1575">
        <f t="shared" si="10"/>
        <v>100</v>
      </c>
      <c r="T42" s="1574" t="s">
        <v>8</v>
      </c>
      <c r="U42" s="1575">
        <f t="shared" si="11"/>
        <v>100</v>
      </c>
      <c r="V42" s="1574" t="s">
        <v>8</v>
      </c>
      <c r="W42" s="1575">
        <f t="shared" si="12"/>
        <v>100</v>
      </c>
      <c r="X42" s="1568"/>
      <c r="Y42" s="3757"/>
      <c r="Z42" s="1576" t="str">
        <f t="shared" si="13"/>
        <v>临街宽度及深度</v>
      </c>
      <c r="AA42" s="1577">
        <f t="shared" si="3"/>
        <v>1</v>
      </c>
      <c r="AB42" s="1577">
        <f t="shared" si="4"/>
        <v>1</v>
      </c>
      <c r="AC42" s="1577">
        <f t="shared" si="5"/>
        <v>1</v>
      </c>
    </row>
    <row r="43" spans="1:29" s="1220" customFormat="1" ht="20.25">
      <c r="A43" s="600"/>
      <c r="B43" s="1895" t="s">
        <v>2425</v>
      </c>
      <c r="C43" s="601" t="s">
        <v>3150</v>
      </c>
      <c r="D43" s="255">
        <v>100</v>
      </c>
      <c r="E43" s="601" t="s">
        <v>3150</v>
      </c>
      <c r="F43" s="540">
        <f>SUMIF(125:125,E43,126:126)-SUMIF(125:125,C43,126:126)+100</f>
        <v>100</v>
      </c>
      <c r="G43" s="601" t="s">
        <v>3150</v>
      </c>
      <c r="H43" s="540">
        <f>SUMIF(125:125,G43,126:126)-SUMIF(125:125,C43,126:126)+100</f>
        <v>100</v>
      </c>
      <c r="I43" s="601" t="s">
        <v>3150</v>
      </c>
      <c r="J43" s="540">
        <f>SUMIF(125:125,I43,126:126)-SUMIF(125:125,C43,126:126)+100</f>
        <v>100</v>
      </c>
      <c r="K43" s="584">
        <v>2</v>
      </c>
      <c r="L43" s="2135"/>
      <c r="M43" s="2132"/>
      <c r="N43" s="2132"/>
      <c r="O43" s="2137"/>
      <c r="P43" s="3757"/>
      <c r="Q43" s="1573" t="str">
        <f t="shared" si="14"/>
        <v>宗地开发程度</v>
      </c>
      <c r="R43" s="1569" t="s">
        <v>8</v>
      </c>
      <c r="S43" s="1570">
        <f t="shared" si="10"/>
        <v>100</v>
      </c>
      <c r="T43" s="1569" t="s">
        <v>8</v>
      </c>
      <c r="U43" s="1570">
        <f t="shared" si="11"/>
        <v>100</v>
      </c>
      <c r="V43" s="1569" t="s">
        <v>8</v>
      </c>
      <c r="W43" s="1570">
        <f t="shared" si="12"/>
        <v>100</v>
      </c>
      <c r="X43" s="1571"/>
      <c r="Y43" s="3757"/>
      <c r="Z43" s="1150" t="str">
        <f t="shared" si="13"/>
        <v>宗地开发程度</v>
      </c>
      <c r="AA43" s="1572">
        <f t="shared" si="3"/>
        <v>1</v>
      </c>
      <c r="AB43" s="1572">
        <f t="shared" si="4"/>
        <v>1</v>
      </c>
      <c r="AC43" s="1572">
        <f t="shared" si="5"/>
        <v>1</v>
      </c>
    </row>
    <row r="44" spans="1:29" ht="20.25">
      <c r="A44" s="594"/>
      <c r="B44" s="527" t="s">
        <v>555</v>
      </c>
      <c r="C44" s="599" t="s">
        <v>3150</v>
      </c>
      <c r="D44" s="540">
        <v>100</v>
      </c>
      <c r="E44" s="599" t="s">
        <v>3150</v>
      </c>
      <c r="F44" s="540">
        <f>SUMIF(127:127,E44,128:128)-SUMIF(127:127,C44,128:128)+100</f>
        <v>100</v>
      </c>
      <c r="G44" s="599" t="s">
        <v>3150</v>
      </c>
      <c r="H44" s="540">
        <f>SUMIF(127:127,G44,128:128)-SUMIF(127:127,C44,128:128)+100</f>
        <v>100</v>
      </c>
      <c r="I44" s="599" t="s">
        <v>3150</v>
      </c>
      <c r="J44" s="540">
        <f>SUMIF(127:127,I44,128:128)-SUMIF(127:127,C44,128:128)+100</f>
        <v>100</v>
      </c>
      <c r="K44" s="584">
        <v>2</v>
      </c>
      <c r="L44" s="2142"/>
      <c r="M44" s="2132"/>
      <c r="N44" s="2132"/>
      <c r="O44" s="2141"/>
      <c r="P44" s="3757" t="s">
        <v>550</v>
      </c>
      <c r="Q44" s="1573" t="str">
        <f t="shared" si="14"/>
        <v>工程地质条件</v>
      </c>
      <c r="R44" s="1574" t="s">
        <v>8</v>
      </c>
      <c r="S44" s="1575">
        <f t="shared" si="10"/>
        <v>100</v>
      </c>
      <c r="T44" s="1574" t="s">
        <v>8</v>
      </c>
      <c r="U44" s="1575">
        <f t="shared" si="11"/>
        <v>100</v>
      </c>
      <c r="V44" s="1574" t="s">
        <v>8</v>
      </c>
      <c r="W44" s="1575">
        <f t="shared" si="12"/>
        <v>100</v>
      </c>
      <c r="X44" s="1568"/>
      <c r="Y44" s="3757"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757"/>
      <c r="Q45" s="1573">
        <f t="shared" si="14"/>
        <v>111</v>
      </c>
      <c r="R45" s="1574" t="s">
        <v>8</v>
      </c>
      <c r="S45" s="1575">
        <f t="shared" si="10"/>
        <v>100</v>
      </c>
      <c r="T45" s="1574" t="s">
        <v>8</v>
      </c>
      <c r="U45" s="1575">
        <f t="shared" si="11"/>
        <v>100</v>
      </c>
      <c r="V45" s="1574" t="s">
        <v>8</v>
      </c>
      <c r="W45" s="1575">
        <f t="shared" si="12"/>
        <v>100</v>
      </c>
      <c r="X45" s="1568"/>
      <c r="Y45" s="3757"/>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757"/>
      <c r="Q46" s="1573">
        <f t="shared" si="14"/>
        <v>111</v>
      </c>
      <c r="R46" s="1574" t="s">
        <v>8</v>
      </c>
      <c r="S46" s="1575">
        <f t="shared" si="10"/>
        <v>100</v>
      </c>
      <c r="T46" s="1574" t="s">
        <v>8</v>
      </c>
      <c r="U46" s="1575">
        <f t="shared" si="11"/>
        <v>100</v>
      </c>
      <c r="V46" s="1574" t="s">
        <v>8</v>
      </c>
      <c r="W46" s="1575">
        <f t="shared" si="12"/>
        <v>100</v>
      </c>
      <c r="X46" s="1568"/>
      <c r="Y46" s="3757"/>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757"/>
      <c r="Q47" s="1573">
        <f t="shared" si="14"/>
        <v>111</v>
      </c>
      <c r="R47" s="1578" t="s">
        <v>8</v>
      </c>
      <c r="S47" s="1579">
        <f t="shared" si="10"/>
        <v>100</v>
      </c>
      <c r="T47" s="1578" t="s">
        <v>8</v>
      </c>
      <c r="U47" s="1579">
        <f t="shared" si="11"/>
        <v>100</v>
      </c>
      <c r="V47" s="1578" t="s">
        <v>8</v>
      </c>
      <c r="W47" s="1579">
        <f t="shared" si="12"/>
        <v>100</v>
      </c>
      <c r="X47" s="1580"/>
      <c r="Y47" s="3757"/>
      <c r="Z47" s="1581">
        <f t="shared" si="13"/>
        <v>111</v>
      </c>
      <c r="AA47" s="1577">
        <f t="shared" si="3"/>
        <v>1</v>
      </c>
      <c r="AB47" s="1577">
        <f t="shared" si="4"/>
        <v>1</v>
      </c>
      <c r="AC47" s="1577">
        <f t="shared" si="5"/>
        <v>1</v>
      </c>
    </row>
    <row r="48" spans="1:29" ht="20.25">
      <c r="A48" s="607" t="s">
        <v>556</v>
      </c>
      <c r="B48" s="608" t="s">
        <v>3009</v>
      </c>
      <c r="C48" s="609" t="s">
        <v>1</v>
      </c>
      <c r="D48" s="610"/>
      <c r="E48" s="611">
        <f>ROUND(Sheet1!K3,0)</f>
        <v>2193</v>
      </c>
      <c r="F48" s="612"/>
      <c r="G48" s="613">
        <f>ROUND(Sheet1!$K$10,0)</f>
        <v>2024</v>
      </c>
      <c r="H48" s="614"/>
      <c r="I48" s="613">
        <f>ROUND(Sheet1!$K$35,0)</f>
        <v>2272</v>
      </c>
      <c r="J48" s="614"/>
      <c r="K48" s="1340"/>
      <c r="L48" s="2144"/>
      <c r="M48" s="2132"/>
      <c r="N48" s="2132"/>
      <c r="O48" s="2145"/>
      <c r="P48" s="3752" t="str">
        <f>A48</f>
        <v>成交单价</v>
      </c>
      <c r="Q48" s="3752"/>
      <c r="R48" s="3766">
        <f>E48</f>
        <v>2193</v>
      </c>
      <c r="S48" s="3766"/>
      <c r="T48" s="3766">
        <f>G48</f>
        <v>2024</v>
      </c>
      <c r="U48" s="3766"/>
      <c r="V48" s="3766">
        <f>I48</f>
        <v>2272</v>
      </c>
      <c r="W48" s="3766"/>
      <c r="X48" s="1560"/>
      <c r="Y48" s="1582"/>
      <c r="Z48" s="1560"/>
      <c r="AA48" s="1560"/>
      <c r="AB48" s="1560"/>
      <c r="AC48" s="1560"/>
    </row>
    <row r="49" spans="1:29" ht="21" thickBot="1">
      <c r="A49" s="615" t="s">
        <v>2694</v>
      </c>
      <c r="B49" s="616"/>
      <c r="C49" s="617">
        <f>R50</f>
        <v>2259</v>
      </c>
      <c r="D49" s="618"/>
      <c r="E49" s="617">
        <f>R49</f>
        <v>2272</v>
      </c>
      <c r="F49" s="619"/>
      <c r="G49" s="620">
        <f>T49</f>
        <v>2077</v>
      </c>
      <c r="H49" s="618"/>
      <c r="I49" s="617">
        <f>V49</f>
        <v>2427</v>
      </c>
      <c r="J49" s="618"/>
      <c r="K49" s="1341"/>
      <c r="L49" s="2144"/>
      <c r="M49" s="2132"/>
      <c r="N49" s="2132"/>
      <c r="O49" s="2145"/>
      <c r="P49" s="3752" t="str">
        <f>A49</f>
        <v>比较价格（元/平方米）</v>
      </c>
      <c r="Q49" s="3752"/>
      <c r="R49" s="3776">
        <f>ROUND(PRODUCT(R48,AA9:AA47),0)</f>
        <v>2272</v>
      </c>
      <c r="S49" s="3776"/>
      <c r="T49" s="3776">
        <f>ROUND(PRODUCT(T48,AB9:AB47),0)</f>
        <v>2077</v>
      </c>
      <c r="U49" s="3776"/>
      <c r="V49" s="3776">
        <f>ROUND(PRODUCT(V48,AC9:AC47),0)</f>
        <v>2427</v>
      </c>
      <c r="W49" s="3776"/>
      <c r="X49" s="1560"/>
      <c r="Y49" s="1560"/>
      <c r="Z49" s="1560"/>
      <c r="AA49" s="1560"/>
      <c r="AB49" s="1560"/>
      <c r="AC49" s="1560"/>
    </row>
    <row r="50" spans="1:29" ht="21" thickBot="1">
      <c r="A50" s="621" t="s">
        <v>2935</v>
      </c>
      <c r="B50" s="622"/>
      <c r="C50" s="623">
        <f>R50</f>
        <v>2259</v>
      </c>
      <c r="D50" s="623"/>
      <c r="E50" s="623"/>
      <c r="F50" s="623"/>
      <c r="G50" s="623"/>
      <c r="H50" s="623"/>
      <c r="I50" s="623"/>
      <c r="J50" s="623"/>
      <c r="K50" s="1342"/>
      <c r="L50" s="2144"/>
      <c r="M50" s="2132"/>
      <c r="N50" s="2132"/>
      <c r="O50" s="2145"/>
      <c r="P50" s="3773" t="str">
        <f>A50</f>
        <v>估价对象XX用房的比较价格（楼面单价，元/平方米）</v>
      </c>
      <c r="Q50" s="3774"/>
      <c r="R50" s="3775">
        <f>ROUND(AVERAGE(R49:V49),0)</f>
        <v>2259</v>
      </c>
      <c r="S50" s="3775"/>
      <c r="T50" s="3775"/>
      <c r="U50" s="3775"/>
      <c r="V50" s="3775"/>
      <c r="W50" s="3775"/>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3.6023711810305503E-2</v>
      </c>
      <c r="F53" s="627" t="str">
        <f>IF(OR(E53&gt;=0.3,E53&lt;=-0.3),"超过30%","")</f>
        <v/>
      </c>
      <c r="G53" s="626">
        <f>IF(G48&lt;G49,G49/G48-1,G48/G49-1)</f>
        <v>2.6185770750988047E-2</v>
      </c>
      <c r="H53" s="627" t="str">
        <f>IF(OR(G53&gt;=0.3,G53&lt;=-0.3),"超过30%","")</f>
        <v/>
      </c>
      <c r="I53" s="626">
        <f>IF(I48&lt;I49,I49/I48-1,I48/I49-1)</f>
        <v>6.8221830985915499E-2</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9.3885411651420281E-2</v>
      </c>
      <c r="F54" s="627" t="str">
        <f>IF(OR(E54&gt;=0.2,E54&lt;=-0.2),"超过20%","")</f>
        <v/>
      </c>
      <c r="G54" s="626">
        <f>IF(G49&lt;I49,I49/G49-1,G49/I49-1)</f>
        <v>0.16851227732306207</v>
      </c>
      <c r="H54" s="627" t="str">
        <f>IF(OR(G54&gt;=0.2,G54&lt;=-0.2),"超过20%","")</f>
        <v/>
      </c>
      <c r="I54" s="626">
        <f>IF(I49&lt;E49,E49/I49-1,I49/E49-1)</f>
        <v>6.8221830985915499E-2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8.3498023715415037E-2</v>
      </c>
      <c r="F55" s="627" t="str">
        <f>IF(OR(E55&gt;=0.3,E55&lt;=-0.3),"超过30%","")</f>
        <v/>
      </c>
      <c r="G55" s="626">
        <f>IF(G48&lt;I48,I48/G48-1,G48/I48-1)</f>
        <v>0.12252964426877466</v>
      </c>
      <c r="H55" s="627" t="str">
        <f>IF(OR(G55&gt;=0.3,G55&lt;=-0.3),"超过30%","")</f>
        <v/>
      </c>
      <c r="I55" s="626">
        <f>IF(I48&lt;E48,E48/I48-1,I48/E48-1)</f>
        <v>3.6023711810305503E-2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1725</v>
      </c>
      <c r="D57" s="2227" t="s">
        <v>2294</v>
      </c>
      <c r="E57" s="631" t="s">
        <v>562</v>
      </c>
      <c r="F57" s="632" t="s">
        <v>563</v>
      </c>
      <c r="G57" s="3736" t="s">
        <v>2282</v>
      </c>
      <c r="H57" s="3737"/>
      <c r="I57" s="1556" t="s">
        <v>1723</v>
      </c>
      <c r="J57" s="1556" t="str">
        <f>项目基本情况!F41</f>
        <v>江苏省镇江市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2259</v>
      </c>
      <c r="C58" s="635">
        <v>1</v>
      </c>
      <c r="D58" s="2228">
        <v>1</v>
      </c>
      <c r="E58" s="635">
        <f>'数据-汇总表'!E8+'数据-汇总表'!E9</f>
        <v>76408.289999999994</v>
      </c>
      <c r="F58" s="636">
        <f t="shared" ref="F58:F67" si="15">ROUND(B58*E58/10000,0)</f>
        <v>17261</v>
      </c>
      <c r="G58" s="3738"/>
      <c r="H58" s="3739"/>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740" t="s">
        <v>2283</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740"/>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740"/>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740"/>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2329</v>
      </c>
      <c r="B63" s="638">
        <f t="shared" si="17"/>
        <v>0</v>
      </c>
      <c r="C63" s="378">
        <f t="shared" si="16"/>
        <v>0</v>
      </c>
      <c r="D63" s="2229">
        <v>0.25</v>
      </c>
      <c r="E63" s="641">
        <f>'数据-汇总表'!E11</f>
        <v>0</v>
      </c>
      <c r="F63" s="636">
        <f t="shared" si="15"/>
        <v>0</v>
      </c>
      <c r="G63" s="1945" t="s">
        <v>2284</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0</v>
      </c>
      <c r="F65" s="636">
        <f t="shared" si="15"/>
        <v>0</v>
      </c>
      <c r="G65" s="1946" t="s">
        <v>923</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5" t="s">
        <v>2283</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7" t="s">
        <v>2284</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2295</v>
      </c>
      <c r="E68" s="643">
        <f>IF(B48="楼面地价",SUM(E58:E67),'数据-汇总表'!D3)</f>
        <v>76408.289999999994</v>
      </c>
      <c r="F68" s="644">
        <f>IF(B48="楼面地价",SUM(F58:F67),ROUND(C50*E68/10000,0))</f>
        <v>17261</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2019-7-1</v>
      </c>
      <c r="D70" s="2777">
        <f>EDATE(C70,-3)</f>
        <v>43556</v>
      </c>
      <c r="E70" s="2777">
        <f t="shared" ref="E70:N70" si="18">EDATE(D70,-3)</f>
        <v>43466</v>
      </c>
      <c r="F70" s="2777">
        <f t="shared" si="18"/>
        <v>43374</v>
      </c>
      <c r="G70" s="2777">
        <f t="shared" si="18"/>
        <v>43282</v>
      </c>
      <c r="H70" s="2777">
        <f t="shared" si="18"/>
        <v>43191</v>
      </c>
      <c r="I70" s="2777">
        <f t="shared" si="18"/>
        <v>43101</v>
      </c>
      <c r="J70" s="2777">
        <f t="shared" si="18"/>
        <v>43009</v>
      </c>
      <c r="K70" s="2777">
        <f t="shared" si="18"/>
        <v>42917</v>
      </c>
      <c r="L70" s="2777">
        <f t="shared" si="18"/>
        <v>42826</v>
      </c>
      <c r="M70" s="2777">
        <f t="shared" si="18"/>
        <v>42736</v>
      </c>
      <c r="N70" s="2777">
        <f t="shared" si="18"/>
        <v>42644</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47" t="s">
        <v>2533</v>
      </c>
      <c r="B72" s="2548"/>
      <c r="C72" s="2772" t="str">
        <f>YEAR(C70)&amp;"-"&amp;ROUNDUP(MONTH(C70)/3,0)</f>
        <v>2019-3</v>
      </c>
      <c r="D72" s="2779" t="str">
        <f>YEAR(D70)&amp;"-"&amp;ROUNDUP(MONTH(D70)/3,0)</f>
        <v>2019-2</v>
      </c>
      <c r="E72" s="2779" t="str">
        <f t="shared" ref="E72:N72" si="19">YEAR(E70)&amp;"-"&amp;ROUNDUP(MONTH(E70)/3,0)</f>
        <v>2019-1</v>
      </c>
      <c r="F72" s="2779" t="str">
        <f t="shared" si="19"/>
        <v>2018-4</v>
      </c>
      <c r="G72" s="2779" t="str">
        <f t="shared" si="19"/>
        <v>2018-3</v>
      </c>
      <c r="H72" s="2779" t="str">
        <f t="shared" si="19"/>
        <v>2018-2</v>
      </c>
      <c r="I72" s="2779" t="str">
        <f t="shared" si="19"/>
        <v>2018-1</v>
      </c>
      <c r="J72" s="2779" t="str">
        <f t="shared" si="19"/>
        <v>2017-4</v>
      </c>
      <c r="K72" s="2779" t="str">
        <f t="shared" si="19"/>
        <v>2017-3</v>
      </c>
      <c r="L72" s="2779" t="str">
        <f t="shared" si="19"/>
        <v>2017-2</v>
      </c>
      <c r="M72" s="2779" t="str">
        <f t="shared" si="19"/>
        <v>2017-1</v>
      </c>
      <c r="N72" s="2779" t="str">
        <f t="shared" si="19"/>
        <v>2016-4</v>
      </c>
      <c r="O72" s="2159"/>
      <c r="P72" s="2160"/>
      <c r="Q72" s="2161"/>
      <c r="R72" s="2161"/>
      <c r="S72" s="2161"/>
      <c r="T72" s="2161"/>
      <c r="U72" s="2161"/>
      <c r="V72" s="2161"/>
      <c r="W72" s="2161"/>
      <c r="X72" s="2161"/>
      <c r="Y72" s="2161"/>
      <c r="Z72" s="2161"/>
      <c r="AA72" s="2161"/>
      <c r="AB72" s="2161"/>
      <c r="AC72" s="2161"/>
    </row>
    <row r="73" spans="1:29" s="1220" customFormat="1" ht="27" customHeight="1">
      <c r="A73" s="2784" t="s">
        <v>2648</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2770">
        <v>95</v>
      </c>
      <c r="N73" s="2771">
        <v>94.5</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74" t="s">
        <v>2647</v>
      </c>
      <c r="B74" s="2783"/>
      <c r="C74" s="2768"/>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77" t="s">
        <v>3280</v>
      </c>
      <c r="D77" s="3177" t="s">
        <v>3007</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98</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95</v>
      </c>
      <c r="E91" s="679">
        <f>D91-$K17</f>
        <v>90</v>
      </c>
      <c r="F91" s="679">
        <f>E91-$K17</f>
        <v>85</v>
      </c>
      <c r="G91" s="679">
        <f>F91-$K17</f>
        <v>80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98</v>
      </c>
      <c r="E95" s="679">
        <f>D95-$K21</f>
        <v>96</v>
      </c>
      <c r="F95" s="679">
        <f>E95-$K21</f>
        <v>94</v>
      </c>
      <c r="G95" s="679">
        <f>F95-$K21</f>
        <v>92</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2549</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76" t="s">
        <v>2551</v>
      </c>
      <c r="C104" s="2577" t="s">
        <v>2552</v>
      </c>
      <c r="D104" s="2577" t="s">
        <v>2553</v>
      </c>
      <c r="E104" s="2577" t="s">
        <v>2554</v>
      </c>
      <c r="F104" s="2577" t="s">
        <v>2555</v>
      </c>
      <c r="G104" s="2577"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0(含)-20000</v>
      </c>
      <c r="D118" s="704" t="str">
        <f t="shared" si="25"/>
        <v>20000(含)-40000</v>
      </c>
      <c r="E118" s="704" t="str">
        <f t="shared" si="25"/>
        <v>40000(含)-100000</v>
      </c>
      <c r="F118" s="704" t="str">
        <f t="shared" si="25"/>
        <v>100000(含)-</v>
      </c>
      <c r="G118" s="704" t="str">
        <f t="shared" si="25"/>
        <v>(含)-</v>
      </c>
      <c r="H118" s="704" t="str">
        <f t="shared" si="25"/>
        <v>(含)-</v>
      </c>
      <c r="I118" s="704" t="str">
        <f t="shared" si="25"/>
        <v>(含)-</v>
      </c>
      <c r="J118" s="3068" t="str">
        <f t="shared" si="25"/>
        <v>(含)-</v>
      </c>
      <c r="K118" s="3068" t="str">
        <f t="shared" si="25"/>
        <v>(含)-</v>
      </c>
      <c r="L118" s="3069" t="str">
        <f t="shared" si="25"/>
        <v>(含)-</v>
      </c>
      <c r="M118" s="3070"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100000</v>
      </c>
      <c r="G119" s="730"/>
      <c r="H119" s="730"/>
      <c r="I119" s="730"/>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98</v>
      </c>
      <c r="D120" s="726">
        <v>100</v>
      </c>
      <c r="E120" s="726">
        <v>98</v>
      </c>
      <c r="F120" s="726">
        <v>96</v>
      </c>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564" t="s">
        <v>3268</v>
      </c>
      <c r="D121" s="3564" t="s">
        <v>3269</v>
      </c>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2426</v>
      </c>
      <c r="C125" s="1376" t="s">
        <v>3270</v>
      </c>
      <c r="D125" s="1376"/>
      <c r="E125" s="1376"/>
      <c r="F125" s="1376"/>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565" t="s">
        <v>3270</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787"/>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2653</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1848</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1865</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1849</v>
      </c>
      <c r="B13" s="449" t="s">
        <v>479</v>
      </c>
      <c r="C13" s="450">
        <f ca="1">IF(B1="",'数据-取费表'!M16,INDIRECT("'数据-取费表'!M"&amp;$K$1)+INDIRECT("'数据-取费表'!t"&amp;$K$1))</f>
        <v>20248</v>
      </c>
      <c r="D13" s="451"/>
      <c r="E13" s="365"/>
      <c r="F13" s="452"/>
      <c r="G13" s="444"/>
      <c r="H13" s="447"/>
      <c r="I13" s="447"/>
      <c r="J13" s="447"/>
      <c r="K13" s="448"/>
    </row>
    <row r="14" spans="1:41" s="2116" customFormat="1" ht="13.5" customHeight="1">
      <c r="A14" s="1634" t="s">
        <v>1850</v>
      </c>
      <c r="B14" s="449" t="s">
        <v>480</v>
      </c>
      <c r="C14" s="53">
        <f ca="1">ROUND(C13*F14,0)</f>
        <v>607</v>
      </c>
      <c r="D14" s="451"/>
      <c r="E14" s="365"/>
      <c r="F14" s="453">
        <f>'数据-取费表'!B33</f>
        <v>0.03</v>
      </c>
      <c r="G14" s="444" t="s">
        <v>502</v>
      </c>
      <c r="H14" s="447"/>
      <c r="I14" s="447"/>
      <c r="J14" s="447"/>
      <c r="K14" s="448"/>
    </row>
    <row r="15" spans="1:41" s="2116" customFormat="1" ht="13.5" customHeight="1">
      <c r="A15" s="1634" t="s">
        <v>1851</v>
      </c>
      <c r="B15" s="449" t="s">
        <v>482</v>
      </c>
      <c r="C15" s="53">
        <f ca="1">ROUND(IF(B1="",SUMIF('数据-取费表'!C:C,"住宅",'数据-取费表'!M:M)*F15,IF(INDIRECT("'数据-取费表'!c"&amp;$K$1)="住宅",INDIRECT("'数据-取费表'!M"&amp;$K$1)*F15,0)),0)</f>
        <v>911</v>
      </c>
      <c r="D15" s="451"/>
      <c r="E15" s="365"/>
      <c r="F15" s="453">
        <f>'数据-取费表'!B34</f>
        <v>0.05</v>
      </c>
      <c r="G15" s="444" t="s">
        <v>502</v>
      </c>
      <c r="H15" s="447"/>
      <c r="I15" s="447"/>
      <c r="J15" s="447"/>
      <c r="K15" s="448"/>
    </row>
    <row r="16" spans="1:41" s="2117" customFormat="1" ht="13.5" customHeight="1">
      <c r="A16" s="1634" t="s">
        <v>1852</v>
      </c>
      <c r="B16" s="449" t="s">
        <v>484</v>
      </c>
      <c r="C16" s="53">
        <f ca="1">ROUND(D16*E16/10000,0)</f>
        <v>1528</v>
      </c>
      <c r="D16" s="451">
        <f ca="1">IF(B1="",'数据-汇总表'!E3,INDIRECT("'数据-取费表'!K"&amp;$K$1)+INDIRECT("'数据-取费表'!S"&amp;$K$1))</f>
        <v>76408.289999999994</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1853</v>
      </c>
      <c r="B17" s="449" t="s">
        <v>485</v>
      </c>
      <c r="C17" s="454">
        <f ca="1">ROUND(C13*F17,0)</f>
        <v>304</v>
      </c>
      <c r="D17" s="455"/>
      <c r="E17" s="454"/>
      <c r="F17" s="456">
        <f>'数据-取费表'!B36</f>
        <v>1.4999999999999999E-2</v>
      </c>
      <c r="G17" s="444" t="s">
        <v>502</v>
      </c>
      <c r="H17" s="457"/>
      <c r="I17" s="457"/>
      <c r="J17" s="457"/>
      <c r="K17" s="458"/>
    </row>
    <row r="18" spans="1:14" s="2119" customFormat="1" ht="13.5" customHeight="1">
      <c r="A18" s="1635" t="s">
        <v>1854</v>
      </c>
      <c r="B18" s="459" t="s">
        <v>487</v>
      </c>
      <c r="C18" s="460">
        <f ca="1">SUM(C13:C17)</f>
        <v>23598</v>
      </c>
      <c r="D18" s="461"/>
      <c r="E18" s="462"/>
      <c r="F18" s="462"/>
      <c r="G18" s="1327" t="s">
        <v>2433</v>
      </c>
      <c r="H18" s="447"/>
      <c r="I18" s="447"/>
      <c r="J18" s="447"/>
      <c r="K18" s="448"/>
    </row>
    <row r="19" spans="1:14" s="2119" customFormat="1" ht="13.5" customHeight="1">
      <c r="A19" s="1635" t="s">
        <v>1855</v>
      </c>
      <c r="B19" s="459" t="s">
        <v>493</v>
      </c>
      <c r="C19" s="460">
        <f ca="1">ROUND(C18*F19,0)</f>
        <v>472</v>
      </c>
      <c r="D19" s="462"/>
      <c r="E19" s="462"/>
      <c r="F19" s="466">
        <f>'数据-取费表'!B37</f>
        <v>0.02</v>
      </c>
      <c r="G19" s="444" t="s">
        <v>503</v>
      </c>
      <c r="H19" s="447"/>
      <c r="I19" s="447"/>
      <c r="J19" s="447"/>
      <c r="K19" s="448"/>
      <c r="L19" s="2121"/>
      <c r="M19" s="2121"/>
      <c r="N19" s="2121"/>
    </row>
    <row r="20" spans="1:14" s="2119" customFormat="1" ht="13.5" customHeight="1">
      <c r="A20" s="1635" t="s">
        <v>1856</v>
      </c>
      <c r="B20" s="459" t="s">
        <v>504</v>
      </c>
      <c r="C20" s="3005">
        <f>F20</f>
        <v>0.02</v>
      </c>
      <c r="D20" s="469" t="s">
        <v>505</v>
      </c>
      <c r="E20" s="469"/>
      <c r="F20" s="486">
        <f>'数据-取费表'!B38</f>
        <v>0.02</v>
      </c>
      <c r="G20" s="1327" t="s">
        <v>506</v>
      </c>
      <c r="H20" s="447"/>
      <c r="I20" s="447"/>
      <c r="J20" s="447"/>
      <c r="K20" s="448"/>
      <c r="L20" s="2121"/>
      <c r="M20" s="2121"/>
      <c r="N20" s="2121"/>
    </row>
    <row r="21" spans="1:14" s="2121" customFormat="1" ht="13.5" customHeight="1">
      <c r="A21" s="1635" t="s">
        <v>1859</v>
      </c>
      <c r="B21" s="461" t="s">
        <v>494</v>
      </c>
      <c r="C21" s="470">
        <f ca="1">C22</f>
        <v>1143</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4" t="s">
        <v>1849</v>
      </c>
      <c r="B22" s="1328" t="s">
        <v>2436</v>
      </c>
      <c r="C22" s="487">
        <f ca="1">ROUND(IF('数据-取费表'!B22&lt;=1,(C18+C19)*F21*'数据-取费表'!B20/2,(C18+C19)*(POWER((1+F21),'数据-取费表'!B20/2)-1)),0)</f>
        <v>1143</v>
      </c>
      <c r="D22" s="472"/>
      <c r="E22" s="473"/>
      <c r="F22" s="474"/>
      <c r="G22" s="2546" t="str">
        <f>IF('数据-取费表'!B22&lt;=1,"((1)+(2))×年利率×建设期÷2","((1)+(2))×((1+年利率)^(建设期÷2)-1)")</f>
        <v>((1)+(2))×((1+年利率)^(建设期÷2)-1)</v>
      </c>
      <c r="H22" s="457"/>
      <c r="I22" s="457"/>
      <c r="J22" s="457"/>
      <c r="K22" s="458"/>
    </row>
    <row r="23" spans="1:14" s="2120" customFormat="1" ht="13.5" customHeight="1">
      <c r="A23" s="1634" t="s">
        <v>1850</v>
      </c>
      <c r="B23" s="1328" t="s">
        <v>508</v>
      </c>
      <c r="C23" s="488">
        <f ca="1">ROUND(IF('数据-取费表'!B22&lt;=1,F20*F21*'数据-取费表'!B20/2,F20*(POWER((1+F21),'数据-取费表'!B20/2)-1)),4)</f>
        <v>1E-3</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5" t="s">
        <v>1860</v>
      </c>
      <c r="B24" s="3007" t="s">
        <v>2833</v>
      </c>
      <c r="C24" s="478">
        <f ca="1">C25</f>
        <v>4814</v>
      </c>
      <c r="D24" s="489">
        <f ca="1">C26</f>
        <v>4.0000000000000001E-3</v>
      </c>
      <c r="E24" s="469" t="s">
        <v>507</v>
      </c>
      <c r="F24" s="479">
        <f ca="1">IF(B1="",'数据-取费表'!Q16,INDIRECT("'数据-取费表'!q"&amp;$K$1))</f>
        <v>0.2</v>
      </c>
      <c r="G24" s="444"/>
      <c r="H24" s="447"/>
      <c r="I24" s="447"/>
      <c r="J24" s="447"/>
      <c r="K24" s="448"/>
    </row>
    <row r="25" spans="1:14" s="2120" customFormat="1" ht="13.5" customHeight="1">
      <c r="A25" s="1634" t="s">
        <v>1849</v>
      </c>
      <c r="B25" s="1328" t="s">
        <v>2437</v>
      </c>
      <c r="C25" s="490">
        <f ca="1">ROUND((C18+C19)*F24,0)</f>
        <v>4814</v>
      </c>
      <c r="D25" s="472"/>
      <c r="E25" s="473"/>
      <c r="F25" s="480"/>
      <c r="G25" s="1326" t="s">
        <v>2434</v>
      </c>
      <c r="H25" s="457"/>
      <c r="I25" s="457"/>
      <c r="J25" s="457"/>
      <c r="K25" s="458"/>
    </row>
    <row r="26" spans="1:14" s="2120" customFormat="1" ht="13.5" customHeight="1">
      <c r="A26" s="1634" t="s">
        <v>1850</v>
      </c>
      <c r="B26" s="1328" t="s">
        <v>509</v>
      </c>
      <c r="C26" s="491">
        <f ca="1">ROUND(F20*F24,4)</f>
        <v>4.0000000000000001E-3</v>
      </c>
      <c r="D26" s="472"/>
      <c r="E26" s="481"/>
      <c r="F26" s="480"/>
      <c r="G26" s="1326" t="s">
        <v>510</v>
      </c>
      <c r="H26" s="457"/>
      <c r="I26" s="457"/>
      <c r="J26" s="457"/>
      <c r="K26" s="458"/>
    </row>
    <row r="27" spans="1:14" s="2120" customFormat="1" ht="13.5" customHeight="1">
      <c r="A27" s="1638" t="s">
        <v>1868</v>
      </c>
      <c r="B27" s="459" t="s">
        <v>511</v>
      </c>
      <c r="C27" s="3006">
        <f>ROUND(F27/(1+'数据-取费表'!C42),4)</f>
        <v>5.33E-2</v>
      </c>
      <c r="D27" s="462" t="s">
        <v>2831</v>
      </c>
      <c r="E27" s="462"/>
      <c r="F27" s="466">
        <f>'数据-取费表'!B41</f>
        <v>5.6000000000000001E-2</v>
      </c>
      <c r="G27" s="1960" t="s">
        <v>2292</v>
      </c>
      <c r="H27" s="447"/>
      <c r="I27" s="447"/>
      <c r="J27" s="447"/>
      <c r="K27" s="448"/>
    </row>
    <row r="28" spans="1:14" s="2121" customFormat="1" ht="13.5" customHeight="1">
      <c r="A28" s="1638" t="s">
        <v>1869</v>
      </c>
      <c r="B28" s="476" t="s">
        <v>512</v>
      </c>
      <c r="C28" s="470">
        <f ca="1">ROUND((C18+C19+C21+C24)/(1-C20-D21-D24-C27),0)</f>
        <v>32578</v>
      </c>
      <c r="D28" s="477"/>
      <c r="E28" s="469"/>
      <c r="F28" s="471"/>
      <c r="G28" s="1327" t="s">
        <v>2435</v>
      </c>
      <c r="H28" s="447"/>
      <c r="I28" s="447"/>
      <c r="J28" s="447"/>
      <c r="K28" s="448"/>
    </row>
    <row r="29" spans="1:14" s="2121"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61" t="s">
        <v>1866</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2"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571" t="str">
        <f>项目基本情况!B1</f>
        <v>江苏省镇江市扬中市油坊镇出让国有建设用地使用权抵押价格预评估</v>
      </c>
      <c r="C37" s="3571"/>
      <c r="D37" s="3571"/>
      <c r="E37" s="3571"/>
      <c r="F37" s="3571"/>
      <c r="G37" s="3571"/>
      <c r="H37" s="3571"/>
      <c r="I37" s="3571"/>
    </row>
    <row r="38" spans="1:9">
      <c r="A38" s="1657"/>
      <c r="B38" s="1657"/>
    </row>
    <row r="39" spans="1:9">
      <c r="A39" s="1655" t="s">
        <v>1902</v>
      </c>
      <c r="B39" s="1655" t="s">
        <v>2047</v>
      </c>
    </row>
    <row r="40" spans="1:9">
      <c r="A40" s="1655"/>
      <c r="B40" s="1655" t="str">
        <f>项目基本情况!B5</f>
        <v>大航控股集团有限公司</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赵雯、崔锴</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758" t="s">
        <v>522</v>
      </c>
      <c r="D6" s="3759"/>
      <c r="E6" s="3782" t="s">
        <v>523</v>
      </c>
      <c r="F6" s="3783"/>
      <c r="G6" s="3758" t="s">
        <v>524</v>
      </c>
      <c r="H6" s="3759"/>
      <c r="I6" s="3758" t="s">
        <v>525</v>
      </c>
      <c r="J6" s="3759"/>
      <c r="K6" s="514" t="s">
        <v>526</v>
      </c>
      <c r="L6" s="2133"/>
      <c r="M6" s="2134"/>
      <c r="N6" s="2134"/>
      <c r="O6" s="2134"/>
      <c r="P6" s="3760" t="s">
        <v>527</v>
      </c>
      <c r="Q6" s="3761"/>
      <c r="R6" s="3746" t="s">
        <v>523</v>
      </c>
      <c r="S6" s="3747"/>
      <c r="T6" s="3746" t="s">
        <v>524</v>
      </c>
      <c r="U6" s="3747"/>
      <c r="V6" s="3766" t="s">
        <v>525</v>
      </c>
      <c r="W6" s="3766"/>
      <c r="X6" s="1568"/>
      <c r="Y6" s="3746" t="s">
        <v>527</v>
      </c>
      <c r="Z6" s="3747"/>
      <c r="AA6" s="3741" t="s">
        <v>523</v>
      </c>
      <c r="AB6" s="3742" t="s">
        <v>524</v>
      </c>
      <c r="AC6" s="3741" t="s">
        <v>525</v>
      </c>
    </row>
    <row r="7" spans="1:29" ht="15">
      <c r="A7" s="515"/>
      <c r="B7" s="516"/>
      <c r="C7" s="3769" t="s">
        <v>2929</v>
      </c>
      <c r="D7" s="3770"/>
      <c r="E7" s="3784" t="s">
        <v>2930</v>
      </c>
      <c r="F7" s="3785"/>
      <c r="G7" s="3769" t="s">
        <v>2931</v>
      </c>
      <c r="H7" s="3770"/>
      <c r="I7" s="3769" t="s">
        <v>2932</v>
      </c>
      <c r="J7" s="3770"/>
      <c r="K7" s="514"/>
      <c r="L7" s="2133"/>
      <c r="M7" s="2134"/>
      <c r="N7" s="2134"/>
      <c r="O7" s="2134"/>
      <c r="P7" s="3762"/>
      <c r="Q7" s="3763"/>
      <c r="R7" s="3748"/>
      <c r="S7" s="3749"/>
      <c r="T7" s="3748"/>
      <c r="U7" s="3749"/>
      <c r="V7" s="3766"/>
      <c r="W7" s="3766"/>
      <c r="X7" s="1568"/>
      <c r="Y7" s="3748"/>
      <c r="Z7" s="3749"/>
      <c r="AA7" s="3742"/>
      <c r="AB7" s="3742"/>
      <c r="AC7" s="3742"/>
    </row>
    <row r="8" spans="1:29" ht="15.75" thickBot="1">
      <c r="A8" s="517"/>
      <c r="B8" s="518"/>
      <c r="C8" s="3767" t="s">
        <v>2933</v>
      </c>
      <c r="D8" s="3768"/>
      <c r="E8" s="3786" t="s">
        <v>2933</v>
      </c>
      <c r="F8" s="3787"/>
      <c r="G8" s="3767" t="s">
        <v>2933</v>
      </c>
      <c r="H8" s="3768"/>
      <c r="I8" s="3767" t="s">
        <v>2933</v>
      </c>
      <c r="J8" s="3768"/>
      <c r="K8" s="514" t="s">
        <v>528</v>
      </c>
      <c r="L8" s="2133"/>
      <c r="M8" s="2134"/>
      <c r="N8" s="2134"/>
      <c r="O8" s="2134"/>
      <c r="P8" s="3764"/>
      <c r="Q8" s="3765"/>
      <c r="R8" s="3748"/>
      <c r="S8" s="3749"/>
      <c r="T8" s="3750"/>
      <c r="U8" s="3751"/>
      <c r="V8" s="3766"/>
      <c r="W8" s="3766"/>
      <c r="X8" s="1568"/>
      <c r="Y8" s="3750"/>
      <c r="Z8" s="3751"/>
      <c r="AA8" s="3743"/>
      <c r="AB8" s="3743"/>
      <c r="AC8" s="3743"/>
    </row>
    <row r="9" spans="1:29" s="1220" customFormat="1" ht="15.75" thickBot="1">
      <c r="A9" s="2890"/>
      <c r="B9" s="2897" t="s">
        <v>529</v>
      </c>
      <c r="C9" s="519">
        <f>'数据-取费表'!B2</f>
        <v>43649</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744" t="s">
        <v>530</v>
      </c>
      <c r="Q9" s="3753"/>
      <c r="R9" s="1569" t="s">
        <v>8</v>
      </c>
      <c r="S9" s="1570">
        <f t="shared" ref="S9:S17" si="0">F9</f>
        <v>0</v>
      </c>
      <c r="T9" s="1569" t="s">
        <v>8</v>
      </c>
      <c r="U9" s="1570">
        <f t="shared" ref="U9:U17" si="1">H9</f>
        <v>0</v>
      </c>
      <c r="V9" s="1569" t="s">
        <v>8</v>
      </c>
      <c r="W9" s="1570">
        <f t="shared" ref="W9:W17" si="2">J9</f>
        <v>0</v>
      </c>
      <c r="X9" s="1571"/>
      <c r="Y9" s="3744" t="s">
        <v>530</v>
      </c>
      <c r="Z9" s="3745"/>
      <c r="AA9" s="1572" t="e">
        <f>D9/F9</f>
        <v>#DIV/0!</v>
      </c>
      <c r="AB9" s="1572" t="e">
        <f>D9/H9</f>
        <v>#DIV/0!</v>
      </c>
      <c r="AC9" s="1572" t="e">
        <f>D9/J9</f>
        <v>#DIV/0!</v>
      </c>
    </row>
    <row r="10" spans="1:29" s="1220"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744" t="s">
        <v>533</v>
      </c>
      <c r="Q10" s="3745"/>
      <c r="R10" s="1569" t="s">
        <v>8</v>
      </c>
      <c r="S10" s="1570">
        <f t="shared" si="0"/>
        <v>0</v>
      </c>
      <c r="T10" s="1569" t="s">
        <v>8</v>
      </c>
      <c r="U10" s="1570">
        <f t="shared" si="1"/>
        <v>0</v>
      </c>
      <c r="V10" s="1569" t="s">
        <v>8</v>
      </c>
      <c r="W10" s="1570">
        <f t="shared" si="2"/>
        <v>0</v>
      </c>
      <c r="X10" s="1571"/>
      <c r="Y10" s="3744" t="s">
        <v>533</v>
      </c>
      <c r="Z10" s="3745"/>
      <c r="AA10" s="1572" t="e">
        <f t="shared" ref="AA10:AA42" si="3">D10/F10</f>
        <v>#DIV/0!</v>
      </c>
      <c r="AB10" s="1572" t="e">
        <f t="shared" ref="AB10:AB42" si="4">D10/H10</f>
        <v>#DIV/0!</v>
      </c>
      <c r="AC10" s="1572" t="e">
        <f t="shared" ref="AC10:AC42" si="5">D10/J10</f>
        <v>#DIV/0!</v>
      </c>
    </row>
    <row r="11" spans="1:29" s="1220" customFormat="1" ht="15">
      <c r="A11" s="2892"/>
      <c r="B11" s="2899" t="s">
        <v>2757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752" t="s">
        <v>535</v>
      </c>
      <c r="Q11" s="1151" t="str">
        <f t="shared" ref="Q11:Q17" si="6">B11</f>
        <v>用途</v>
      </c>
      <c r="R11" s="1569" t="s">
        <v>8</v>
      </c>
      <c r="S11" s="1570">
        <f t="shared" si="0"/>
        <v>100</v>
      </c>
      <c r="T11" s="1569" t="s">
        <v>8</v>
      </c>
      <c r="U11" s="1570">
        <f t="shared" si="1"/>
        <v>100</v>
      </c>
      <c r="V11" s="1569" t="s">
        <v>8</v>
      </c>
      <c r="W11" s="1570">
        <f t="shared" si="2"/>
        <v>100</v>
      </c>
      <c r="X11" s="1571"/>
      <c r="Y11" s="3709" t="s">
        <v>536</v>
      </c>
      <c r="Z11" s="1150" t="str">
        <f t="shared" ref="Z11:Z17" si="7">Q11</f>
        <v>用途</v>
      </c>
      <c r="AA11" s="1572">
        <f t="shared" si="3"/>
        <v>1</v>
      </c>
      <c r="AB11" s="1572">
        <f t="shared" si="4"/>
        <v>1</v>
      </c>
      <c r="AC11" s="1572">
        <f t="shared" si="5"/>
        <v>1</v>
      </c>
    </row>
    <row r="12" spans="1:29" s="1338" customFormat="1" ht="27">
      <c r="A12" s="2893"/>
      <c r="B12" s="2898" t="s">
        <v>2758</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752"/>
      <c r="Q12" s="1151" t="str">
        <f t="shared" si="6"/>
        <v>土地使用年限（年）</v>
      </c>
      <c r="R12" s="1569" t="s">
        <v>8</v>
      </c>
      <c r="S12" s="1570">
        <f t="shared" si="0"/>
        <v>100</v>
      </c>
      <c r="T12" s="1569" t="s">
        <v>8</v>
      </c>
      <c r="U12" s="1570">
        <f t="shared" si="1"/>
        <v>100</v>
      </c>
      <c r="V12" s="1569" t="s">
        <v>8</v>
      </c>
      <c r="W12" s="1570">
        <f t="shared" si="2"/>
        <v>100</v>
      </c>
      <c r="X12" s="1571"/>
      <c r="Y12" s="3709"/>
      <c r="Z12" s="1150" t="str">
        <f t="shared" si="7"/>
        <v>土地使用年限（年）</v>
      </c>
      <c r="AA12" s="1572">
        <f t="shared" si="3"/>
        <v>1</v>
      </c>
      <c r="AB12" s="1572">
        <f t="shared" si="4"/>
        <v>1</v>
      </c>
      <c r="AC12" s="1572">
        <f t="shared" si="5"/>
        <v>1</v>
      </c>
    </row>
    <row r="13" spans="1:29" ht="15">
      <c r="A13" s="2894"/>
      <c r="B13" s="2898"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752"/>
      <c r="Q13" s="1151" t="str">
        <f t="shared" si="6"/>
        <v>容积率</v>
      </c>
      <c r="R13" s="1569" t="s">
        <v>8</v>
      </c>
      <c r="S13" s="1570" t="e">
        <f t="shared" si="0"/>
        <v>#N/A</v>
      </c>
      <c r="T13" s="1569" t="s">
        <v>8</v>
      </c>
      <c r="U13" s="1570" t="e">
        <f t="shared" si="1"/>
        <v>#N/A</v>
      </c>
      <c r="V13" s="1569" t="s">
        <v>8</v>
      </c>
      <c r="W13" s="1570" t="e">
        <f t="shared" si="2"/>
        <v>#N/A</v>
      </c>
      <c r="X13" s="1571"/>
      <c r="Y13" s="3709"/>
      <c r="Z13" s="1150" t="str">
        <f t="shared" si="7"/>
        <v>容积率</v>
      </c>
      <c r="AA13" s="1572" t="e">
        <f t="shared" si="3"/>
        <v>#N/A</v>
      </c>
      <c r="AB13" s="1572" t="e">
        <f t="shared" si="4"/>
        <v>#N/A</v>
      </c>
      <c r="AC13" s="1572"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752"/>
      <c r="Q14" s="1151">
        <f t="shared" si="6"/>
        <v>111</v>
      </c>
      <c r="R14" s="1569" t="s">
        <v>8</v>
      </c>
      <c r="S14" s="1570">
        <f t="shared" si="0"/>
        <v>100</v>
      </c>
      <c r="T14" s="1569" t="s">
        <v>8</v>
      </c>
      <c r="U14" s="1570">
        <f t="shared" si="1"/>
        <v>100</v>
      </c>
      <c r="V14" s="1569" t="s">
        <v>8</v>
      </c>
      <c r="W14" s="1570">
        <f t="shared" si="2"/>
        <v>100</v>
      </c>
      <c r="X14" s="1571"/>
      <c r="Y14" s="3709"/>
      <c r="Z14" s="1150">
        <f t="shared" si="7"/>
        <v>111</v>
      </c>
      <c r="AA14" s="1572">
        <f>D14/F14</f>
        <v>1</v>
      </c>
      <c r="AB14" s="1572">
        <f>D14/H14</f>
        <v>1</v>
      </c>
      <c r="AC14" s="1572">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752"/>
      <c r="Q15" s="1151">
        <f t="shared" si="6"/>
        <v>111</v>
      </c>
      <c r="R15" s="1569" t="s">
        <v>8</v>
      </c>
      <c r="S15" s="1570">
        <f t="shared" si="0"/>
        <v>100</v>
      </c>
      <c r="T15" s="1569" t="s">
        <v>8</v>
      </c>
      <c r="U15" s="1570">
        <f t="shared" si="1"/>
        <v>100</v>
      </c>
      <c r="V15" s="1569" t="s">
        <v>8</v>
      </c>
      <c r="W15" s="1570">
        <f t="shared" si="2"/>
        <v>100</v>
      </c>
      <c r="X15" s="1571"/>
      <c r="Y15" s="3709"/>
      <c r="Z15" s="1150">
        <f t="shared" si="7"/>
        <v>111</v>
      </c>
      <c r="AA15" s="1572">
        <f t="shared" si="3"/>
        <v>1</v>
      </c>
      <c r="AB15" s="1572">
        <f t="shared" si="4"/>
        <v>1</v>
      </c>
      <c r="AC15" s="1572">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752"/>
      <c r="Q16" s="1151">
        <f t="shared" si="6"/>
        <v>111</v>
      </c>
      <c r="R16" s="1569" t="s">
        <v>8</v>
      </c>
      <c r="S16" s="1570">
        <f t="shared" si="0"/>
        <v>100</v>
      </c>
      <c r="T16" s="1569" t="s">
        <v>8</v>
      </c>
      <c r="U16" s="1570">
        <f t="shared" si="1"/>
        <v>100</v>
      </c>
      <c r="V16" s="1569" t="s">
        <v>8</v>
      </c>
      <c r="W16" s="1570">
        <f t="shared" si="2"/>
        <v>100</v>
      </c>
      <c r="X16" s="1571"/>
      <c r="Y16" s="3709"/>
      <c r="Z16" s="1150">
        <f t="shared" si="7"/>
        <v>111</v>
      </c>
      <c r="AA16" s="1572">
        <f t="shared" si="3"/>
        <v>1</v>
      </c>
      <c r="AB16" s="1572">
        <f t="shared" si="4"/>
        <v>1</v>
      </c>
      <c r="AC16" s="1572">
        <f t="shared" si="5"/>
        <v>1</v>
      </c>
    </row>
    <row r="17" spans="1:29" ht="57">
      <c r="A17" s="2888"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754" t="s">
        <v>540</v>
      </c>
      <c r="Q17" s="1573" t="str">
        <f t="shared" si="6"/>
        <v>产业集聚程度</v>
      </c>
      <c r="R17" s="1574" t="s">
        <v>8</v>
      </c>
      <c r="S17" s="1575">
        <f t="shared" si="0"/>
        <v>100</v>
      </c>
      <c r="T17" s="1574" t="s">
        <v>8</v>
      </c>
      <c r="U17" s="1575">
        <f t="shared" si="1"/>
        <v>100</v>
      </c>
      <c r="V17" s="1574" t="s">
        <v>8</v>
      </c>
      <c r="W17" s="1575">
        <f t="shared" si="2"/>
        <v>100</v>
      </c>
      <c r="X17" s="1568"/>
      <c r="Y17" s="375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755"/>
      <c r="Q18" s="1573"/>
      <c r="R18" s="1574"/>
      <c r="S18" s="1575"/>
      <c r="T18" s="1574"/>
      <c r="U18" s="1575"/>
      <c r="V18" s="1574"/>
      <c r="W18" s="1575"/>
      <c r="X18" s="1568"/>
      <c r="Y18" s="375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755"/>
      <c r="Q19" s="1573" t="str">
        <f>B19</f>
        <v>交通便捷度</v>
      </c>
      <c r="R19" s="1574" t="s">
        <v>8</v>
      </c>
      <c r="S19" s="1575">
        <f>F19</f>
        <v>100</v>
      </c>
      <c r="T19" s="1574" t="s">
        <v>8</v>
      </c>
      <c r="U19" s="1575">
        <f>H19</f>
        <v>100</v>
      </c>
      <c r="V19" s="1574" t="s">
        <v>8</v>
      </c>
      <c r="W19" s="1575">
        <f>J19</f>
        <v>100</v>
      </c>
      <c r="X19" s="1568"/>
      <c r="Y19" s="375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755"/>
      <c r="Q20" s="1573"/>
      <c r="R20" s="1574"/>
      <c r="S20" s="1575"/>
      <c r="T20" s="1574"/>
      <c r="U20" s="1575"/>
      <c r="V20" s="1574"/>
      <c r="W20" s="1575"/>
      <c r="X20" s="1568"/>
      <c r="Y20" s="375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755"/>
      <c r="Q21" s="1573" t="str">
        <f t="shared" ref="Q21:Q35" si="8">B21</f>
        <v>区域土地利用方向</v>
      </c>
      <c r="R21" s="1574" t="s">
        <v>8</v>
      </c>
      <c r="S21" s="1575">
        <f>F21</f>
        <v>100</v>
      </c>
      <c r="T21" s="1574" t="s">
        <v>8</v>
      </c>
      <c r="U21" s="1575">
        <f>H21</f>
        <v>100</v>
      </c>
      <c r="V21" s="1574" t="s">
        <v>8</v>
      </c>
      <c r="W21" s="1575">
        <f>J21</f>
        <v>100</v>
      </c>
      <c r="X21" s="1568"/>
      <c r="Y21" s="375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755"/>
      <c r="Q22" s="1573"/>
      <c r="R22" s="1574"/>
      <c r="S22" s="1575"/>
      <c r="T22" s="1574"/>
      <c r="U22" s="1575"/>
      <c r="V22" s="1574"/>
      <c r="W22" s="1575"/>
      <c r="X22" s="1568"/>
      <c r="Y22" s="375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755"/>
      <c r="Q23" s="1573" t="str">
        <f t="shared" si="8"/>
        <v>环境状况</v>
      </c>
      <c r="R23" s="1574" t="s">
        <v>8</v>
      </c>
      <c r="S23" s="1575">
        <f>F23</f>
        <v>100</v>
      </c>
      <c r="T23" s="1574" t="s">
        <v>8</v>
      </c>
      <c r="U23" s="1575">
        <f>H23</f>
        <v>100</v>
      </c>
      <c r="V23" s="1574" t="s">
        <v>8</v>
      </c>
      <c r="W23" s="1575">
        <f>J23</f>
        <v>100</v>
      </c>
      <c r="X23" s="1568"/>
      <c r="Y23" s="375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755"/>
      <c r="Q24" s="1573"/>
      <c r="R24" s="1574"/>
      <c r="S24" s="1575"/>
      <c r="T24" s="1574"/>
      <c r="U24" s="1575"/>
      <c r="V24" s="1574"/>
      <c r="W24" s="1575"/>
      <c r="X24" s="1568"/>
      <c r="Y24" s="3755"/>
      <c r="Z24" s="1576"/>
      <c r="AA24" s="1577">
        <v>1</v>
      </c>
      <c r="AB24" s="1577">
        <v>1</v>
      </c>
      <c r="AC24" s="1577">
        <v>1</v>
      </c>
    </row>
    <row r="25" spans="1:29" s="1220" customFormat="1" ht="42.75">
      <c r="A25" s="577"/>
      <c r="B25" s="2572"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755"/>
      <c r="Q25" s="1151" t="str">
        <f t="shared" si="8"/>
        <v>公共配套设施</v>
      </c>
      <c r="R25" s="1569" t="s">
        <v>8</v>
      </c>
      <c r="S25" s="1570">
        <f>F25</f>
        <v>100</v>
      </c>
      <c r="T25" s="1569" t="s">
        <v>8</v>
      </c>
      <c r="U25" s="1570">
        <f>H25</f>
        <v>100</v>
      </c>
      <c r="V25" s="1569" t="s">
        <v>8</v>
      </c>
      <c r="W25" s="1570">
        <f>J25</f>
        <v>100</v>
      </c>
      <c r="X25" s="1571"/>
      <c r="Y25" s="3755"/>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5"/>
      <c r="M26" s="2136"/>
      <c r="N26" s="2136"/>
      <c r="O26" s="2137"/>
      <c r="P26" s="3755"/>
      <c r="Q26" s="1151"/>
      <c r="R26" s="1569"/>
      <c r="S26" s="1570"/>
      <c r="T26" s="1569"/>
      <c r="U26" s="1570"/>
      <c r="V26" s="1569"/>
      <c r="W26" s="1570"/>
      <c r="X26" s="1571"/>
      <c r="Y26" s="3755"/>
      <c r="Z26" s="1150"/>
      <c r="AA26" s="1572">
        <v>1</v>
      </c>
      <c r="AB26" s="1572">
        <v>1</v>
      </c>
      <c r="AC26" s="1572">
        <v>1</v>
      </c>
    </row>
    <row r="27" spans="1:29" s="1220" customFormat="1" ht="28.5">
      <c r="A27" s="577"/>
      <c r="B27" s="2572"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755"/>
      <c r="Q27" s="2557" t="str">
        <f t="shared" ref="Q27" si="9">B27</f>
        <v>基础设施水平</v>
      </c>
      <c r="R27" s="1569" t="s">
        <v>8</v>
      </c>
      <c r="S27" s="1570">
        <f>F27</f>
        <v>100</v>
      </c>
      <c r="T27" s="1569" t="s">
        <v>8</v>
      </c>
      <c r="U27" s="1570">
        <f>H27</f>
        <v>100</v>
      </c>
      <c r="V27" s="1569" t="s">
        <v>8</v>
      </c>
      <c r="W27" s="1570">
        <f>J27</f>
        <v>100</v>
      </c>
      <c r="X27" s="1571"/>
      <c r="Y27" s="3755"/>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5"/>
      <c r="M28" s="2136"/>
      <c r="N28" s="2136"/>
      <c r="O28" s="2137"/>
      <c r="P28" s="3755"/>
      <c r="Q28" s="2557"/>
      <c r="R28" s="1569"/>
      <c r="S28" s="1570"/>
      <c r="T28" s="1569"/>
      <c r="U28" s="1570"/>
      <c r="V28" s="1569"/>
      <c r="W28" s="1570"/>
      <c r="X28" s="1571"/>
      <c r="Y28" s="3755"/>
      <c r="Z28" s="255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75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755"/>
      <c r="Z29" s="1576" t="str">
        <f t="shared" ref="Z29:Z42" si="13">Q29</f>
        <v>临街状况</v>
      </c>
      <c r="AA29" s="1577">
        <f t="shared" si="3"/>
        <v>1</v>
      </c>
      <c r="AB29" s="1577">
        <f t="shared" si="4"/>
        <v>1</v>
      </c>
      <c r="AC29" s="1577">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755"/>
      <c r="Q30" s="1573" t="str">
        <f t="shared" si="8"/>
        <v>毗邻道路的类型与等级</v>
      </c>
      <c r="R30" s="1574" t="s">
        <v>8</v>
      </c>
      <c r="S30" s="1575">
        <f t="shared" si="10"/>
        <v>100</v>
      </c>
      <c r="T30" s="1574" t="s">
        <v>8</v>
      </c>
      <c r="U30" s="1575">
        <f t="shared" si="11"/>
        <v>100</v>
      </c>
      <c r="V30" s="1574" t="s">
        <v>8</v>
      </c>
      <c r="W30" s="1575">
        <f t="shared" si="12"/>
        <v>100</v>
      </c>
      <c r="X30" s="1568"/>
      <c r="Y30" s="3755"/>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755"/>
      <c r="Q31" s="1573"/>
      <c r="R31" s="1574"/>
      <c r="S31" s="1575"/>
      <c r="T31" s="1574"/>
      <c r="U31" s="1575"/>
      <c r="V31" s="1574"/>
      <c r="W31" s="1575"/>
      <c r="X31" s="1568"/>
      <c r="Y31" s="3755"/>
      <c r="Z31" s="1576"/>
      <c r="AA31" s="1577">
        <v>1</v>
      </c>
      <c r="AB31" s="1577">
        <v>1</v>
      </c>
      <c r="AC31" s="1577">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755"/>
      <c r="Q32" s="1573" t="str">
        <f t="shared" si="8"/>
        <v>土地级别</v>
      </c>
      <c r="R32" s="1574" t="s">
        <v>8</v>
      </c>
      <c r="S32" s="1575">
        <f t="shared" si="10"/>
        <v>100</v>
      </c>
      <c r="T32" s="1574" t="s">
        <v>8</v>
      </c>
      <c r="U32" s="1575">
        <f t="shared" si="11"/>
        <v>100</v>
      </c>
      <c r="V32" s="1574" t="s">
        <v>8</v>
      </c>
      <c r="W32" s="1575">
        <f t="shared" si="12"/>
        <v>100</v>
      </c>
      <c r="X32" s="1568"/>
      <c r="Y32" s="375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755"/>
      <c r="Q33" s="1573">
        <f t="shared" si="8"/>
        <v>111</v>
      </c>
      <c r="R33" s="1574" t="s">
        <v>8</v>
      </c>
      <c r="S33" s="1575">
        <f t="shared" si="10"/>
        <v>100</v>
      </c>
      <c r="T33" s="1574" t="s">
        <v>8</v>
      </c>
      <c r="U33" s="1575">
        <f t="shared" si="11"/>
        <v>100</v>
      </c>
      <c r="V33" s="1574" t="s">
        <v>8</v>
      </c>
      <c r="W33" s="1575">
        <f t="shared" si="12"/>
        <v>100</v>
      </c>
      <c r="X33" s="1568"/>
      <c r="Y33" s="375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756" t="s">
        <v>550</v>
      </c>
      <c r="Q34" s="1573">
        <f t="shared" si="8"/>
        <v>111</v>
      </c>
      <c r="R34" s="1574" t="s">
        <v>8</v>
      </c>
      <c r="S34" s="1575">
        <f t="shared" si="10"/>
        <v>100</v>
      </c>
      <c r="T34" s="1574" t="s">
        <v>8</v>
      </c>
      <c r="U34" s="1575">
        <f t="shared" si="11"/>
        <v>100</v>
      </c>
      <c r="V34" s="1574" t="s">
        <v>8</v>
      </c>
      <c r="W34" s="1575">
        <f t="shared" si="12"/>
        <v>100</v>
      </c>
      <c r="X34" s="1568"/>
      <c r="Y34" s="3757" t="s">
        <v>550</v>
      </c>
      <c r="Z34" s="1576">
        <f t="shared" si="13"/>
        <v>111</v>
      </c>
      <c r="AA34" s="1577">
        <f t="shared" si="3"/>
        <v>1</v>
      </c>
      <c r="AB34" s="1577">
        <f t="shared" si="4"/>
        <v>1</v>
      </c>
      <c r="AC34" s="1577">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757"/>
      <c r="Q35" s="1573">
        <f t="shared" si="8"/>
        <v>111</v>
      </c>
      <c r="R35" s="1578" t="s">
        <v>8</v>
      </c>
      <c r="S35" s="1579">
        <f t="shared" si="10"/>
        <v>100</v>
      </c>
      <c r="T35" s="1578" t="s">
        <v>8</v>
      </c>
      <c r="U35" s="1579">
        <f t="shared" si="11"/>
        <v>100</v>
      </c>
      <c r="V35" s="1578" t="s">
        <v>8</v>
      </c>
      <c r="W35" s="1579">
        <f t="shared" si="12"/>
        <v>100</v>
      </c>
      <c r="X35" s="1580"/>
      <c r="Y35" s="3757"/>
      <c r="Z35" s="1581">
        <f t="shared" si="13"/>
        <v>111</v>
      </c>
      <c r="AA35" s="1577">
        <f t="shared" si="3"/>
        <v>1</v>
      </c>
      <c r="AB35" s="1577">
        <f t="shared" si="4"/>
        <v>1</v>
      </c>
      <c r="AC35" s="1577">
        <f t="shared" si="5"/>
        <v>1</v>
      </c>
    </row>
    <row r="36" spans="1:29" ht="15">
      <c r="A36" s="2885"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757"/>
      <c r="Q36" s="1573" t="str">
        <f>B36</f>
        <v>宗地面积</v>
      </c>
      <c r="R36" s="1574" t="s">
        <v>8</v>
      </c>
      <c r="S36" s="1575" t="e">
        <f t="shared" si="10"/>
        <v>#N/A</v>
      </c>
      <c r="T36" s="1574" t="s">
        <v>8</v>
      </c>
      <c r="U36" s="1575" t="e">
        <f t="shared" si="11"/>
        <v>#N/A</v>
      </c>
      <c r="V36" s="1574" t="s">
        <v>8</v>
      </c>
      <c r="W36" s="1575" t="e">
        <f t="shared" si="12"/>
        <v>#N/A</v>
      </c>
      <c r="X36" s="1568"/>
      <c r="Y36" s="3757"/>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757"/>
      <c r="Q37" s="1573" t="str">
        <f t="shared" ref="Q37:Q42" si="14">B37</f>
        <v>宗地形状</v>
      </c>
      <c r="R37" s="1574" t="s">
        <v>8</v>
      </c>
      <c r="S37" s="1575">
        <f t="shared" si="10"/>
        <v>100</v>
      </c>
      <c r="T37" s="1574" t="s">
        <v>8</v>
      </c>
      <c r="U37" s="1575">
        <f t="shared" si="11"/>
        <v>100</v>
      </c>
      <c r="V37" s="1574" t="s">
        <v>8</v>
      </c>
      <c r="W37" s="1575">
        <f t="shared" si="12"/>
        <v>100</v>
      </c>
      <c r="X37" s="1568"/>
      <c r="Y37" s="3757"/>
      <c r="Z37" s="1576" t="str">
        <f t="shared" si="13"/>
        <v>宗地形状</v>
      </c>
      <c r="AA37" s="1577">
        <f t="shared" si="3"/>
        <v>1</v>
      </c>
      <c r="AB37" s="1577">
        <f t="shared" si="4"/>
        <v>1</v>
      </c>
      <c r="AC37" s="1577">
        <f t="shared" si="5"/>
        <v>1</v>
      </c>
    </row>
    <row r="38" spans="1:29" s="1220"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757"/>
      <c r="Q38" s="1573" t="str">
        <f t="shared" si="14"/>
        <v>宗地开发程度</v>
      </c>
      <c r="R38" s="1569" t="s">
        <v>8</v>
      </c>
      <c r="S38" s="1570">
        <f t="shared" si="10"/>
        <v>100</v>
      </c>
      <c r="T38" s="1569" t="s">
        <v>8</v>
      </c>
      <c r="U38" s="1570">
        <f t="shared" si="11"/>
        <v>100</v>
      </c>
      <c r="V38" s="1569" t="s">
        <v>8</v>
      </c>
      <c r="W38" s="1570">
        <f t="shared" si="12"/>
        <v>100</v>
      </c>
      <c r="X38" s="1571"/>
      <c r="Y38" s="3757"/>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757" t="s">
        <v>601</v>
      </c>
      <c r="Q39" s="1573" t="str">
        <f t="shared" si="14"/>
        <v>工程地质条件</v>
      </c>
      <c r="R39" s="1574" t="s">
        <v>8</v>
      </c>
      <c r="S39" s="1575">
        <f t="shared" si="10"/>
        <v>100</v>
      </c>
      <c r="T39" s="1574" t="s">
        <v>8</v>
      </c>
      <c r="U39" s="1575">
        <f t="shared" si="11"/>
        <v>100</v>
      </c>
      <c r="V39" s="1574" t="s">
        <v>8</v>
      </c>
      <c r="W39" s="1575">
        <f t="shared" si="12"/>
        <v>100</v>
      </c>
      <c r="X39" s="1568"/>
      <c r="Y39" s="3757"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757"/>
      <c r="Q40" s="1573">
        <f t="shared" si="14"/>
        <v>111</v>
      </c>
      <c r="R40" s="1574" t="s">
        <v>8</v>
      </c>
      <c r="S40" s="1575">
        <f t="shared" si="10"/>
        <v>100</v>
      </c>
      <c r="T40" s="1574" t="s">
        <v>8</v>
      </c>
      <c r="U40" s="1575">
        <f t="shared" si="11"/>
        <v>100</v>
      </c>
      <c r="V40" s="1574" t="s">
        <v>8</v>
      </c>
      <c r="W40" s="1575">
        <f t="shared" si="12"/>
        <v>100</v>
      </c>
      <c r="X40" s="1568"/>
      <c r="Y40" s="375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757"/>
      <c r="Q41" s="1573">
        <f t="shared" si="14"/>
        <v>111</v>
      </c>
      <c r="R41" s="1574" t="s">
        <v>8</v>
      </c>
      <c r="S41" s="1575">
        <f t="shared" si="10"/>
        <v>100</v>
      </c>
      <c r="T41" s="1574" t="s">
        <v>8</v>
      </c>
      <c r="U41" s="1575">
        <f t="shared" si="11"/>
        <v>100</v>
      </c>
      <c r="V41" s="1574" t="s">
        <v>8</v>
      </c>
      <c r="W41" s="1575">
        <f t="shared" si="12"/>
        <v>100</v>
      </c>
      <c r="X41" s="1568"/>
      <c r="Y41" s="3757"/>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757"/>
      <c r="Q42" s="1573">
        <f t="shared" si="14"/>
        <v>111</v>
      </c>
      <c r="R42" s="1578" t="s">
        <v>8</v>
      </c>
      <c r="S42" s="1579">
        <f t="shared" si="10"/>
        <v>100</v>
      </c>
      <c r="T42" s="1578" t="s">
        <v>8</v>
      </c>
      <c r="U42" s="1579">
        <f t="shared" si="11"/>
        <v>100</v>
      </c>
      <c r="V42" s="1578" t="s">
        <v>8</v>
      </c>
      <c r="W42" s="1579">
        <f t="shared" si="12"/>
        <v>100</v>
      </c>
      <c r="X42" s="1580"/>
      <c r="Y42" s="3757"/>
      <c r="Z42" s="1581">
        <f t="shared" si="13"/>
        <v>111</v>
      </c>
      <c r="AA42" s="1577">
        <f t="shared" si="3"/>
        <v>1</v>
      </c>
      <c r="AB42" s="1577">
        <f t="shared" si="4"/>
        <v>1</v>
      </c>
      <c r="AC42" s="1577">
        <f t="shared" si="5"/>
        <v>1</v>
      </c>
    </row>
    <row r="43" spans="1:29" ht="15">
      <c r="A43" s="607" t="s">
        <v>556</v>
      </c>
      <c r="B43" s="608" t="s">
        <v>2934</v>
      </c>
      <c r="C43" s="609" t="s">
        <v>1</v>
      </c>
      <c r="D43" s="610"/>
      <c r="E43" s="611"/>
      <c r="F43" s="612"/>
      <c r="G43" s="613"/>
      <c r="H43" s="614"/>
      <c r="I43" s="611"/>
      <c r="J43" s="614"/>
      <c r="K43" s="1340"/>
      <c r="L43" s="2144"/>
      <c r="M43" s="2134"/>
      <c r="N43" s="2134"/>
      <c r="O43" s="2145"/>
      <c r="P43" s="3752" t="str">
        <f>A43</f>
        <v>成交单价</v>
      </c>
      <c r="Q43" s="3752"/>
      <c r="R43" s="3766">
        <f>E43</f>
        <v>0</v>
      </c>
      <c r="S43" s="3766"/>
      <c r="T43" s="3766">
        <f>G43</f>
        <v>0</v>
      </c>
      <c r="U43" s="3766"/>
      <c r="V43" s="3766">
        <f>I43</f>
        <v>0</v>
      </c>
      <c r="W43" s="3766"/>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4"/>
      <c r="M44" s="2134"/>
      <c r="N44" s="2134"/>
      <c r="O44" s="2145"/>
      <c r="P44" s="3752" t="str">
        <f>A44</f>
        <v>比较价格（元/平方米）</v>
      </c>
      <c r="Q44" s="3752"/>
      <c r="R44" s="3776" t="e">
        <f>ROUND(PRODUCT(R43,AA9:AA42),0)</f>
        <v>#DIV/0!</v>
      </c>
      <c r="S44" s="3776"/>
      <c r="T44" s="3776" t="e">
        <f>ROUND(PRODUCT(T43,AB9:AB42),0)</f>
        <v>#DIV/0!</v>
      </c>
      <c r="U44" s="3776"/>
      <c r="V44" s="3776" t="e">
        <f>ROUND(PRODUCT(V43,AC9:AC42),0)</f>
        <v>#DIV/0!</v>
      </c>
      <c r="W44" s="3776"/>
      <c r="X44" s="1560"/>
      <c r="Y44" s="1560"/>
      <c r="Z44" s="1560"/>
      <c r="AA44" s="1560"/>
      <c r="AB44" s="1560"/>
      <c r="AC44" s="1560"/>
    </row>
    <row r="45" spans="1:29" ht="15.75" thickBot="1">
      <c r="A45" s="621" t="s">
        <v>2935</v>
      </c>
      <c r="B45" s="622"/>
      <c r="C45" s="623" t="e">
        <f>R45</f>
        <v>#DIV/0!</v>
      </c>
      <c r="D45" s="623"/>
      <c r="E45" s="623"/>
      <c r="F45" s="623"/>
      <c r="G45" s="623"/>
      <c r="H45" s="623"/>
      <c r="I45" s="623"/>
      <c r="J45" s="623"/>
      <c r="K45" s="1342"/>
      <c r="L45" s="2144"/>
      <c r="M45" s="2134"/>
      <c r="N45" s="2134"/>
      <c r="O45" s="2145"/>
      <c r="P45" s="3773" t="str">
        <f>A45</f>
        <v>估价对象XX用房的比较价格（楼面单价，元/平方米）</v>
      </c>
      <c r="Q45" s="3774"/>
      <c r="R45" s="3775" t="e">
        <f>ROUND(AVERAGE(R44:V44),0)</f>
        <v>#DIV/0!</v>
      </c>
      <c r="S45" s="3775"/>
      <c r="T45" s="3775"/>
      <c r="U45" s="3775"/>
      <c r="V45" s="3775"/>
      <c r="W45" s="3775"/>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1725</v>
      </c>
      <c r="D52" s="2227" t="s">
        <v>2294</v>
      </c>
      <c r="E52" s="631" t="s">
        <v>562</v>
      </c>
      <c r="F52" s="1951" t="s">
        <v>563</v>
      </c>
      <c r="G52" s="3777" t="s">
        <v>2285</v>
      </c>
      <c r="H52" s="3778"/>
      <c r="I52" s="1952" t="s">
        <v>1946</v>
      </c>
      <c r="J52" s="1556" t="str">
        <f>项目基本情况!F41</f>
        <v>江苏省镇江市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76408.289999999994</v>
      </c>
      <c r="F53" s="1950" t="e">
        <f t="shared" ref="F53:F62" si="15">ROUND(B53*E53/10000,0)</f>
        <v>#DIV/0!</v>
      </c>
      <c r="G53" s="3779"/>
      <c r="H53" s="3780"/>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0" t="e">
        <f t="shared" si="15"/>
        <v>#DIV/0!</v>
      </c>
      <c r="G54" s="3781" t="s">
        <v>2286</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0" t="e">
        <f t="shared" si="15"/>
        <v>#DIV/0!</v>
      </c>
      <c r="G55" s="3781"/>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0" t="e">
        <f t="shared" si="15"/>
        <v>#DIV/0!</v>
      </c>
      <c r="G56" s="3781"/>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0" t="e">
        <f t="shared" si="15"/>
        <v>#DIV/0!</v>
      </c>
      <c r="G57" s="3781"/>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2329</v>
      </c>
      <c r="B58" s="638" t="e">
        <f t="shared" si="17"/>
        <v>#DIV/0!</v>
      </c>
      <c r="C58" s="378">
        <f t="shared" si="16"/>
        <v>0</v>
      </c>
      <c r="D58" s="2229">
        <v>0.25</v>
      </c>
      <c r="E58" s="641">
        <f>'数据-汇总表'!E11</f>
        <v>0</v>
      </c>
      <c r="F58" s="1950" t="e">
        <f t="shared" si="15"/>
        <v>#DIV/0!</v>
      </c>
      <c r="G58" s="1956" t="s">
        <v>2287</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0" t="e">
        <f t="shared" si="15"/>
        <v>#DIV/0!</v>
      </c>
      <c r="G61" s="1956" t="s">
        <v>2286</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0" t="e">
        <f t="shared" si="15"/>
        <v>#DIV/0!</v>
      </c>
      <c r="G62" s="1957" t="s">
        <v>2287</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2295</v>
      </c>
      <c r="E63" s="643">
        <f>IF(B43="楼面地价",SUM(E53:E62),'数据-汇总表'!D3)</f>
        <v>21830.94</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2019-7-1</v>
      </c>
      <c r="D65" s="2777">
        <f>EDATE(C65,-3)</f>
        <v>43556</v>
      </c>
      <c r="E65" s="2777">
        <f t="shared" ref="E65:N65" si="18">EDATE(D65,-3)</f>
        <v>43466</v>
      </c>
      <c r="F65" s="2777">
        <f t="shared" si="18"/>
        <v>43374</v>
      </c>
      <c r="G65" s="2777">
        <f t="shared" si="18"/>
        <v>43282</v>
      </c>
      <c r="H65" s="2777">
        <f t="shared" si="18"/>
        <v>43191</v>
      </c>
      <c r="I65" s="2777">
        <f t="shared" si="18"/>
        <v>43101</v>
      </c>
      <c r="J65" s="2777">
        <f t="shared" si="18"/>
        <v>43009</v>
      </c>
      <c r="K65" s="2777">
        <f t="shared" si="18"/>
        <v>42917</v>
      </c>
      <c r="L65" s="2777">
        <f t="shared" si="18"/>
        <v>42826</v>
      </c>
      <c r="M65" s="2777">
        <f t="shared" si="18"/>
        <v>42736</v>
      </c>
      <c r="N65" s="2777">
        <f t="shared" si="18"/>
        <v>42644</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47" t="s">
        <v>2534</v>
      </c>
      <c r="B67" s="646"/>
      <c r="C67" s="2772" t="str">
        <f>YEAR(C65)&amp;"-"&amp;ROUNDUP(MONTH(C65)/3,0)</f>
        <v>2019-3</v>
      </c>
      <c r="D67" s="2779" t="str">
        <f t="shared" ref="D67:N67" si="19">YEAR(D65)&amp;"-"&amp;ROUNDUP(MONTH(D65)/3,0)</f>
        <v>2019-2</v>
      </c>
      <c r="E67" s="2779" t="str">
        <f t="shared" si="19"/>
        <v>2019-1</v>
      </c>
      <c r="F67" s="2779" t="str">
        <f t="shared" si="19"/>
        <v>2018-4</v>
      </c>
      <c r="G67" s="2779" t="str">
        <f t="shared" si="19"/>
        <v>2018-3</v>
      </c>
      <c r="H67" s="2779" t="str">
        <f t="shared" si="19"/>
        <v>2018-2</v>
      </c>
      <c r="I67" s="2779" t="str">
        <f t="shared" si="19"/>
        <v>2018-1</v>
      </c>
      <c r="J67" s="2779" t="str">
        <f t="shared" si="19"/>
        <v>2017-4</v>
      </c>
      <c r="K67" s="2779" t="str">
        <f t="shared" si="19"/>
        <v>2017-3</v>
      </c>
      <c r="L67" s="2779" t="str">
        <f t="shared" si="19"/>
        <v>2017-2</v>
      </c>
      <c r="M67" s="2779" t="str">
        <f t="shared" si="19"/>
        <v>2017-1</v>
      </c>
      <c r="N67" s="2779" t="str">
        <f t="shared" si="19"/>
        <v>2016-4</v>
      </c>
      <c r="O67" s="2159"/>
      <c r="P67" s="2160"/>
      <c r="Q67" s="2161"/>
      <c r="R67" s="2161"/>
      <c r="S67" s="2161"/>
      <c r="T67" s="2161"/>
      <c r="U67" s="2161"/>
      <c r="V67" s="2161"/>
      <c r="W67" s="2161"/>
      <c r="X67" s="2161"/>
      <c r="Y67" s="2161"/>
      <c r="Z67" s="2161"/>
      <c r="AA67" s="2161"/>
      <c r="AB67" s="2161"/>
      <c r="AC67" s="2161"/>
    </row>
    <row r="68" spans="1:29" s="1220" customFormat="1" ht="27.75" customHeight="1">
      <c r="A68" s="2776" t="s">
        <v>2650</v>
      </c>
      <c r="B68" s="479" t="str">
        <f>"北京市平均增长率"&amp;TEXT(基准地价!P24,"0.00%")</f>
        <v>北京市平均增长率0.00%</v>
      </c>
      <c r="C68" s="894">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2549</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76" t="s">
        <v>2551</v>
      </c>
      <c r="C95" s="2577" t="s">
        <v>2552</v>
      </c>
      <c r="D95" s="2577" t="s">
        <v>2553</v>
      </c>
      <c r="E95" s="2577" t="s">
        <v>2554</v>
      </c>
      <c r="F95" s="2577" t="s">
        <v>2555</v>
      </c>
      <c r="G95" s="2577"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2426</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1"/>
      <c r="G1" s="1402"/>
      <c r="H1" s="1402"/>
      <c r="I1" s="1402"/>
      <c r="J1" s="1402"/>
      <c r="K1" s="1402"/>
      <c r="L1" s="1882" t="s">
        <v>2239</v>
      </c>
      <c r="M1" s="1883">
        <f>SUMPRODUCT((区片价!B5:B9=I2)*(区片价!C3:F3=E2)*(区片价!C5:F9))</f>
        <v>0</v>
      </c>
      <c r="N1" s="1884">
        <f>SUMPRODUCT((因素修正幅度!B5:B9=I2)*(因素修正幅度!C3:F3=E2)*(因素修正幅度!C5:F9))</f>
        <v>0</v>
      </c>
      <c r="O1" s="2189"/>
      <c r="P1" s="2189"/>
      <c r="Q1" s="2189"/>
      <c r="R1" s="2914" t="s">
        <v>2763</v>
      </c>
      <c r="S1" s="2914" t="s">
        <v>2764</v>
      </c>
      <c r="T1" s="2914" t="s">
        <v>2785</v>
      </c>
      <c r="U1" s="2914" t="s">
        <v>2786</v>
      </c>
      <c r="V1" s="2914" t="s">
        <v>2787</v>
      </c>
      <c r="W1" s="2189"/>
      <c r="X1" s="2189"/>
      <c r="Y1" s="2189"/>
      <c r="Z1" s="2189"/>
      <c r="AA1" s="2189"/>
      <c r="AB1" s="2189"/>
      <c r="AC1" s="2190"/>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5" t="s">
        <v>2240</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2" t="s">
        <v>1688</v>
      </c>
      <c r="B3" s="1038" t="e">
        <f>ROUND(B2*10000/D1,0)</f>
        <v>#DIV/0!</v>
      </c>
      <c r="C3" s="1408" t="s">
        <v>927</v>
      </c>
      <c r="D3" s="1409" t="s">
        <v>928</v>
      </c>
      <c r="E3" s="1413"/>
      <c r="F3" s="1414" t="s">
        <v>2936</v>
      </c>
      <c r="G3" s="1039">
        <f>IF(F3="宗地容积率",'数据-汇总表'!I4,IF(F3="估价对象容积率",'数据-汇总表'!I6,'数据-汇总表'!I7))</f>
        <v>3.5</v>
      </c>
      <c r="H3" s="1415" t="s">
        <v>929</v>
      </c>
      <c r="I3" s="1040">
        <v>8</v>
      </c>
      <c r="J3" s="1411" t="s">
        <v>930</v>
      </c>
      <c r="K3" s="1402"/>
      <c r="L3" s="1885" t="s">
        <v>2241</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2281</v>
      </c>
      <c r="B4" s="2432" t="e">
        <f>ROUND(B2*10000/F1,0)</f>
        <v>#DIV/0!</v>
      </c>
      <c r="C4" s="1894" t="s">
        <v>2255</v>
      </c>
      <c r="D4" s="1894" t="e">
        <f>ROUND(B2/(F1/666.67),0)</f>
        <v>#DIV/0!</v>
      </c>
      <c r="E4" s="1894" t="s">
        <v>2256</v>
      </c>
      <c r="F4" s="1892"/>
      <c r="G4" s="1892"/>
      <c r="H4" s="1892"/>
      <c r="I4" s="1892"/>
      <c r="J4" s="1893"/>
      <c r="K4" s="1402"/>
      <c r="L4" s="1885" t="s">
        <v>2242</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2" customFormat="1" ht="15.75" thickBot="1">
      <c r="A5" s="1639" t="s">
        <v>1824</v>
      </c>
      <c r="B5" s="1416" t="s">
        <v>931</v>
      </c>
      <c r="C5" s="1041" t="e">
        <f>ROUND(IF(E2="商业",IF(F16="增加",C6*C7+C16,C6*C7-C16),IF(E2="住宅",IF(F16="增加",C6*C12+C16,C6*C12-C16),IF(F16="增加",C6+C16,C6-C16))),0)</f>
        <v>#DIV/0!</v>
      </c>
      <c r="D5" s="3096" t="e">
        <f>ROUND(IF(F16="增加",C6+C16,C6-C16),0)</f>
        <v>#DIV/0!</v>
      </c>
      <c r="E5" s="3096"/>
      <c r="F5" s="1417"/>
      <c r="G5" s="1418"/>
      <c r="H5" s="1418"/>
      <c r="I5" s="1418"/>
      <c r="J5" s="1419"/>
      <c r="K5" s="1595"/>
      <c r="L5" s="1885" t="s">
        <v>2243</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5" t="s">
        <v>2244</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20"/>
      <c r="AE6" s="1420"/>
      <c r="AF6" s="1420"/>
      <c r="AG6" s="1420"/>
      <c r="AH6" s="1420"/>
      <c r="AI6" s="1420"/>
      <c r="AJ6" s="1421"/>
    </row>
    <row r="7" spans="1:39" ht="24">
      <c r="A7" s="3789" t="str">
        <f>IF(E2="商业",IF(C8="不临58条商业街","",2),"")</f>
        <v/>
      </c>
      <c r="B7" s="1428" t="s">
        <v>932</v>
      </c>
      <c r="C7" s="1043" t="e">
        <f>IF(C8="不临58条商业街",1,ROUND(1+(1.6*E8+1.2*E9+0.8*E10+0.4*E11)*C9,4))</f>
        <v>#DIV/0!</v>
      </c>
      <c r="D7" s="1429" t="s">
        <v>933</v>
      </c>
      <c r="E7" s="1044"/>
      <c r="F7" s="1430"/>
      <c r="G7" s="1431"/>
      <c r="H7" s="1431"/>
      <c r="I7" s="1431"/>
      <c r="J7" s="1432"/>
      <c r="K7" s="1596"/>
      <c r="L7" s="1885" t="s">
        <v>2245</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2766</v>
      </c>
      <c r="X7" s="2905">
        <f>G2</f>
        <v>0</v>
      </c>
      <c r="Y7" s="2905" t="s">
        <v>2767</v>
      </c>
      <c r="Z7" s="2906">
        <f>G3</f>
        <v>3.5</v>
      </c>
      <c r="AA7" s="2192"/>
      <c r="AB7" s="2192"/>
      <c r="AC7" s="2193"/>
      <c r="AD7" s="2907"/>
      <c r="AE7" s="2907"/>
      <c r="AF7" s="2907"/>
      <c r="AG7" s="2907"/>
      <c r="AH7" s="2907"/>
      <c r="AI7" s="2907"/>
      <c r="AJ7" s="2908"/>
    </row>
    <row r="8" spans="1:39" ht="15">
      <c r="A8" s="3790"/>
      <c r="B8" s="1415" t="s">
        <v>934</v>
      </c>
      <c r="C8" s="1530"/>
      <c r="D8" s="1045" t="s">
        <v>935</v>
      </c>
      <c r="E8" s="1046" t="e">
        <f>ROUND(C11/E7,4)</f>
        <v>#DIV/0!</v>
      </c>
      <c r="F8" s="1433" t="s">
        <v>936</v>
      </c>
      <c r="G8" s="1434"/>
      <c r="H8" s="1434"/>
      <c r="I8" s="1434"/>
      <c r="J8" s="1435"/>
      <c r="K8" s="1402"/>
      <c r="L8" s="1885" t="s">
        <v>2246</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799" t="s">
        <v>2784</v>
      </c>
      <c r="X8" s="3800"/>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790"/>
      <c r="B9" s="1415" t="s">
        <v>937</v>
      </c>
      <c r="C9" s="1047">
        <f>SUMIF(修正!C59:C119,C8,修正!E59:E119)</f>
        <v>0</v>
      </c>
      <c r="D9" s="1048" t="s">
        <v>938</v>
      </c>
      <c r="E9" s="1048" t="e">
        <f>ROUND(C11/E7,4)</f>
        <v>#DIV/0!</v>
      </c>
      <c r="F9" s="1433" t="s">
        <v>939</v>
      </c>
      <c r="G9" s="1434"/>
      <c r="H9" s="1434"/>
      <c r="I9" s="1434"/>
      <c r="J9" s="1435"/>
      <c r="K9" s="1402"/>
      <c r="L9" s="1885" t="s">
        <v>2247</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798" t="s">
        <v>2780</v>
      </c>
      <c r="X9" s="2909" t="s">
        <v>2781</v>
      </c>
      <c r="Y9" s="3074"/>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790"/>
      <c r="B10" s="1415" t="s">
        <v>940</v>
      </c>
      <c r="C10" s="1048">
        <f>SUMIF(修正!C59:C119,C8,修正!F59:F119)</f>
        <v>0</v>
      </c>
      <c r="D10" s="1048" t="s">
        <v>941</v>
      </c>
      <c r="E10" s="1048" t="e">
        <f>ROUND(C11/E7,4)</f>
        <v>#DIV/0!</v>
      </c>
      <c r="F10" s="1433" t="s">
        <v>942</v>
      </c>
      <c r="G10" s="1434"/>
      <c r="H10" s="1434"/>
      <c r="I10" s="1434"/>
      <c r="J10" s="1435"/>
      <c r="K10" s="1402"/>
      <c r="L10" s="1885" t="s">
        <v>2248</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798"/>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790"/>
      <c r="B11" s="1436" t="s">
        <v>943</v>
      </c>
      <c r="C11" s="1049">
        <f>C10/4</f>
        <v>0</v>
      </c>
      <c r="D11" s="1049" t="s">
        <v>944</v>
      </c>
      <c r="E11" s="1049" t="e">
        <f>ROUND(C11/E7,4)</f>
        <v>#DIV/0!</v>
      </c>
      <c r="F11" s="1437" t="s">
        <v>945</v>
      </c>
      <c r="G11" s="1438"/>
      <c r="H11" s="1438"/>
      <c r="I11" s="1438"/>
      <c r="J11" s="1439"/>
      <c r="K11" s="1402"/>
      <c r="L11" s="1885" t="s">
        <v>2249</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798" t="s">
        <v>2782</v>
      </c>
      <c r="X11" s="1048" t="s">
        <v>2767</v>
      </c>
      <c r="Y11" s="1654">
        <f>$G$3</f>
        <v>3.5</v>
      </c>
      <c r="Z11" s="1654">
        <f t="shared" ref="Z11:AJ11" si="3">$G$3</f>
        <v>3.5</v>
      </c>
      <c r="AA11" s="1654">
        <f t="shared" si="3"/>
        <v>3.5</v>
      </c>
      <c r="AB11" s="1654">
        <f t="shared" si="3"/>
        <v>3.5</v>
      </c>
      <c r="AC11" s="1654">
        <f t="shared" si="3"/>
        <v>3.5</v>
      </c>
      <c r="AD11" s="1654">
        <f t="shared" si="3"/>
        <v>3.5</v>
      </c>
      <c r="AE11" s="1654">
        <f t="shared" si="3"/>
        <v>3.5</v>
      </c>
      <c r="AF11" s="1654">
        <f t="shared" si="3"/>
        <v>3.5</v>
      </c>
      <c r="AG11" s="1654">
        <f t="shared" si="3"/>
        <v>3.5</v>
      </c>
      <c r="AH11" s="1654">
        <f t="shared" si="3"/>
        <v>3.5</v>
      </c>
      <c r="AI11" s="1654">
        <f t="shared" si="3"/>
        <v>3.5</v>
      </c>
      <c r="AJ11" s="1654">
        <f t="shared" si="3"/>
        <v>3.5</v>
      </c>
    </row>
    <row r="12" spans="1:39" ht="25.5" thickBot="1">
      <c r="A12" s="3789" t="s">
        <v>1872</v>
      </c>
      <c r="B12" s="1440" t="s">
        <v>946</v>
      </c>
      <c r="C12" s="1043">
        <f>ROUND(C15*D15*E15*F15*G15*H15*I15*J15,4)</f>
        <v>1</v>
      </c>
      <c r="D12" s="1441" t="s">
        <v>947</v>
      </c>
      <c r="E12" s="1442"/>
      <c r="F12" s="1442"/>
      <c r="G12" s="1443"/>
      <c r="H12" s="1443"/>
      <c r="I12" s="1443"/>
      <c r="J12" s="1444"/>
      <c r="K12" s="1402"/>
      <c r="L12" s="1888" t="s">
        <v>2250</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798"/>
      <c r="X12" s="2912" t="s">
        <v>2783</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791"/>
      <c r="B13" s="1445" t="s">
        <v>1697</v>
      </c>
      <c r="C13" s="1446" t="s">
        <v>1698</v>
      </c>
      <c r="D13" s="1089" t="s">
        <v>1699</v>
      </c>
      <c r="E13" s="1089" t="s">
        <v>1700</v>
      </c>
      <c r="F13" s="1447" t="s">
        <v>948</v>
      </c>
      <c r="G13" s="1448" t="s">
        <v>1643</v>
      </c>
      <c r="H13" s="1449" t="s">
        <v>1643</v>
      </c>
      <c r="I13" s="1450" t="s">
        <v>1643</v>
      </c>
      <c r="J13" s="1451" t="s">
        <v>1643</v>
      </c>
      <c r="K13" s="1402"/>
      <c r="L13" s="2189"/>
      <c r="M13" s="2189"/>
      <c r="N13" s="2189"/>
      <c r="O13" s="2189"/>
      <c r="P13" s="2189"/>
      <c r="Q13" s="2189"/>
      <c r="R13" s="2915">
        <v>12</v>
      </c>
      <c r="S13" s="2904"/>
      <c r="T13" s="2915" t="e">
        <f t="shared" si="0"/>
        <v>#DIV/0!</v>
      </c>
      <c r="U13" s="2904"/>
      <c r="V13" s="2915" t="e">
        <f t="shared" si="1"/>
        <v>#DIV/0!</v>
      </c>
      <c r="W13" s="3798"/>
      <c r="X13" s="2912"/>
      <c r="Y13" s="2911">
        <f>(-0.163*(Y12^2)-0.59*Y12+7617)*(10^(-4))/Y11</f>
        <v>0.21762857142857145</v>
      </c>
      <c r="Z13" s="2911">
        <f t="shared" ref="Z13:AJ13" si="5">(-0.163*(Z12^2)-0.59*Z12+7617)*(10^(-4))/Z11</f>
        <v>0.21762857142857145</v>
      </c>
      <c r="AA13" s="2911">
        <f t="shared" si="5"/>
        <v>0.21762857142857145</v>
      </c>
      <c r="AB13" s="2911">
        <f t="shared" si="5"/>
        <v>0.21762857142857145</v>
      </c>
      <c r="AC13" s="2911">
        <f t="shared" si="5"/>
        <v>0.21762857142857145</v>
      </c>
      <c r="AD13" s="2911">
        <f t="shared" si="5"/>
        <v>0.21762857142857145</v>
      </c>
      <c r="AE13" s="2911">
        <f t="shared" si="5"/>
        <v>0.21762857142857145</v>
      </c>
      <c r="AF13" s="2911">
        <f t="shared" si="5"/>
        <v>0.21762857142857145</v>
      </c>
      <c r="AG13" s="2911">
        <f t="shared" si="5"/>
        <v>0.21762857142857145</v>
      </c>
      <c r="AH13" s="2911">
        <f t="shared" si="5"/>
        <v>0.21762857142857145</v>
      </c>
      <c r="AI13" s="2911">
        <f t="shared" si="5"/>
        <v>0.21762857142857145</v>
      </c>
      <c r="AJ13" s="2911">
        <f t="shared" si="5"/>
        <v>0.21762857142857145</v>
      </c>
    </row>
    <row r="14" spans="1:39" ht="12.75" customHeight="1" thickBot="1">
      <c r="A14" s="3791"/>
      <c r="B14" s="1452"/>
      <c r="C14" s="1453"/>
      <c r="D14" s="1454"/>
      <c r="E14" s="1454"/>
      <c r="F14" s="1455"/>
      <c r="G14" s="1456" t="s">
        <v>949</v>
      </c>
      <c r="H14" s="1457"/>
      <c r="I14" s="1458"/>
      <c r="J14" s="1459"/>
      <c r="K14" s="1402"/>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792"/>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89"/>
      <c r="R15" s="2915">
        <v>14</v>
      </c>
      <c r="S15" s="2904"/>
      <c r="T15" s="2915" t="e">
        <f t="shared" si="0"/>
        <v>#DIV/0!</v>
      </c>
      <c r="U15" s="2904"/>
      <c r="V15" s="2915" t="e">
        <f t="shared" si="1"/>
        <v>#DIV/0!</v>
      </c>
      <c r="W15" s="2189"/>
      <c r="X15" s="2189"/>
      <c r="Y15" s="2189"/>
      <c r="Z15" s="2189"/>
      <c r="AA15" s="2189"/>
      <c r="AB15" s="2189"/>
      <c r="AC15" s="2190"/>
    </row>
    <row r="16" spans="1:39" ht="24">
      <c r="A16" s="3789"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790"/>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1830</v>
      </c>
      <c r="B18" s="2750" t="s">
        <v>956</v>
      </c>
      <c r="C18" s="2751">
        <f>SUMIF(修正!C18:C39,E3,修正!E18:E39)</f>
        <v>0</v>
      </c>
      <c r="D18" s="2752"/>
      <c r="E18" s="2753"/>
      <c r="F18" s="2754"/>
      <c r="G18" s="2748"/>
      <c r="H18" s="2748"/>
      <c r="I18" s="2748"/>
      <c r="J18" s="275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43649</v>
      </c>
      <c r="H19" s="1476" t="s">
        <v>2937</v>
      </c>
      <c r="I19" s="2762" t="str">
        <f>IF(H19="季度增幅（自定义）",SUMIF(N21:N24,E2,O21:O24),"")</f>
        <v/>
      </c>
      <c r="J19" s="1472"/>
      <c r="K19" s="1482"/>
      <c r="L19" s="3015" t="s">
        <v>2842</v>
      </c>
      <c r="M19" s="3016">
        <f>ROUND(SUMIF(地价!B2:F2,E2,地价!B25:F25),0)</f>
        <v>0</v>
      </c>
      <c r="N19" s="2764" t="s">
        <v>1677</v>
      </c>
      <c r="O19" s="2763">
        <f>ROUNDDOWN(DATEDIF(E19,G19,"M")/3,0)</f>
        <v>22</v>
      </c>
      <c r="P19" s="1597"/>
      <c r="R19" s="2903"/>
      <c r="S19" s="2903"/>
      <c r="T19" s="2903"/>
      <c r="U19" s="2903"/>
      <c r="V19" s="2903"/>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56" t="s">
        <v>1837</v>
      </c>
      <c r="B20" s="2757" t="s">
        <v>972</v>
      </c>
      <c r="C20" s="2758" t="e">
        <f>ROUND(POWER(1+G20,J20-I20)*(POWER(1+G20,I20)-1)/(POWER(1+G20,J20)-1),4)</f>
        <v>#DIV/0!</v>
      </c>
      <c r="D20" s="2759" t="s">
        <v>973</v>
      </c>
      <c r="E20" s="3071">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2"/>
      <c r="L20" s="3017" t="s">
        <v>2843</v>
      </c>
      <c r="M20" s="3018">
        <f>ROUND(SUMPRODUCT((地价!A4:A25=YEAR(G19)&amp;"-"&amp;ROUNDUP(MONTH(G19)/3,0))*(地价!B2:F2=E2)*(地价!B4:F25)),0)</f>
        <v>0</v>
      </c>
      <c r="N20" s="2767" t="s">
        <v>2646</v>
      </c>
      <c r="O20" s="2765" t="s">
        <v>2645</v>
      </c>
      <c r="P20" s="2766" t="s">
        <v>2651</v>
      </c>
      <c r="R20" s="2903"/>
      <c r="S20" s="2903"/>
      <c r="T20" s="2903"/>
      <c r="U20" s="2903"/>
      <c r="V20" s="2903"/>
      <c r="W20" s="2195"/>
      <c r="X20" s="2195"/>
      <c r="Y20" s="2195"/>
      <c r="Z20" s="2195"/>
      <c r="AA20" s="2195"/>
      <c r="AB20" s="2195"/>
      <c r="AC20" s="2195"/>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7">
        <f>SUMPRODUCT((地价!A3:A25=YEAR(G19)&amp;"-"&amp;ROUNDUP(MONTH(G19)/3,0))*(地价!AD2:AH2=N21)*(地价!AD3:AH25))</f>
        <v>0</v>
      </c>
      <c r="R21" s="2903"/>
      <c r="S21" s="2903"/>
      <c r="T21" s="2903"/>
      <c r="U21" s="2903"/>
      <c r="V21" s="2903"/>
      <c r="W21" s="2195"/>
      <c r="X21" s="2195"/>
      <c r="Y21" s="2195"/>
      <c r="Z21" s="2195"/>
      <c r="AA21" s="2195"/>
      <c r="AB21" s="2195"/>
      <c r="AC21" s="2195"/>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3.5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7">
        <f>SUMPRODUCT((地价!A3:A25=YEAR(G19)&amp;"-"&amp;ROUNDUP(MONTH(G19)/3,0))*(地价!AD2:AH2=N22)*(地价!AD3:AH25))</f>
        <v>0</v>
      </c>
      <c r="R22" s="2903"/>
      <c r="S22" s="2903"/>
      <c r="T22" s="2903"/>
      <c r="U22" s="2903"/>
      <c r="V22" s="2903"/>
      <c r="W22" s="2195"/>
      <c r="X22" s="2195"/>
      <c r="Y22" s="2195"/>
      <c r="Z22" s="2195"/>
      <c r="AA22" s="2195"/>
      <c r="AB22" s="2195"/>
      <c r="AC22" s="2195"/>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7">
        <f>SUMPRODUCT((地价!A3:A25=YEAR(G19)&amp;"-"&amp;ROUNDUP(MONTH(G19)/3,0))*(地价!AD2:AH2=N23)*(地价!AD3:AH25))</f>
        <v>0</v>
      </c>
      <c r="R23" s="2903"/>
      <c r="S23" s="2903"/>
      <c r="T23" s="2903"/>
      <c r="U23" s="2903"/>
      <c r="V23" s="2903"/>
      <c r="W23" s="2195"/>
      <c r="X23" s="2195"/>
      <c r="Y23" s="2195"/>
      <c r="Z23" s="2195"/>
      <c r="AA23" s="2195"/>
      <c r="AB23" s="2195"/>
      <c r="AC23" s="2195"/>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0</v>
      </c>
      <c r="R24" s="2903"/>
      <c r="S24" s="2903"/>
      <c r="T24" s="2903"/>
      <c r="U24" s="2903"/>
      <c r="V24" s="2903"/>
      <c r="W24" s="2195"/>
      <c r="X24" s="2195"/>
      <c r="Y24" s="2195"/>
      <c r="Z24" s="2195"/>
      <c r="AA24" s="2195"/>
      <c r="AB24" s="2195"/>
      <c r="AC24" s="2195"/>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5"/>
      <c r="M25" s="2195"/>
      <c r="N25" s="2775" t="s">
        <v>2649</v>
      </c>
      <c r="O25" s="2195"/>
      <c r="P25" s="1542">
        <f>SUMPRODUCT((地价!A3:A25=YEAR(G19)&amp;"-"&amp;ROUNDUP(MONTH(G19)/3,0))*(地价!AD2:AH2=N25)*(地价!AD3:AH25))</f>
        <v>0</v>
      </c>
      <c r="R25" s="2903"/>
      <c r="S25" s="2903"/>
      <c r="T25" s="2903"/>
      <c r="U25" s="2903"/>
      <c r="V25" s="2903"/>
      <c r="W25" s="2195"/>
      <c r="X25" s="2195"/>
      <c r="Y25" s="2195"/>
      <c r="Z25" s="2195"/>
      <c r="AA25" s="2195"/>
      <c r="AB25" s="2195"/>
      <c r="AC25" s="2195"/>
    </row>
    <row r="26" spans="1:40" ht="14.25">
      <c r="A26" s="1490"/>
      <c r="B26" s="1484" t="s">
        <v>987</v>
      </c>
      <c r="C26" s="1063" t="e">
        <f>E29+SUM(E33:E39)</f>
        <v>#DIV/0!</v>
      </c>
      <c r="D26" s="1491"/>
      <c r="E26" s="1457"/>
      <c r="F26" s="1492"/>
      <c r="G26" s="1457"/>
      <c r="H26" s="1457"/>
      <c r="I26" s="1457"/>
      <c r="J26" s="1493"/>
      <c r="K26" s="1402"/>
      <c r="L26" s="2195"/>
      <c r="M26" s="2195"/>
      <c r="N26" s="2195"/>
      <c r="O26" s="2195"/>
      <c r="P26" s="2195"/>
      <c r="Q26" s="2195"/>
      <c r="R26" s="2903"/>
      <c r="S26" s="2903"/>
      <c r="T26" s="2903"/>
      <c r="U26" s="2903"/>
      <c r="V26" s="2903"/>
      <c r="W26" s="2195"/>
      <c r="X26" s="2195"/>
      <c r="Y26" s="2195"/>
      <c r="Z26" s="2195"/>
      <c r="AA26" s="2195"/>
      <c r="AB26" s="2195"/>
      <c r="AC26" s="2195"/>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5"/>
      <c r="M27" s="2195"/>
      <c r="N27" s="2195"/>
      <c r="O27" s="2195"/>
      <c r="P27" s="2195"/>
      <c r="Q27" s="2195"/>
      <c r="R27" s="2903"/>
      <c r="S27" s="2903"/>
      <c r="T27" s="2903"/>
      <c r="U27" s="2903"/>
      <c r="V27" s="2903"/>
      <c r="W27" s="2195"/>
      <c r="X27" s="2195"/>
      <c r="Y27" s="2195"/>
      <c r="Z27" s="2195"/>
      <c r="AA27" s="2195"/>
      <c r="AB27" s="2195"/>
      <c r="AC27" s="2195"/>
    </row>
    <row r="28" spans="1:40" ht="14.25">
      <c r="A28" s="1486"/>
      <c r="B28" s="1499" t="s">
        <v>990</v>
      </c>
      <c r="C28" s="1500" t="s">
        <v>991</v>
      </c>
      <c r="D28" s="1500" t="s">
        <v>992</v>
      </c>
      <c r="E28" s="1501" t="s">
        <v>993</v>
      </c>
      <c r="F28" s="1502"/>
      <c r="G28" s="1443"/>
      <c r="H28" s="1443"/>
      <c r="I28" s="1443"/>
      <c r="J28" s="1444"/>
      <c r="K28" s="1402"/>
      <c r="L28" s="2195"/>
      <c r="M28" s="2195"/>
      <c r="N28" s="2195"/>
      <c r="O28" s="2195"/>
      <c r="P28" s="2195"/>
      <c r="Q28" s="2195"/>
      <c r="R28" s="2903"/>
      <c r="S28" s="2903"/>
      <c r="T28" s="2903"/>
      <c r="U28" s="2903"/>
      <c r="V28" s="2903"/>
      <c r="W28" s="2195"/>
      <c r="X28" s="2195"/>
      <c r="Y28" s="2195"/>
      <c r="Z28" s="2195"/>
      <c r="AA28" s="2195"/>
      <c r="AB28" s="2195"/>
      <c r="AC28" s="2195"/>
      <c r="AD28" s="1473"/>
      <c r="AE28" s="1473"/>
      <c r="AF28" s="1473"/>
      <c r="AG28" s="1473"/>
    </row>
    <row r="29" spans="1:40" ht="24">
      <c r="A29" s="1503"/>
      <c r="B29" s="1504" t="s">
        <v>994</v>
      </c>
      <c r="C29" s="1063" t="e">
        <f>ROUND(C5*C18*C19*C20*C21*C24,0)</f>
        <v>#DIV/0!</v>
      </c>
      <c r="D29" s="1505"/>
      <c r="E29" s="1849" t="e">
        <f>ROUND(C29*D29/10000,0)</f>
        <v>#DIV/0!</v>
      </c>
      <c r="F29" s="1506" t="s">
        <v>1702</v>
      </c>
      <c r="G29" s="1507"/>
      <c r="H29" s="1507"/>
      <c r="I29" s="1507"/>
      <c r="J29" s="1508"/>
      <c r="K29" s="1402"/>
      <c r="L29" s="2195"/>
      <c r="M29" s="2195"/>
      <c r="N29" s="2195"/>
      <c r="O29" s="2195"/>
      <c r="P29" s="2195"/>
      <c r="Q29" s="2195"/>
      <c r="R29" s="2903"/>
      <c r="S29" s="2903"/>
      <c r="T29" s="2903"/>
      <c r="U29" s="2903"/>
      <c r="V29" s="2903"/>
      <c r="W29" s="2195"/>
      <c r="X29" s="2195"/>
      <c r="Y29" s="2195"/>
      <c r="Z29" s="2195"/>
      <c r="AA29" s="2195"/>
      <c r="AB29" s="2195"/>
      <c r="AC29" s="2195"/>
      <c r="AH29" s="1403"/>
      <c r="AI29" s="1403"/>
      <c r="AJ29" s="1406"/>
      <c r="AK29" s="1406"/>
      <c r="AL29" s="1406"/>
      <c r="AM29" s="1406"/>
    </row>
    <row r="30" spans="1:40" ht="24.75" thickBot="1">
      <c r="A30" s="1509"/>
      <c r="B30" s="1510" t="s">
        <v>995</v>
      </c>
      <c r="C30" s="1051" t="e">
        <f>ROUND(IF(E2="工业",C29*M39,C29*M38),0)</f>
        <v>#DIV/0!</v>
      </c>
      <c r="D30" s="1511"/>
      <c r="E30" s="1849" t="e">
        <f>ROUND(C30*D30/10000,0)</f>
        <v>#DIV/0!</v>
      </c>
      <c r="F30" s="1512" t="s">
        <v>996</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795" t="s">
        <v>2963</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796"/>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796"/>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797"/>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ht="12.75">
      <c r="A41" s="1404"/>
      <c r="B41" s="3174" t="s">
        <v>2990</v>
      </c>
      <c r="C41" s="839" t="e">
        <f>ROUND(POWER(1+E41,H41-G41)*(POWER(1+E41,G41)-1)/(POWER(1+E41,H41)-1),4)</f>
        <v>#DIV/0!</v>
      </c>
      <c r="D41" s="378" t="s">
        <v>2988</v>
      </c>
      <c r="E41" s="3173">
        <f>G20</f>
        <v>0</v>
      </c>
      <c r="F41" s="378" t="s">
        <v>2989</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398" t="s">
        <v>1007</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03" t="s">
        <v>1008</v>
      </c>
      <c r="B45" s="2404">
        <f>1+E47</f>
        <v>1</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1009</v>
      </c>
      <c r="B46" s="2387" t="s">
        <v>1010</v>
      </c>
      <c r="C46" s="2409" t="s">
        <v>1011</v>
      </c>
      <c r="D46" s="2410" t="s">
        <v>1012</v>
      </c>
      <c r="E46" s="2411" t="s">
        <v>1014</v>
      </c>
      <c r="F46" s="2412" t="s">
        <v>2251</v>
      </c>
      <c r="G46" s="2410" t="s">
        <v>1015</v>
      </c>
      <c r="H46" s="2393" t="s">
        <v>2419</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1021</v>
      </c>
      <c r="B47" s="2390" t="str">
        <f>估价对象房地状况!C16</f>
        <v>估价对象位于XX商圈，周边商业氛围成熟，人流量大，商业繁华度好</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1022</v>
      </c>
      <c r="B48" s="2387" t="str">
        <f>估价对象房地状况!C18</f>
        <v>估价对象周边道路状况、公共交通通达情况、停车便捷程度，综合评价交通便捷度较好</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1023</v>
      </c>
      <c r="B49" s="2387">
        <f>估价对象房地状况!C19</f>
        <v>0</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1024</v>
      </c>
      <c r="B50" s="3073" t="s">
        <v>2939</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1025</v>
      </c>
      <c r="B51" s="2387">
        <f>估价对象房地状况!C24</f>
        <v>0</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1026</v>
      </c>
      <c r="B52" s="3072" t="s">
        <v>2938</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19" t="s">
        <v>1027</v>
      </c>
      <c r="B53" s="2388" t="str">
        <f>估价对象房地状况!C21</f>
        <v>估价对象所在区域公共配套设施齐备情况</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19" t="s">
        <v>1028</v>
      </c>
      <c r="B54" s="2387" t="str">
        <f>估价对象房地状况!C22</f>
        <v>估价对象所在区域基础设施水平</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20" t="s">
        <v>1029</v>
      </c>
      <c r="B55" s="2391" t="str">
        <f>估价对象房地状况!C20</f>
        <v>区域自然环境：；人文环境；综合评价环境状况一般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03" t="s">
        <v>1030</v>
      </c>
      <c r="B56" s="2404">
        <f>1+E58</f>
        <v>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1009</v>
      </c>
      <c r="B57" s="2387"/>
      <c r="C57" s="2409" t="s">
        <v>1011</v>
      </c>
      <c r="D57" s="2410" t="s">
        <v>1012</v>
      </c>
      <c r="E57" s="2411" t="s">
        <v>1014</v>
      </c>
      <c r="F57" s="2412" t="s">
        <v>2252</v>
      </c>
      <c r="G57" s="2410" t="s">
        <v>1015</v>
      </c>
      <c r="H57" s="2393" t="s">
        <v>2419</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1031</v>
      </c>
      <c r="B58" s="2390" t="str">
        <f>估价对象房地状况!C17</f>
        <v>估价对象位于XX商圈，周边办公楼项目较多，入驻率高，办公集聚程度较好</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1022</v>
      </c>
      <c r="B59" s="2387" t="str">
        <f>估价对象房地状况!C18</f>
        <v>估价对象周边道路状况、公共交通通达情况、停车便捷程度，综合评价交通便捷度较好</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1023</v>
      </c>
      <c r="B60" s="2387">
        <f>估价对象房地状况!C19</f>
        <v>0</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1024</v>
      </c>
      <c r="B61" s="3073" t="s">
        <v>2940</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1025</v>
      </c>
      <c r="B62" s="2387">
        <f>估价对象房地状况!C24</f>
        <v>0</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1026</v>
      </c>
      <c r="B63" s="3072" t="s">
        <v>2938</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1027</v>
      </c>
      <c r="B64" s="2388" t="str">
        <f>估价对象房地状况!C21</f>
        <v>估价对象所在区域公共配套设施齐备情况</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1028</v>
      </c>
      <c r="B65" s="2388" t="str">
        <f>估价对象房地状况!C22</f>
        <v>估价对象所在区域基础设施水平</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20" t="s">
        <v>1029</v>
      </c>
      <c r="B66" s="2392" t="str">
        <f>估价对象房地状况!C20</f>
        <v>区域自然环境：；人文环境；综合评价环境状况一般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03" t="s">
        <v>1032</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1009</v>
      </c>
      <c r="B68" s="2387"/>
      <c r="C68" s="2409" t="s">
        <v>1011</v>
      </c>
      <c r="D68" s="2410" t="s">
        <v>1012</v>
      </c>
      <c r="E68" s="2411" t="s">
        <v>1014</v>
      </c>
      <c r="F68" s="2412" t="s">
        <v>2253</v>
      </c>
      <c r="G68" s="2410" t="s">
        <v>1015</v>
      </c>
      <c r="H68" s="2393" t="s">
        <v>2419</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1033</v>
      </c>
      <c r="B69" s="2390" t="str">
        <f>估价对象房地状况!C15</f>
        <v>估价对象周边居住用地比例、居住小区规模和社区发展完善程度，综合评价居住社区成熟度一般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1034</v>
      </c>
      <c r="B70" s="2387" t="str">
        <f>估价对象房地状况!C18</f>
        <v>估价对象周边道路状况、公共交通通达情况、停车便捷程度，综合评价交通便捷度较好</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1023</v>
      </c>
      <c r="B71" s="2387">
        <f>估价对象房地状况!C19</f>
        <v>0</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1035</v>
      </c>
      <c r="B72" s="2387">
        <f>估价对象房地状况!C24</f>
        <v>0</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1027</v>
      </c>
      <c r="B73" s="2388" t="str">
        <f>估价对象房地状况!C21</f>
        <v>估价对象所在区域公共配套设施齐备情况</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1028</v>
      </c>
      <c r="B74" s="2388" t="str">
        <f>估价对象房地状况!C22</f>
        <v>估价对象所在区域基础设施水平</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1026</v>
      </c>
      <c r="B75" s="3072" t="s">
        <v>2938</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1029</v>
      </c>
      <c r="B76" s="2390" t="str">
        <f>估价对象房地状况!C20</f>
        <v>区域自然环境：；人文环境；综合评价环境状况一般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20" t="s">
        <v>1036</v>
      </c>
      <c r="B77" s="1850"/>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6"/>
      <c r="AD77" s="1405"/>
      <c r="AJ77" s="1404"/>
      <c r="AN77" s="1405"/>
    </row>
    <row r="78" spans="1:40" ht="15">
      <c r="A78" s="2403" t="s">
        <v>1037</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1009</v>
      </c>
      <c r="B79" s="2387"/>
      <c r="C79" s="2409" t="s">
        <v>1011</v>
      </c>
      <c r="D79" s="2410" t="s">
        <v>1012</v>
      </c>
      <c r="E79" s="2411" t="s">
        <v>1014</v>
      </c>
      <c r="F79" s="2412" t="s">
        <v>2254</v>
      </c>
      <c r="G79" s="2410" t="s">
        <v>1015</v>
      </c>
      <c r="H79" s="2393" t="s">
        <v>2419</v>
      </c>
      <c r="I79" s="2410" t="s">
        <v>1013</v>
      </c>
      <c r="J79" s="2413" t="s">
        <v>1016</v>
      </c>
      <c r="K79" s="2413" t="s">
        <v>1017</v>
      </c>
      <c r="L79" s="2413" t="s">
        <v>1018</v>
      </c>
      <c r="M79" s="2413" t="s">
        <v>1019</v>
      </c>
      <c r="N79" s="2413" t="s">
        <v>1020</v>
      </c>
      <c r="AC79" s="1406"/>
      <c r="AD79" s="1405"/>
      <c r="AJ79" s="1404"/>
      <c r="AN79" s="1405"/>
    </row>
    <row r="80" spans="1:40" ht="36">
      <c r="A80" s="1067" t="s">
        <v>1038</v>
      </c>
      <c r="B80" s="2387" t="str">
        <f>估价对象房地状况!G15</f>
        <v>估价对象位于XX开发区，园区建设成熟度XX，产业集聚程度XX</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6"/>
      <c r="AD80" s="1405"/>
      <c r="AJ80" s="1404"/>
      <c r="AN80" s="1405"/>
    </row>
    <row r="81" spans="1:40" ht="48">
      <c r="A81" s="1067" t="s">
        <v>1034</v>
      </c>
      <c r="B81" s="2387" t="str">
        <f>估价对象房地状况!G16</f>
        <v>估价对象周边道路状况、公共交通通达情况、停车便捷程度，综合评价交通便捷度较好</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6"/>
      <c r="AD81" s="1405"/>
      <c r="AJ81" s="1404"/>
      <c r="AN81" s="1405"/>
    </row>
    <row r="82" spans="1:40" ht="24">
      <c r="A82" s="1067" t="s">
        <v>1023</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6"/>
      <c r="AD82" s="1405"/>
      <c r="AJ82" s="1404"/>
      <c r="AN82" s="1405"/>
    </row>
    <row r="83" spans="1:40" ht="14.25">
      <c r="A83" s="1067" t="s">
        <v>1035</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6"/>
      <c r="AD83" s="1405"/>
      <c r="AJ83" s="1404"/>
      <c r="AN83" s="1405"/>
    </row>
    <row r="84" spans="1:40" ht="24">
      <c r="A84" s="1067" t="s">
        <v>1027</v>
      </c>
      <c r="B84" s="2388" t="str">
        <f>估价对象房地状况!G19</f>
        <v>估价对象所在区域公共配套设施齐备情况</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6"/>
      <c r="AD84" s="1405"/>
      <c r="AJ84" s="1404"/>
      <c r="AN84" s="1405"/>
    </row>
    <row r="85" spans="1:40" ht="24">
      <c r="A85" s="1067" t="s">
        <v>1028</v>
      </c>
      <c r="B85" s="2388" t="str">
        <f>估价对象房地状况!G20</f>
        <v>估价对象所在区域基础设施水平</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6"/>
      <c r="AD85" s="1405"/>
      <c r="AJ85" s="1404"/>
      <c r="AN85" s="1405"/>
    </row>
    <row r="86" spans="1:40" ht="24">
      <c r="A86" s="1067" t="s">
        <v>1026</v>
      </c>
      <c r="B86" s="3072" t="s">
        <v>2938</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6"/>
      <c r="AD86" s="1405"/>
      <c r="AJ86" s="1404"/>
      <c r="AN86" s="1405"/>
    </row>
    <row r="87" spans="1:40" ht="36.75" thickBot="1">
      <c r="A87" s="2420" t="s">
        <v>1039</v>
      </c>
      <c r="B87" s="2389" t="str">
        <f>估价对象房地状况!G18</f>
        <v>该园区内是否有污染型企业，绿化情况，卫生条件，整体环境状况判断</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6"/>
      <c r="AD87" s="1405"/>
      <c r="AJ87" s="1404"/>
      <c r="AN87" s="1405"/>
    </row>
    <row r="90" spans="1:40">
      <c r="A90" s="3793" t="s">
        <v>1634</v>
      </c>
      <c r="B90" s="3793"/>
      <c r="C90" s="3793"/>
      <c r="D90" s="3793"/>
      <c r="E90" s="3793"/>
      <c r="F90" s="3793"/>
      <c r="G90" s="3793"/>
      <c r="H90" s="3793"/>
      <c r="I90" s="3793"/>
      <c r="J90" s="3793"/>
      <c r="K90" s="2429"/>
      <c r="L90" s="2429"/>
      <c r="M90" s="2429"/>
      <c r="N90" s="2429"/>
    </row>
    <row r="91" spans="1:40">
      <c r="A91" s="3794" t="s">
        <v>1444</v>
      </c>
      <c r="B91" s="3794" t="s">
        <v>1635</v>
      </c>
      <c r="C91" s="1140" t="s">
        <v>1636</v>
      </c>
      <c r="D91" s="1141"/>
      <c r="E91" s="1141"/>
      <c r="F91" s="1141"/>
      <c r="G91" s="1141"/>
      <c r="H91" s="1141"/>
      <c r="I91" s="1141"/>
      <c r="J91" s="1142"/>
      <c r="K91" s="1134"/>
      <c r="L91" s="1134"/>
      <c r="M91" s="1134"/>
      <c r="N91" s="1134"/>
    </row>
    <row r="92" spans="1:40">
      <c r="A92" s="3794"/>
      <c r="B92" s="3794"/>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801"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80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80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80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80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80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802"/>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80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801" t="s">
        <v>1638</v>
      </c>
      <c r="B101" s="1147" t="s">
        <v>906</v>
      </c>
      <c r="C101" s="1148">
        <f>$G$3</f>
        <v>3.5</v>
      </c>
      <c r="D101" s="1148">
        <f t="shared" ref="D101:N101" si="31">$G$3</f>
        <v>3.5</v>
      </c>
      <c r="E101" s="1148">
        <f t="shared" si="31"/>
        <v>3.5</v>
      </c>
      <c r="F101" s="1148">
        <f t="shared" si="31"/>
        <v>3.5</v>
      </c>
      <c r="G101" s="1148">
        <f t="shared" si="31"/>
        <v>3.5</v>
      </c>
      <c r="H101" s="1148">
        <f t="shared" si="31"/>
        <v>3.5</v>
      </c>
      <c r="I101" s="1148">
        <f t="shared" si="31"/>
        <v>3.5</v>
      </c>
      <c r="J101" s="1148">
        <f t="shared" si="31"/>
        <v>3.5</v>
      </c>
      <c r="K101" s="1148">
        <f t="shared" si="31"/>
        <v>3.5</v>
      </c>
      <c r="L101" s="1148">
        <f t="shared" si="31"/>
        <v>3.5</v>
      </c>
      <c r="M101" s="1148">
        <f t="shared" si="31"/>
        <v>3.5</v>
      </c>
      <c r="N101" s="1148">
        <f t="shared" si="31"/>
        <v>3.5</v>
      </c>
    </row>
    <row r="102" spans="1:14">
      <c r="A102" s="3802"/>
      <c r="B102" s="1143">
        <v>1</v>
      </c>
      <c r="C102" s="1144">
        <f>1.9362/C101</f>
        <v>0.55320000000000003</v>
      </c>
      <c r="D102" s="1144">
        <f>1.9362/D101</f>
        <v>0.55320000000000003</v>
      </c>
      <c r="E102" s="1144">
        <f>1.8629/E101</f>
        <v>0.53225714285714287</v>
      </c>
      <c r="F102" s="1144">
        <f>1.8629/F101</f>
        <v>0.53225714285714287</v>
      </c>
      <c r="G102" s="1144">
        <f>1.8629/G101</f>
        <v>0.53225714285714287</v>
      </c>
      <c r="H102" s="1144">
        <f>1.8629/H101</f>
        <v>0.53225714285714287</v>
      </c>
      <c r="I102" s="1144">
        <f>1.8629/I101</f>
        <v>0.53225714285714287</v>
      </c>
      <c r="J102" s="1144">
        <f>1.942/J101</f>
        <v>0.55485714285714283</v>
      </c>
      <c r="K102" s="1144">
        <f>1.942/K101</f>
        <v>0.55485714285714283</v>
      </c>
      <c r="L102" s="1144">
        <f>1.942/L101</f>
        <v>0.55485714285714283</v>
      </c>
      <c r="M102" s="1144">
        <f>1.942/M101</f>
        <v>0.55485714285714283</v>
      </c>
      <c r="N102" s="1144">
        <f>1.942/N101</f>
        <v>0.55485714285714283</v>
      </c>
    </row>
    <row r="103" spans="1:14">
      <c r="A103" s="3802"/>
      <c r="B103" s="1143">
        <v>2</v>
      </c>
      <c r="C103" s="1144">
        <f>1.4198/C101</f>
        <v>0.40565714285714283</v>
      </c>
      <c r="D103" s="1144">
        <f>1.4198/D101</f>
        <v>0.40565714285714283</v>
      </c>
      <c r="E103" s="1144">
        <f>1.3372/E101</f>
        <v>0.38205714285714282</v>
      </c>
      <c r="F103" s="1144">
        <f>1.3372/F101</f>
        <v>0.38205714285714282</v>
      </c>
      <c r="G103" s="1144">
        <f>1.3372/G101</f>
        <v>0.38205714285714282</v>
      </c>
      <c r="H103" s="1144">
        <f>1.3372/H101</f>
        <v>0.38205714285714282</v>
      </c>
      <c r="I103" s="1144">
        <f>1.3372/I101</f>
        <v>0.38205714285714282</v>
      </c>
      <c r="J103" s="1144">
        <f>1.2799/J101</f>
        <v>0.36568571428571428</v>
      </c>
      <c r="K103" s="1144">
        <f>1.2799/K101</f>
        <v>0.36568571428571428</v>
      </c>
      <c r="L103" s="1144">
        <f>1.2799/L101</f>
        <v>0.36568571428571428</v>
      </c>
      <c r="M103" s="1144">
        <f>1.2799/M101</f>
        <v>0.36568571428571428</v>
      </c>
      <c r="N103" s="1144">
        <f>1.2799/N101</f>
        <v>0.36568571428571428</v>
      </c>
    </row>
    <row r="104" spans="1:14">
      <c r="A104" s="3802"/>
      <c r="B104" s="1143">
        <v>3</v>
      </c>
      <c r="C104" s="1144">
        <f>1.1594/C101</f>
        <v>0.33125714285714286</v>
      </c>
      <c r="D104" s="1144">
        <f>1.1594/D101</f>
        <v>0.33125714285714286</v>
      </c>
      <c r="E104" s="1144">
        <f>1.0788/E101</f>
        <v>0.30822857142857141</v>
      </c>
      <c r="F104" s="1144">
        <f>1.0788/F101</f>
        <v>0.30822857142857141</v>
      </c>
      <c r="G104" s="1144">
        <f>1.0788/G101</f>
        <v>0.30822857142857141</v>
      </c>
      <c r="H104" s="1144">
        <f>1.0788/H101</f>
        <v>0.30822857142857141</v>
      </c>
      <c r="I104" s="1144">
        <f>1.0788/I101</f>
        <v>0.30822857142857141</v>
      </c>
      <c r="J104" s="1144">
        <f>1.0072/J101</f>
        <v>0.28777142857142862</v>
      </c>
      <c r="K104" s="1144">
        <f>1.0072/K101</f>
        <v>0.28777142857142862</v>
      </c>
      <c r="L104" s="1144">
        <f>1.0072/L101</f>
        <v>0.28777142857142862</v>
      </c>
      <c r="M104" s="1144">
        <f>1.0072/M101</f>
        <v>0.28777142857142862</v>
      </c>
      <c r="N104" s="1144">
        <f>1.0072/N101</f>
        <v>0.28777142857142862</v>
      </c>
    </row>
    <row r="105" spans="1:14">
      <c r="A105" s="3802"/>
      <c r="B105" s="1143">
        <v>4</v>
      </c>
      <c r="C105" s="1144">
        <f>0.9622/C101</f>
        <v>0.27491428571428572</v>
      </c>
      <c r="D105" s="1144">
        <f>0.9622/D101</f>
        <v>0.27491428571428572</v>
      </c>
      <c r="E105" s="1144">
        <f>0.8656/E101</f>
        <v>0.24731428571428574</v>
      </c>
      <c r="F105" s="1144">
        <f>0.8656/F101</f>
        <v>0.24731428571428574</v>
      </c>
      <c r="G105" s="1144">
        <f>0.8656/G101</f>
        <v>0.24731428571428574</v>
      </c>
      <c r="H105" s="1144">
        <f>0.8656/H101</f>
        <v>0.24731428571428574</v>
      </c>
      <c r="I105" s="1144">
        <f>0.8656/I101</f>
        <v>0.24731428571428574</v>
      </c>
      <c r="J105" s="1144">
        <f>0.7525/J101</f>
        <v>0.215</v>
      </c>
      <c r="K105" s="1144">
        <f>0.7525/K101</f>
        <v>0.215</v>
      </c>
      <c r="L105" s="1144">
        <f>0.7525/L101</f>
        <v>0.215</v>
      </c>
      <c r="M105" s="1144">
        <f>0.7525/M101</f>
        <v>0.215</v>
      </c>
      <c r="N105" s="1144">
        <f>0.7525/N101</f>
        <v>0.215</v>
      </c>
    </row>
    <row r="106" spans="1:14">
      <c r="A106" s="3802"/>
      <c r="B106" s="1143">
        <v>5</v>
      </c>
      <c r="C106" s="1144">
        <f>0.8417/C101</f>
        <v>0.24048571428571427</v>
      </c>
      <c r="D106" s="1144">
        <f>0.8417/D101</f>
        <v>0.24048571428571427</v>
      </c>
      <c r="E106" s="1144">
        <f>0.7371/E101</f>
        <v>0.21059999999999998</v>
      </c>
      <c r="F106" s="1144">
        <f>0.7371/F101</f>
        <v>0.21059999999999998</v>
      </c>
      <c r="G106" s="1144">
        <f>0.7371/G101</f>
        <v>0.21059999999999998</v>
      </c>
      <c r="H106" s="1144">
        <f>0.7371/H101</f>
        <v>0.21059999999999998</v>
      </c>
      <c r="I106" s="1144">
        <f>0.7371/I101</f>
        <v>0.21059999999999998</v>
      </c>
      <c r="J106" s="1144">
        <f>0.5659/J101</f>
        <v>0.16168571428571427</v>
      </c>
      <c r="K106" s="1144">
        <f>0.5659/K101</f>
        <v>0.16168571428571427</v>
      </c>
      <c r="L106" s="1144">
        <f>0.5659/L101</f>
        <v>0.16168571428571427</v>
      </c>
      <c r="M106" s="1144">
        <f>0.5659/M101</f>
        <v>0.16168571428571427</v>
      </c>
      <c r="N106" s="1144">
        <f>0.5659/N101</f>
        <v>0.16168571428571427</v>
      </c>
    </row>
    <row r="107" spans="1:14">
      <c r="A107" s="3802"/>
      <c r="B107" s="1143">
        <v>6</v>
      </c>
      <c r="C107" s="1144">
        <f>0.7608/C101</f>
        <v>0.21737142857142858</v>
      </c>
      <c r="D107" s="1144">
        <f>0.7608/D101</f>
        <v>0.21737142857142858</v>
      </c>
      <c r="E107" s="1144">
        <f>0.6482/E101</f>
        <v>0.1852</v>
      </c>
      <c r="F107" s="1144">
        <f>0.6482/F101</f>
        <v>0.1852</v>
      </c>
      <c r="G107" s="1144">
        <f>0.6482/G101</f>
        <v>0.1852</v>
      </c>
      <c r="H107" s="1144">
        <f>0.6482/H101</f>
        <v>0.1852</v>
      </c>
      <c r="I107" s="1144">
        <f>0.6482/I101</f>
        <v>0.1852</v>
      </c>
      <c r="J107" s="1144">
        <f>0.4525/J101</f>
        <v>0.12928571428571428</v>
      </c>
      <c r="K107" s="1144">
        <f>0.4525/K101</f>
        <v>0.12928571428571428</v>
      </c>
      <c r="L107" s="1144">
        <f>0.4525/L101</f>
        <v>0.12928571428571428</v>
      </c>
      <c r="M107" s="1144">
        <f>0.4525/M101</f>
        <v>0.12928571428571428</v>
      </c>
      <c r="N107" s="1144">
        <f>0.4525/N101</f>
        <v>0.12928571428571428</v>
      </c>
    </row>
    <row r="108" spans="1:14">
      <c r="A108" s="3802"/>
      <c r="B108" s="3804"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803"/>
      <c r="B109" s="3805"/>
      <c r="C109" s="1146">
        <f>(-0.163*(C108^2)-0.59*C108+7617)*(10^(-4))/C101</f>
        <v>0.21719565714285713</v>
      </c>
      <c r="D109" s="1146">
        <f>(-0.163*(D108^2)-0.59*D108+7617)*(10^(-4))/D101</f>
        <v>0.21719565714285713</v>
      </c>
      <c r="E109" s="1146">
        <f>(-0.161*(E108^2)-7.509*E108+6533)*(10^(-4))/E101</f>
        <v>0.18464640000000002</v>
      </c>
      <c r="F109" s="1146">
        <f>(-0.161*(F108^2)-7.509*F108+6533)*(10^(-4))/F101</f>
        <v>0.18464640000000002</v>
      </c>
      <c r="G109" s="1146">
        <f>(-0.161*(G108^2)-7.509*G108+6533)*(10^(-4))/G101</f>
        <v>0.18464640000000002</v>
      </c>
      <c r="H109" s="1146">
        <f>(-0.161*(H108^2)-7.509*H108+6533)*(10^(-4))/H101</f>
        <v>0.18464640000000002</v>
      </c>
      <c r="I109" s="1146">
        <f>(-0.161*(I108^2)-7.509*I108+6533)*(10^(-4))/I101</f>
        <v>0.18464640000000002</v>
      </c>
      <c r="J109" s="1146">
        <f>(-0.214*(J108^2)-21.991*J108+4665)*(10^(-4))/J101</f>
        <v>0.12786788571428573</v>
      </c>
      <c r="K109" s="1146">
        <f>(-0.214*(K108^2)-21.991*K108+4665)*(10^(-4))/K101</f>
        <v>0.12786788571428573</v>
      </c>
      <c r="L109" s="1146">
        <f>(-0.214*(L108^2)-21.991*L108+4665)*(10^(-4))/L101</f>
        <v>0.12786788571428573</v>
      </c>
      <c r="M109" s="1146">
        <f>(-0.214*(M108^2)-21.991*M108+4665)*(10^(-4))/M101</f>
        <v>0.12786788571428573</v>
      </c>
      <c r="N109" s="1146">
        <f>(-0.214*(N108^2)-21.991*N108+4665)*(10^(-4))/N101</f>
        <v>0.12786788571428573</v>
      </c>
    </row>
    <row r="110" spans="1:14">
      <c r="A110" s="3788" t="s">
        <v>1640</v>
      </c>
      <c r="B110" s="3788"/>
      <c r="C110" s="3788"/>
      <c r="D110" s="3788"/>
      <c r="E110" s="3788"/>
      <c r="F110" s="3788"/>
      <c r="G110" s="3788"/>
      <c r="H110" s="3788"/>
      <c r="I110" s="3788"/>
      <c r="J110" s="3788"/>
      <c r="K110" s="2427"/>
      <c r="L110" s="2427"/>
      <c r="M110" s="2427"/>
      <c r="N110" s="2427"/>
    </row>
    <row r="112" spans="1:14" ht="12.75" thickBot="1"/>
    <row r="113" spans="1:13" ht="25.5" thickBot="1">
      <c r="A113" s="1016" t="s">
        <v>896</v>
      </c>
      <c r="B113" s="2430">
        <f>G3</f>
        <v>3.5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0.90059999999999996</v>
      </c>
      <c r="C115" s="1030">
        <f>B115</f>
        <v>0.90059999999999996</v>
      </c>
      <c r="D115" s="1030">
        <f>ROUND(0.8331-0.0109*B113,4)</f>
        <v>0.79500000000000004</v>
      </c>
      <c r="E115" s="1030">
        <f>D115</f>
        <v>0.79500000000000004</v>
      </c>
      <c r="F115" s="1030">
        <f>E115</f>
        <v>0.79500000000000004</v>
      </c>
      <c r="G115" s="1030">
        <f>F115</f>
        <v>0.79500000000000004</v>
      </c>
      <c r="H115" s="1030">
        <f>G115</f>
        <v>0.79500000000000004</v>
      </c>
      <c r="I115" s="1030">
        <f>ROUND(0.689-0.0155*B113,4)</f>
        <v>0.63480000000000003</v>
      </c>
      <c r="J115" s="1030">
        <f t="shared" ref="J115:M118" si="33">I115</f>
        <v>0.63480000000000003</v>
      </c>
      <c r="K115" s="1030">
        <f t="shared" si="33"/>
        <v>0.63480000000000003</v>
      </c>
      <c r="L115" s="1030">
        <f t="shared" si="33"/>
        <v>0.63480000000000003</v>
      </c>
      <c r="M115" s="1031">
        <f t="shared" si="33"/>
        <v>0.63480000000000003</v>
      </c>
    </row>
    <row r="116" spans="1:13" ht="12.75">
      <c r="A116" s="1029" t="s">
        <v>901</v>
      </c>
      <c r="B116" s="1030">
        <f>ROUND(0.949-0.012*B113,4)</f>
        <v>0.90700000000000003</v>
      </c>
      <c r="C116" s="1030">
        <f>B116</f>
        <v>0.90700000000000003</v>
      </c>
      <c r="D116" s="1030">
        <f>ROUND(0.8567-0.013*B113,4)</f>
        <v>0.81120000000000003</v>
      </c>
      <c r="E116" s="1030">
        <f t="shared" ref="E116:H117" si="34">D116</f>
        <v>0.81120000000000003</v>
      </c>
      <c r="F116" s="1030">
        <f t="shared" si="34"/>
        <v>0.81120000000000003</v>
      </c>
      <c r="G116" s="1030">
        <f t="shared" si="34"/>
        <v>0.81120000000000003</v>
      </c>
      <c r="H116" s="1030">
        <f t="shared" si="34"/>
        <v>0.81120000000000003</v>
      </c>
      <c r="I116" s="1030">
        <f>ROUND(0.7694-0.014*B113,4)</f>
        <v>0.72040000000000004</v>
      </c>
      <c r="J116" s="1030">
        <f t="shared" si="33"/>
        <v>0.72040000000000004</v>
      </c>
      <c r="K116" s="1030">
        <f t="shared" si="33"/>
        <v>0.72040000000000004</v>
      </c>
      <c r="L116" s="1030">
        <f t="shared" si="33"/>
        <v>0.72040000000000004</v>
      </c>
      <c r="M116" s="1031">
        <f t="shared" si="33"/>
        <v>0.72040000000000004</v>
      </c>
    </row>
    <row r="117" spans="1:13" ht="12.75">
      <c r="A117" s="1032" t="s">
        <v>902</v>
      </c>
      <c r="B117" s="1030">
        <f>ROUND(0.8808-0.006*B113,4)</f>
        <v>0.85980000000000001</v>
      </c>
      <c r="C117" s="1030">
        <f>B117</f>
        <v>0.85980000000000001</v>
      </c>
      <c r="D117" s="1030">
        <f>ROUND(0.8748-0.008*B113,4)</f>
        <v>0.8468</v>
      </c>
      <c r="E117" s="1030">
        <f t="shared" si="34"/>
        <v>0.8468</v>
      </c>
      <c r="F117" s="1030">
        <f t="shared" si="34"/>
        <v>0.8468</v>
      </c>
      <c r="G117" s="1030">
        <f t="shared" si="34"/>
        <v>0.8468</v>
      </c>
      <c r="H117" s="1030">
        <f t="shared" si="34"/>
        <v>0.8468</v>
      </c>
      <c r="I117" s="1030">
        <f>ROUND(0.7412-0.0095*B113,4)</f>
        <v>0.70799999999999996</v>
      </c>
      <c r="J117" s="1030">
        <f t="shared" si="33"/>
        <v>0.70799999999999996</v>
      </c>
      <c r="K117" s="1030">
        <f t="shared" si="33"/>
        <v>0.70799999999999996</v>
      </c>
      <c r="L117" s="1030">
        <f t="shared" si="33"/>
        <v>0.70799999999999996</v>
      </c>
      <c r="M117" s="1031">
        <f t="shared" si="33"/>
        <v>0.70799999999999996</v>
      </c>
    </row>
    <row r="118" spans="1:13" ht="13.5" thickBot="1">
      <c r="A118" s="1033" t="s">
        <v>903</v>
      </c>
      <c r="B118" s="1034">
        <f>ROUND(0.7275-0.01*B113,4)</f>
        <v>0.6925</v>
      </c>
      <c r="C118" s="1034">
        <f>B118</f>
        <v>0.6925</v>
      </c>
      <c r="D118" s="1034">
        <f>ROUND(0.7043-0.012*B113,4)</f>
        <v>0.6623</v>
      </c>
      <c r="E118" s="1034">
        <f>D118</f>
        <v>0.6623</v>
      </c>
      <c r="F118" s="1034">
        <f>E118</f>
        <v>0.6623</v>
      </c>
      <c r="G118" s="1034">
        <f>ROUND(0.6299-0.0122*B113,4)</f>
        <v>0.58720000000000006</v>
      </c>
      <c r="H118" s="1034">
        <f>G118</f>
        <v>0.58720000000000006</v>
      </c>
      <c r="I118" s="1034">
        <f>ROUND(0.5667-0.0136*B113,4)</f>
        <v>0.51910000000000001</v>
      </c>
      <c r="J118" s="1034">
        <f t="shared" si="33"/>
        <v>0.51910000000000001</v>
      </c>
      <c r="K118" s="1034">
        <f t="shared" si="33"/>
        <v>0.51910000000000001</v>
      </c>
      <c r="L118" s="1034">
        <f t="shared" si="33"/>
        <v>0.51910000000000001</v>
      </c>
      <c r="M118" s="1035">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794" t="s">
        <v>1008</v>
      </c>
      <c r="B18" s="1154" t="s">
        <v>1447</v>
      </c>
      <c r="C18" s="1131" t="s">
        <v>1448</v>
      </c>
      <c r="D18" s="1132"/>
      <c r="E18" s="1154">
        <v>1</v>
      </c>
      <c r="F18" s="1133" t="s">
        <v>1449</v>
      </c>
      <c r="G18" s="1134"/>
      <c r="H18" s="1105"/>
      <c r="I18" s="1105"/>
    </row>
    <row r="19" spans="1:9" s="1600" customFormat="1" ht="19.5" customHeight="1">
      <c r="A19" s="3794"/>
      <c r="B19" s="3794" t="s">
        <v>1450</v>
      </c>
      <c r="C19" s="1131" t="s">
        <v>1451</v>
      </c>
      <c r="D19" s="1132"/>
      <c r="E19" s="1154">
        <v>0.9</v>
      </c>
      <c r="F19" s="1133" t="s">
        <v>1452</v>
      </c>
      <c r="G19" s="1134"/>
      <c r="H19" s="1105"/>
      <c r="I19" s="1105"/>
    </row>
    <row r="20" spans="1:9" s="1600" customFormat="1" ht="19.5" customHeight="1">
      <c r="A20" s="3794"/>
      <c r="B20" s="3794"/>
      <c r="C20" s="1131" t="s">
        <v>1453</v>
      </c>
      <c r="D20" s="1132"/>
      <c r="E20" s="1154">
        <v>1.1000000000000001</v>
      </c>
      <c r="F20" s="1133" t="s">
        <v>1454</v>
      </c>
      <c r="G20" s="1134"/>
      <c r="H20" s="1105"/>
      <c r="I20" s="1105"/>
    </row>
    <row r="21" spans="1:9" s="1600" customFormat="1" ht="19.5" customHeight="1">
      <c r="A21" s="3794"/>
      <c r="B21" s="3794"/>
      <c r="C21" s="1131" t="s">
        <v>1455</v>
      </c>
      <c r="D21" s="1132"/>
      <c r="E21" s="1154">
        <v>0.8</v>
      </c>
      <c r="F21" s="1133" t="s">
        <v>1456</v>
      </c>
      <c r="G21" s="1134"/>
      <c r="H21" s="1105"/>
      <c r="I21" s="1105"/>
    </row>
    <row r="22" spans="1:9" s="1600" customFormat="1" ht="19.5" customHeight="1">
      <c r="A22" s="3794"/>
      <c r="B22" s="3794"/>
      <c r="C22" s="1131" t="s">
        <v>1457</v>
      </c>
      <c r="D22" s="1132"/>
      <c r="E22" s="1154">
        <v>0.5</v>
      </c>
      <c r="F22" s="1133"/>
      <c r="G22" s="1134"/>
      <c r="H22" s="1105"/>
      <c r="I22" s="1105"/>
    </row>
    <row r="23" spans="1:9" s="1600" customFormat="1" ht="19.5" customHeight="1">
      <c r="A23" s="3794" t="s">
        <v>1030</v>
      </c>
      <c r="B23" s="1154" t="s">
        <v>1447</v>
      </c>
      <c r="C23" s="1131" t="s">
        <v>1458</v>
      </c>
      <c r="D23" s="1132"/>
      <c r="E23" s="1154">
        <v>1</v>
      </c>
      <c r="F23" s="1133" t="s">
        <v>1459</v>
      </c>
      <c r="G23" s="1134"/>
      <c r="H23" s="1105"/>
      <c r="I23" s="1105"/>
    </row>
    <row r="24" spans="1:9" s="1600" customFormat="1" ht="19.5" customHeight="1">
      <c r="A24" s="3794"/>
      <c r="B24" s="3794" t="s">
        <v>1450</v>
      </c>
      <c r="C24" s="1131" t="s">
        <v>1460</v>
      </c>
      <c r="D24" s="1132"/>
      <c r="E24" s="1154">
        <v>0.5</v>
      </c>
      <c r="F24" s="1133"/>
      <c r="G24" s="1134"/>
      <c r="H24" s="1105"/>
      <c r="I24" s="1105"/>
    </row>
    <row r="25" spans="1:9" s="1600" customFormat="1" ht="19.5" customHeight="1">
      <c r="A25" s="3794"/>
      <c r="B25" s="3794"/>
      <c r="C25" s="1131" t="s">
        <v>1461</v>
      </c>
      <c r="D25" s="1132"/>
      <c r="E25" s="1154">
        <v>1.1000000000000001</v>
      </c>
      <c r="F25" s="1133"/>
      <c r="G25" s="1134"/>
      <c r="H25" s="1105"/>
      <c r="I25" s="1105"/>
    </row>
    <row r="26" spans="1:9" s="1600" customFormat="1" ht="19.5" customHeight="1">
      <c r="A26" s="3794"/>
      <c r="B26" s="3794"/>
      <c r="C26" s="1131" t="s">
        <v>1462</v>
      </c>
      <c r="D26" s="1132"/>
      <c r="E26" s="1154">
        <v>1.1000000000000001</v>
      </c>
      <c r="F26" s="1133"/>
      <c r="G26" s="1134"/>
      <c r="H26" s="1105"/>
      <c r="I26" s="1105"/>
    </row>
    <row r="27" spans="1:9" s="1600" customFormat="1" ht="19.5" customHeight="1">
      <c r="A27" s="3794"/>
      <c r="B27" s="3794"/>
      <c r="C27" s="1131" t="s">
        <v>1463</v>
      </c>
      <c r="D27" s="1132"/>
      <c r="E27" s="1154">
        <v>0.9</v>
      </c>
      <c r="F27" s="1133" t="s">
        <v>1464</v>
      </c>
      <c r="G27" s="1134"/>
      <c r="H27" s="1105"/>
      <c r="I27" s="1105"/>
    </row>
    <row r="28" spans="1:9" s="1600" customFormat="1" ht="19.5" customHeight="1">
      <c r="A28" s="3794"/>
      <c r="B28" s="3794"/>
      <c r="C28" s="1131" t="s">
        <v>1465</v>
      </c>
      <c r="D28" s="1132"/>
      <c r="E28" s="1154">
        <v>0.9</v>
      </c>
      <c r="F28" s="1133" t="s">
        <v>1466</v>
      </c>
      <c r="G28" s="1134"/>
      <c r="H28" s="1105"/>
      <c r="I28" s="1105"/>
    </row>
    <row r="29" spans="1:9" s="1600" customFormat="1" ht="19.5" customHeight="1">
      <c r="A29" s="3794"/>
      <c r="B29" s="3794"/>
      <c r="C29" s="1131" t="s">
        <v>1467</v>
      </c>
      <c r="D29" s="1132"/>
      <c r="E29" s="1154">
        <v>0.9</v>
      </c>
      <c r="F29" s="1133" t="s">
        <v>1468</v>
      </c>
      <c r="G29" s="1134"/>
      <c r="H29" s="1105"/>
      <c r="I29" s="1105"/>
    </row>
    <row r="30" spans="1:9" s="1600" customFormat="1" ht="19.5" customHeight="1">
      <c r="A30" s="3794"/>
      <c r="B30" s="3794"/>
      <c r="C30" s="1131" t="s">
        <v>1469</v>
      </c>
      <c r="D30" s="1132"/>
      <c r="E30" s="1154">
        <v>0.9</v>
      </c>
      <c r="F30" s="1133" t="s">
        <v>1470</v>
      </c>
      <c r="G30" s="1134"/>
      <c r="H30" s="1105"/>
      <c r="I30" s="1105"/>
    </row>
    <row r="31" spans="1:9" s="1600" customFormat="1" ht="19.5" customHeight="1">
      <c r="A31" s="3794"/>
      <c r="B31" s="3794"/>
      <c r="C31" s="1131" t="s">
        <v>1471</v>
      </c>
      <c r="D31" s="1132"/>
      <c r="E31" s="1154">
        <v>0.8</v>
      </c>
      <c r="F31" s="1133" t="s">
        <v>1472</v>
      </c>
      <c r="G31" s="1134"/>
      <c r="H31" s="1105"/>
      <c r="I31" s="1105"/>
    </row>
    <row r="32" spans="1:9" s="1600" customFormat="1" ht="19.5" customHeight="1">
      <c r="A32" s="3794"/>
      <c r="B32" s="3794"/>
      <c r="C32" s="1131" t="s">
        <v>1473</v>
      </c>
      <c r="D32" s="1132"/>
      <c r="E32" s="1154">
        <v>0.8</v>
      </c>
      <c r="F32" s="1133" t="s">
        <v>1474</v>
      </c>
      <c r="G32" s="1134"/>
      <c r="H32" s="1105"/>
      <c r="I32" s="1105"/>
    </row>
    <row r="33" spans="1:9" s="1600" customFormat="1" ht="19.5" customHeight="1">
      <c r="A33" s="3794" t="s">
        <v>1475</v>
      </c>
      <c r="B33" s="1154" t="s">
        <v>1447</v>
      </c>
      <c r="C33" s="1131" t="s">
        <v>1476</v>
      </c>
      <c r="D33" s="1132"/>
      <c r="E33" s="1154">
        <v>1</v>
      </c>
      <c r="F33" s="1133" t="s">
        <v>1477</v>
      </c>
      <c r="G33" s="1134"/>
      <c r="H33" s="1105"/>
      <c r="I33" s="1105"/>
    </row>
    <row r="34" spans="1:9" s="1600" customFormat="1" ht="19.5" customHeight="1">
      <c r="A34" s="3794"/>
      <c r="B34" s="1154" t="s">
        <v>1450</v>
      </c>
      <c r="C34" s="1131" t="s">
        <v>1478</v>
      </c>
      <c r="D34" s="1132"/>
      <c r="E34" s="1154">
        <v>1.5</v>
      </c>
      <c r="F34" s="1133" t="s">
        <v>1479</v>
      </c>
      <c r="G34" s="1134"/>
      <c r="H34" s="1105"/>
      <c r="I34" s="1105"/>
    </row>
    <row r="35" spans="1:9" s="1600" customFormat="1" ht="19.5" customHeight="1">
      <c r="A35" s="3794" t="s">
        <v>1433</v>
      </c>
      <c r="B35" s="1154" t="s">
        <v>1447</v>
      </c>
      <c r="C35" s="1131" t="s">
        <v>1480</v>
      </c>
      <c r="D35" s="1132"/>
      <c r="E35" s="1154">
        <v>1</v>
      </c>
      <c r="F35" s="1133" t="s">
        <v>1481</v>
      </c>
      <c r="G35" s="1134"/>
      <c r="H35" s="1105"/>
      <c r="I35" s="1105"/>
    </row>
    <row r="36" spans="1:9" s="1600" customFormat="1" ht="19.5" customHeight="1">
      <c r="A36" s="3794"/>
      <c r="B36" s="3794" t="s">
        <v>1450</v>
      </c>
      <c r="C36" s="1131" t="s">
        <v>1482</v>
      </c>
      <c r="D36" s="1132"/>
      <c r="E36" s="1154">
        <v>1</v>
      </c>
      <c r="F36" s="1133" t="s">
        <v>1483</v>
      </c>
      <c r="G36" s="1134"/>
      <c r="H36" s="1105"/>
      <c r="I36" s="1105"/>
    </row>
    <row r="37" spans="1:9" s="1600" customFormat="1" ht="19.5" customHeight="1">
      <c r="A37" s="3794"/>
      <c r="B37" s="3794"/>
      <c r="C37" s="1131" t="s">
        <v>1484</v>
      </c>
      <c r="D37" s="1132"/>
      <c r="E37" s="1154">
        <v>1.5</v>
      </c>
      <c r="F37" s="1133" t="s">
        <v>1485</v>
      </c>
      <c r="G37" s="1134"/>
      <c r="H37" s="1105"/>
      <c r="I37" s="1105"/>
    </row>
    <row r="38" spans="1:9" s="1600" customFormat="1" ht="19.5" customHeight="1">
      <c r="A38" s="3794"/>
      <c r="B38" s="3794"/>
      <c r="C38" s="1131" t="s">
        <v>1486</v>
      </c>
      <c r="D38" s="1132"/>
      <c r="E38" s="1154">
        <v>1</v>
      </c>
      <c r="F38" s="1133" t="s">
        <v>1487</v>
      </c>
      <c r="G38" s="1134"/>
      <c r="H38" s="1105"/>
      <c r="I38" s="1105"/>
    </row>
    <row r="39" spans="1:9" s="1600" customFormat="1" ht="19.5" customHeight="1">
      <c r="A39" s="3794"/>
      <c r="B39" s="3794"/>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794" t="s">
        <v>1502</v>
      </c>
      <c r="C61" s="1068" t="s">
        <v>1503</v>
      </c>
      <c r="D61" s="1068" t="s">
        <v>1504</v>
      </c>
      <c r="E61" s="1139">
        <v>0.5</v>
      </c>
      <c r="F61" s="1154">
        <v>80</v>
      </c>
      <c r="H61" s="1105">
        <f>SUMIF(C59:C119,基准地价!C8,E59:E119)</f>
        <v>0</v>
      </c>
    </row>
    <row r="62" spans="1:8" s="1105" customFormat="1" ht="24">
      <c r="A62" s="1154">
        <v>2</v>
      </c>
      <c r="B62" s="3794"/>
      <c r="C62" s="1068" t="s">
        <v>1505</v>
      </c>
      <c r="D62" s="1068" t="s">
        <v>1506</v>
      </c>
      <c r="E62" s="1139">
        <v>0.5</v>
      </c>
      <c r="F62" s="1154">
        <v>80</v>
      </c>
    </row>
    <row r="63" spans="1:8" s="1105" customFormat="1" ht="36">
      <c r="A63" s="1154">
        <v>3</v>
      </c>
      <c r="B63" s="3794"/>
      <c r="C63" s="1068" t="s">
        <v>1507</v>
      </c>
      <c r="D63" s="1068" t="s">
        <v>1508</v>
      </c>
      <c r="E63" s="1139">
        <v>0.5</v>
      </c>
      <c r="F63" s="1154">
        <v>80</v>
      </c>
    </row>
    <row r="64" spans="1:8" s="1105" customFormat="1" ht="36">
      <c r="A64" s="1154">
        <v>4</v>
      </c>
      <c r="B64" s="3794"/>
      <c r="C64" s="1068" t="s">
        <v>1509</v>
      </c>
      <c r="D64" s="1068" t="s">
        <v>1510</v>
      </c>
      <c r="E64" s="1139">
        <v>0.4</v>
      </c>
      <c r="F64" s="1154">
        <v>60</v>
      </c>
    </row>
    <row r="65" spans="1:6" s="1105" customFormat="1" ht="36">
      <c r="A65" s="1154">
        <v>5</v>
      </c>
      <c r="B65" s="3794"/>
      <c r="C65" s="1068" t="s">
        <v>1511</v>
      </c>
      <c r="D65" s="1068" t="s">
        <v>1512</v>
      </c>
      <c r="E65" s="1139">
        <v>0.2</v>
      </c>
      <c r="F65" s="1154">
        <v>30</v>
      </c>
    </row>
    <row r="66" spans="1:6" s="1105" customFormat="1" ht="36">
      <c r="A66" s="1154">
        <v>6</v>
      </c>
      <c r="B66" s="3794"/>
      <c r="C66" s="1068" t="s">
        <v>1513</v>
      </c>
      <c r="D66" s="1068" t="s">
        <v>1514</v>
      </c>
      <c r="E66" s="1139">
        <v>0.3</v>
      </c>
      <c r="F66" s="1154">
        <v>50</v>
      </c>
    </row>
    <row r="67" spans="1:6" s="1105" customFormat="1" ht="36">
      <c r="A67" s="1154">
        <v>7</v>
      </c>
      <c r="B67" s="3794"/>
      <c r="C67" s="1068" t="s">
        <v>1515</v>
      </c>
      <c r="D67" s="1068" t="s">
        <v>1516</v>
      </c>
      <c r="E67" s="1139">
        <v>0.2</v>
      </c>
      <c r="F67" s="1154">
        <v>30</v>
      </c>
    </row>
    <row r="68" spans="1:6" s="1105" customFormat="1" ht="36">
      <c r="A68" s="1154">
        <v>8</v>
      </c>
      <c r="B68" s="3794"/>
      <c r="C68" s="1068" t="s">
        <v>1517</v>
      </c>
      <c r="D68" s="1068" t="s">
        <v>1518</v>
      </c>
      <c r="E68" s="1139">
        <v>0.2</v>
      </c>
      <c r="F68" s="1154">
        <v>30</v>
      </c>
    </row>
    <row r="69" spans="1:6" s="1105" customFormat="1" ht="36">
      <c r="A69" s="1154">
        <v>9</v>
      </c>
      <c r="B69" s="3794"/>
      <c r="C69" s="1068" t="s">
        <v>1519</v>
      </c>
      <c r="D69" s="1068" t="s">
        <v>1520</v>
      </c>
      <c r="E69" s="1139">
        <v>0.2</v>
      </c>
      <c r="F69" s="1154">
        <v>30</v>
      </c>
    </row>
    <row r="70" spans="1:6" s="1105" customFormat="1" ht="48">
      <c r="A70" s="1154">
        <v>10</v>
      </c>
      <c r="B70" s="3794"/>
      <c r="C70" s="1068" t="s">
        <v>1521</v>
      </c>
      <c r="D70" s="1068" t="s">
        <v>1522</v>
      </c>
      <c r="E70" s="1139">
        <v>0.2</v>
      </c>
      <c r="F70" s="1154">
        <v>30</v>
      </c>
    </row>
    <row r="71" spans="1:6" s="1105" customFormat="1" ht="48">
      <c r="A71" s="1154">
        <v>11</v>
      </c>
      <c r="B71" s="3794"/>
      <c r="C71" s="1068" t="s">
        <v>1523</v>
      </c>
      <c r="D71" s="1068" t="s">
        <v>1524</v>
      </c>
      <c r="E71" s="1139">
        <v>0.2</v>
      </c>
      <c r="F71" s="1154">
        <v>30</v>
      </c>
    </row>
    <row r="72" spans="1:6" s="1105" customFormat="1" ht="36">
      <c r="A72" s="1154">
        <v>12</v>
      </c>
      <c r="B72" s="3794"/>
      <c r="C72" s="1068" t="s">
        <v>1525</v>
      </c>
      <c r="D72" s="1068" t="s">
        <v>1526</v>
      </c>
      <c r="E72" s="1139">
        <v>0.5</v>
      </c>
      <c r="F72" s="1154">
        <v>80</v>
      </c>
    </row>
    <row r="73" spans="1:6" s="1105" customFormat="1" ht="24">
      <c r="A73" s="1154">
        <v>13</v>
      </c>
      <c r="B73" s="3794"/>
      <c r="C73" s="1068" t="s">
        <v>1527</v>
      </c>
      <c r="D73" s="1068" t="s">
        <v>1528</v>
      </c>
      <c r="E73" s="1139">
        <v>0.4</v>
      </c>
      <c r="F73" s="1154">
        <v>60</v>
      </c>
    </row>
    <row r="74" spans="1:6" s="1105" customFormat="1" ht="24">
      <c r="A74" s="1154">
        <v>14</v>
      </c>
      <c r="B74" s="3794"/>
      <c r="C74" s="1068" t="s">
        <v>1529</v>
      </c>
      <c r="D74" s="1068" t="s">
        <v>1530</v>
      </c>
      <c r="E74" s="1139">
        <v>0.2</v>
      </c>
      <c r="F74" s="1154">
        <v>30</v>
      </c>
    </row>
    <row r="75" spans="1:6" s="1105" customFormat="1" ht="24">
      <c r="A75" s="1154">
        <v>15</v>
      </c>
      <c r="B75" s="3794"/>
      <c r="C75" s="1068" t="s">
        <v>1531</v>
      </c>
      <c r="D75" s="1068" t="s">
        <v>1532</v>
      </c>
      <c r="E75" s="1139">
        <v>0.2</v>
      </c>
      <c r="F75" s="1154">
        <v>30</v>
      </c>
    </row>
    <row r="76" spans="1:6" s="1105" customFormat="1" ht="24">
      <c r="A76" s="1154">
        <v>16</v>
      </c>
      <c r="B76" s="3794" t="s">
        <v>1533</v>
      </c>
      <c r="C76" s="1068" t="s">
        <v>1534</v>
      </c>
      <c r="D76" s="1068" t="s">
        <v>1535</v>
      </c>
      <c r="E76" s="1139">
        <v>0.5</v>
      </c>
      <c r="F76" s="1154">
        <v>80</v>
      </c>
    </row>
    <row r="77" spans="1:6" s="1105" customFormat="1" ht="24">
      <c r="A77" s="1154">
        <v>17</v>
      </c>
      <c r="B77" s="3794"/>
      <c r="C77" s="1068" t="s">
        <v>1536</v>
      </c>
      <c r="D77" s="1068" t="s">
        <v>1537</v>
      </c>
      <c r="E77" s="1139">
        <v>0.5</v>
      </c>
      <c r="F77" s="1154">
        <v>80</v>
      </c>
    </row>
    <row r="78" spans="1:6" s="1105" customFormat="1" ht="24">
      <c r="A78" s="1154">
        <v>18</v>
      </c>
      <c r="B78" s="3794"/>
      <c r="C78" s="1068" t="s">
        <v>1538</v>
      </c>
      <c r="D78" s="1068" t="s">
        <v>1539</v>
      </c>
      <c r="E78" s="1139">
        <v>0.2</v>
      </c>
      <c r="F78" s="1154">
        <v>30</v>
      </c>
    </row>
    <row r="79" spans="1:6" s="1105" customFormat="1" ht="24">
      <c r="A79" s="1154">
        <v>19</v>
      </c>
      <c r="B79" s="3794"/>
      <c r="C79" s="1068" t="s">
        <v>1540</v>
      </c>
      <c r="D79" s="1068" t="s">
        <v>1541</v>
      </c>
      <c r="E79" s="1139">
        <v>0.5</v>
      </c>
      <c r="F79" s="1154">
        <v>80</v>
      </c>
    </row>
    <row r="80" spans="1:6" s="1105" customFormat="1" ht="36">
      <c r="A80" s="1154">
        <v>20</v>
      </c>
      <c r="B80" s="3794"/>
      <c r="C80" s="1068" t="s">
        <v>1542</v>
      </c>
      <c r="D80" s="1068" t="s">
        <v>1543</v>
      </c>
      <c r="E80" s="1139">
        <v>0.2</v>
      </c>
      <c r="F80" s="1154">
        <v>30</v>
      </c>
    </row>
    <row r="81" spans="1:6" s="1105" customFormat="1" ht="36">
      <c r="A81" s="1154">
        <v>21</v>
      </c>
      <c r="B81" s="3794"/>
      <c r="C81" s="1068" t="s">
        <v>1544</v>
      </c>
      <c r="D81" s="1068" t="s">
        <v>1545</v>
      </c>
      <c r="E81" s="1139">
        <v>0.2</v>
      </c>
      <c r="F81" s="1154">
        <v>30</v>
      </c>
    </row>
    <row r="82" spans="1:6" s="1105" customFormat="1" ht="48">
      <c r="A82" s="1154">
        <v>22</v>
      </c>
      <c r="B82" s="3794"/>
      <c r="C82" s="1068" t="s">
        <v>1546</v>
      </c>
      <c r="D82" s="1068" t="s">
        <v>1547</v>
      </c>
      <c r="E82" s="1139">
        <v>0.2</v>
      </c>
      <c r="F82" s="1154">
        <v>30</v>
      </c>
    </row>
    <row r="83" spans="1:6" s="1105" customFormat="1" ht="48">
      <c r="A83" s="1154">
        <v>23</v>
      </c>
      <c r="B83" s="3794"/>
      <c r="C83" s="1068" t="s">
        <v>1548</v>
      </c>
      <c r="D83" s="1068" t="s">
        <v>1549</v>
      </c>
      <c r="E83" s="1139">
        <v>0.2</v>
      </c>
      <c r="F83" s="1154">
        <v>30</v>
      </c>
    </row>
    <row r="84" spans="1:6" s="1105" customFormat="1" ht="36">
      <c r="A84" s="1154">
        <v>24</v>
      </c>
      <c r="B84" s="3794"/>
      <c r="C84" s="1068" t="s">
        <v>1550</v>
      </c>
      <c r="D84" s="1068" t="s">
        <v>1551</v>
      </c>
      <c r="E84" s="1139">
        <v>0.2</v>
      </c>
      <c r="F84" s="1154">
        <v>30</v>
      </c>
    </row>
    <row r="85" spans="1:6" s="1105" customFormat="1" ht="36">
      <c r="A85" s="1154">
        <v>25</v>
      </c>
      <c r="B85" s="3794"/>
      <c r="C85" s="1068" t="s">
        <v>1552</v>
      </c>
      <c r="D85" s="1068" t="s">
        <v>1553</v>
      </c>
      <c r="E85" s="1139">
        <v>0.5</v>
      </c>
      <c r="F85" s="1154">
        <v>80</v>
      </c>
    </row>
    <row r="86" spans="1:6" s="1105" customFormat="1" ht="36">
      <c r="A86" s="1154">
        <v>26</v>
      </c>
      <c r="B86" s="3794"/>
      <c r="C86" s="1068" t="s">
        <v>1554</v>
      </c>
      <c r="D86" s="1068" t="s">
        <v>1555</v>
      </c>
      <c r="E86" s="1139">
        <v>0.2</v>
      </c>
      <c r="F86" s="1154">
        <v>30</v>
      </c>
    </row>
    <row r="87" spans="1:6" s="1105" customFormat="1" ht="36">
      <c r="A87" s="1154">
        <v>27</v>
      </c>
      <c r="B87" s="3794"/>
      <c r="C87" s="1068" t="s">
        <v>1556</v>
      </c>
      <c r="D87" s="1068" t="s">
        <v>1557</v>
      </c>
      <c r="E87" s="1139">
        <v>0.2</v>
      </c>
      <c r="F87" s="1154">
        <v>30</v>
      </c>
    </row>
    <row r="88" spans="1:6" s="1105" customFormat="1" ht="36">
      <c r="A88" s="1154">
        <v>28</v>
      </c>
      <c r="B88" s="3794"/>
      <c r="C88" s="1068" t="s">
        <v>1558</v>
      </c>
      <c r="D88" s="1068" t="s">
        <v>1559</v>
      </c>
      <c r="E88" s="1139">
        <v>0.2</v>
      </c>
      <c r="F88" s="1154">
        <v>30</v>
      </c>
    </row>
    <row r="89" spans="1:6" s="1105" customFormat="1" ht="24">
      <c r="A89" s="1154">
        <v>29</v>
      </c>
      <c r="B89" s="3794"/>
      <c r="C89" s="1068" t="s">
        <v>1560</v>
      </c>
      <c r="D89" s="1068" t="s">
        <v>1561</v>
      </c>
      <c r="E89" s="1139">
        <v>0.2</v>
      </c>
      <c r="F89" s="1154">
        <v>30</v>
      </c>
    </row>
    <row r="90" spans="1:6" s="1105" customFormat="1" ht="24">
      <c r="A90" s="1154">
        <v>30</v>
      </c>
      <c r="B90" s="3794"/>
      <c r="C90" s="1068" t="s">
        <v>1562</v>
      </c>
      <c r="D90" s="1068" t="s">
        <v>1563</v>
      </c>
      <c r="E90" s="1139">
        <v>0.2</v>
      </c>
      <c r="F90" s="1154">
        <v>30</v>
      </c>
    </row>
    <row r="91" spans="1:6" s="1105" customFormat="1" ht="36">
      <c r="A91" s="1154">
        <v>31</v>
      </c>
      <c r="B91" s="3794"/>
      <c r="C91" s="1068" t="s">
        <v>1564</v>
      </c>
      <c r="D91" s="1068" t="s">
        <v>1565</v>
      </c>
      <c r="E91" s="1139">
        <v>0.2</v>
      </c>
      <c r="F91" s="1154">
        <v>30</v>
      </c>
    </row>
    <row r="92" spans="1:6" s="1105" customFormat="1" ht="24">
      <c r="A92" s="1154">
        <v>32</v>
      </c>
      <c r="B92" s="3794" t="s">
        <v>1566</v>
      </c>
      <c r="C92" s="1154" t="s">
        <v>1567</v>
      </c>
      <c r="D92" s="1068" t="s">
        <v>1568</v>
      </c>
      <c r="E92" s="1139">
        <v>0.2</v>
      </c>
      <c r="F92" s="1154">
        <v>30</v>
      </c>
    </row>
    <row r="93" spans="1:6" s="1105" customFormat="1" ht="36">
      <c r="A93" s="1154">
        <v>33</v>
      </c>
      <c r="B93" s="3794"/>
      <c r="C93" s="1154" t="s">
        <v>1569</v>
      </c>
      <c r="D93" s="1068" t="s">
        <v>1570</v>
      </c>
      <c r="E93" s="1139">
        <v>0.2</v>
      </c>
      <c r="F93" s="1154">
        <v>30</v>
      </c>
    </row>
    <row r="94" spans="1:6" s="1105" customFormat="1" ht="48">
      <c r="A94" s="1154">
        <v>34</v>
      </c>
      <c r="B94" s="3794"/>
      <c r="C94" s="1154" t="s">
        <v>1571</v>
      </c>
      <c r="D94" s="1068" t="s">
        <v>1572</v>
      </c>
      <c r="E94" s="1139">
        <v>0.2</v>
      </c>
      <c r="F94" s="1154">
        <v>30</v>
      </c>
    </row>
    <row r="95" spans="1:6" s="1105" customFormat="1" ht="36">
      <c r="A95" s="1154">
        <v>35</v>
      </c>
      <c r="B95" s="3794"/>
      <c r="C95" s="1154" t="s">
        <v>1573</v>
      </c>
      <c r="D95" s="1068" t="s">
        <v>1574</v>
      </c>
      <c r="E95" s="1139">
        <v>0.2</v>
      </c>
      <c r="F95" s="1154">
        <v>30</v>
      </c>
    </row>
    <row r="96" spans="1:6" s="1105" customFormat="1" ht="48">
      <c r="A96" s="1154">
        <v>36</v>
      </c>
      <c r="B96" s="3794"/>
      <c r="C96" s="1068" t="s">
        <v>1575</v>
      </c>
      <c r="D96" s="1068" t="s">
        <v>1576</v>
      </c>
      <c r="E96" s="1139">
        <v>0.2</v>
      </c>
      <c r="F96" s="1154">
        <v>30</v>
      </c>
    </row>
    <row r="97" spans="1:6" s="1105" customFormat="1" ht="36">
      <c r="A97" s="1154">
        <v>37</v>
      </c>
      <c r="B97" s="3794"/>
      <c r="C97" s="1154" t="s">
        <v>1577</v>
      </c>
      <c r="D97" s="1068" t="s">
        <v>1578</v>
      </c>
      <c r="E97" s="1139">
        <v>0.2</v>
      </c>
      <c r="F97" s="1154">
        <v>30</v>
      </c>
    </row>
    <row r="98" spans="1:6" s="1105" customFormat="1" ht="36">
      <c r="A98" s="1154">
        <v>38</v>
      </c>
      <c r="B98" s="3794"/>
      <c r="C98" s="1154" t="s">
        <v>1579</v>
      </c>
      <c r="D98" s="1068" t="s">
        <v>1580</v>
      </c>
      <c r="E98" s="1139">
        <v>0.2</v>
      </c>
      <c r="F98" s="1154">
        <v>30</v>
      </c>
    </row>
    <row r="99" spans="1:6" s="1105" customFormat="1" ht="36">
      <c r="A99" s="1154">
        <v>39</v>
      </c>
      <c r="B99" s="3794" t="s">
        <v>1581</v>
      </c>
      <c r="C99" s="1154" t="s">
        <v>1582</v>
      </c>
      <c r="D99" s="1068" t="s">
        <v>1583</v>
      </c>
      <c r="E99" s="1139">
        <v>0.3</v>
      </c>
      <c r="F99" s="1154">
        <v>50</v>
      </c>
    </row>
    <row r="100" spans="1:6" s="1105" customFormat="1" ht="24">
      <c r="A100" s="1154">
        <v>40</v>
      </c>
      <c r="B100" s="3794"/>
      <c r="C100" s="1154" t="s">
        <v>1584</v>
      </c>
      <c r="D100" s="1068" t="s">
        <v>1585</v>
      </c>
      <c r="E100" s="1139">
        <v>0.2</v>
      </c>
      <c r="F100" s="1154">
        <v>30</v>
      </c>
    </row>
    <row r="101" spans="1:6" s="1105" customFormat="1" ht="36">
      <c r="A101" s="1154">
        <v>41</v>
      </c>
      <c r="B101" s="3794"/>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794" t="s">
        <v>1596</v>
      </c>
      <c r="C105" s="1154" t="s">
        <v>1597</v>
      </c>
      <c r="D105" s="1068" t="s">
        <v>1598</v>
      </c>
      <c r="E105" s="1139">
        <v>0.2</v>
      </c>
      <c r="F105" s="1154">
        <v>30</v>
      </c>
    </row>
    <row r="106" spans="1:6" s="1105" customFormat="1" ht="36">
      <c r="A106" s="1154">
        <v>46</v>
      </c>
      <c r="B106" s="3794"/>
      <c r="C106" s="1154" t="s">
        <v>1599</v>
      </c>
      <c r="D106" s="1068" t="s">
        <v>1600</v>
      </c>
      <c r="E106" s="1139">
        <v>0.2</v>
      </c>
      <c r="F106" s="1154">
        <v>30</v>
      </c>
    </row>
    <row r="107" spans="1:6" s="1105" customFormat="1" ht="36">
      <c r="A107" s="1154">
        <v>47</v>
      </c>
      <c r="B107" s="3794" t="s">
        <v>1601</v>
      </c>
      <c r="C107" s="1154" t="s">
        <v>1602</v>
      </c>
      <c r="D107" s="1068" t="s">
        <v>1603</v>
      </c>
      <c r="E107" s="1139">
        <v>0.3</v>
      </c>
      <c r="F107" s="1154">
        <v>50</v>
      </c>
    </row>
    <row r="108" spans="1:6" s="1105" customFormat="1" ht="36">
      <c r="A108" s="1154">
        <v>48</v>
      </c>
      <c r="B108" s="3794"/>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794" t="s">
        <v>1612</v>
      </c>
      <c r="C111" s="1154" t="s">
        <v>1613</v>
      </c>
      <c r="D111" s="1068" t="s">
        <v>1614</v>
      </c>
      <c r="E111" s="1139">
        <v>0.2</v>
      </c>
      <c r="F111" s="1154">
        <v>30</v>
      </c>
    </row>
    <row r="112" spans="1:6" s="1105" customFormat="1" ht="24">
      <c r="A112" s="1154">
        <v>52</v>
      </c>
      <c r="B112" s="3794"/>
      <c r="C112" s="1154" t="s">
        <v>1615</v>
      </c>
      <c r="D112" s="1068" t="s">
        <v>1616</v>
      </c>
      <c r="E112" s="1139">
        <v>0.2</v>
      </c>
      <c r="F112" s="1154">
        <v>30</v>
      </c>
    </row>
    <row r="113" spans="1:14" s="1105" customFormat="1" ht="24">
      <c r="A113" s="1154">
        <v>53</v>
      </c>
      <c r="B113" s="3794"/>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794" t="s">
        <v>1625</v>
      </c>
      <c r="C116" s="1154" t="s">
        <v>1626</v>
      </c>
      <c r="D116" s="1068" t="s">
        <v>1627</v>
      </c>
      <c r="E116" s="1139">
        <v>0.2</v>
      </c>
      <c r="F116" s="1154">
        <v>30</v>
      </c>
    </row>
    <row r="117" spans="1:14" ht="36">
      <c r="A117" s="1154">
        <v>57</v>
      </c>
      <c r="B117" s="3794"/>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793" t="s">
        <v>1634</v>
      </c>
      <c r="B121" s="3793"/>
      <c r="C121" s="3793"/>
      <c r="D121" s="3793"/>
      <c r="E121" s="3793"/>
      <c r="F121" s="3793"/>
      <c r="G121" s="3793"/>
      <c r="H121" s="3793"/>
      <c r="I121" s="3793"/>
      <c r="J121" s="379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806" t="s">
        <v>1040</v>
      </c>
      <c r="B1" s="3806"/>
      <c r="C1" s="3806"/>
      <c r="D1" s="3806"/>
      <c r="E1" s="3806"/>
      <c r="F1" s="3806"/>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807" t="s">
        <v>1053</v>
      </c>
      <c r="B2" s="3807"/>
      <c r="C2" s="3807"/>
      <c r="D2" s="3807"/>
      <c r="E2" s="3807"/>
      <c r="F2" s="3807"/>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808"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809"/>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810" t="s">
        <v>2080</v>
      </c>
      <c r="B1" s="3810"/>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2951</v>
      </c>
      <c r="B1" s="3081"/>
      <c r="C1" s="3081"/>
      <c r="D1" s="3081"/>
      <c r="E1" s="3081"/>
      <c r="F1" s="3081"/>
    </row>
    <row r="2" spans="1:6" ht="14.25">
      <c r="A2" s="3082" t="s">
        <v>2946</v>
      </c>
      <c r="B2" s="3083" t="e">
        <f ca="1">SUMIF(B7:B14,"&lt;&gt;#ref!",B7:B14)</f>
        <v>#DIV/0!</v>
      </c>
      <c r="C2" s="3082" t="s">
        <v>2947</v>
      </c>
      <c r="D2" s="3081"/>
      <c r="E2" s="3081"/>
      <c r="F2" s="3081"/>
    </row>
    <row r="3" spans="1:6" ht="14.25">
      <c r="A3" s="3082" t="s">
        <v>2979</v>
      </c>
      <c r="B3" s="3083" t="e">
        <f ca="1">ROUND(B2*10000/E3,0)</f>
        <v>#DIV/0!</v>
      </c>
      <c r="C3" s="3082" t="s">
        <v>2079</v>
      </c>
      <c r="D3" s="3082" t="s">
        <v>2948</v>
      </c>
      <c r="E3" s="3083">
        <f ca="1">SUMIF(E7:E14,"&lt;&gt;#ref!",E7:E14)</f>
        <v>0</v>
      </c>
      <c r="F3" s="3081"/>
    </row>
    <row r="4" spans="1:6" ht="14.25">
      <c r="A4" s="3082" t="s">
        <v>2955</v>
      </c>
      <c r="B4" s="3083" t="e">
        <f ca="1">ROUND(B2*10000/E4,0)</f>
        <v>#DIV/0!</v>
      </c>
      <c r="C4" s="3082" t="s">
        <v>2079</v>
      </c>
      <c r="D4" s="3082" t="s">
        <v>2956</v>
      </c>
      <c r="E4" s="3083">
        <f ca="1">SUMIF(F7:F14,"&lt;&gt;#ref!",F7:F14)</f>
        <v>0</v>
      </c>
      <c r="F4" s="3081"/>
    </row>
    <row r="5" spans="1:6" ht="14.25">
      <c r="A5" s="3084"/>
      <c r="B5" s="1881"/>
      <c r="C5" s="1881"/>
      <c r="D5" s="1881"/>
      <c r="E5" s="1881"/>
      <c r="F5" s="3081"/>
    </row>
    <row r="6" spans="1:6" ht="28.5">
      <c r="A6" s="3085" t="s">
        <v>2952</v>
      </c>
      <c r="B6" s="3082" t="s">
        <v>2949</v>
      </c>
      <c r="C6" s="3083"/>
      <c r="D6" s="1881"/>
      <c r="E6" s="3082" t="s">
        <v>2950</v>
      </c>
      <c r="F6" s="3082" t="s">
        <v>2954</v>
      </c>
    </row>
    <row r="7" spans="1:6" ht="14.25">
      <c r="A7" s="260" t="s">
        <v>2953</v>
      </c>
      <c r="B7" s="3086" t="e">
        <f ca="1">SUMIF(INDIRECT("'"&amp;A7&amp;"'"&amp;"!A:A"),"总价",INDIRECT("'"&amp;A7&amp;"'"&amp;"!B:B"))</f>
        <v>#DIV/0!</v>
      </c>
      <c r="C7" s="3082" t="s">
        <v>2947</v>
      </c>
      <c r="D7" s="1881"/>
      <c r="E7" s="3087">
        <f ca="1">SUMIF(INDIRECT("'"&amp;A7&amp;"'"&amp;"!C:C"),"建筑面积",INDIRECT("'"&amp;A7&amp;"'"&amp;"!D:D"))</f>
        <v>0</v>
      </c>
      <c r="F7" s="3087">
        <f ca="1">SUMIF(INDIRECT("'"&amp;A7&amp;"'"&amp;"!E:E"),"土地面积",INDIRECT("'"&amp;A7&amp;"'"&amp;"!F:F"))</f>
        <v>0</v>
      </c>
    </row>
    <row r="8" spans="1:6" ht="14.25">
      <c r="A8" s="260"/>
      <c r="B8" s="3086" t="e">
        <f t="shared" ref="B8:B14" ca="1" si="0">SUMIF(INDIRECT("'"&amp;A8&amp;"'"&amp;"!A:A"),"总价",INDIRECT("'"&amp;A8&amp;"'"&amp;"!B:B"))</f>
        <v>#REF!</v>
      </c>
      <c r="C8" s="3082" t="s">
        <v>2947</v>
      </c>
      <c r="D8" s="1881"/>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2947</v>
      </c>
      <c r="D9" s="1881"/>
      <c r="E9" s="3087" t="e">
        <f t="shared" ca="1" si="1"/>
        <v>#REF!</v>
      </c>
      <c r="F9" s="3087" t="e">
        <f t="shared" ca="1" si="2"/>
        <v>#REF!</v>
      </c>
    </row>
    <row r="10" spans="1:6" ht="14.25">
      <c r="A10" s="260"/>
      <c r="B10" s="3086" t="e">
        <f t="shared" ca="1" si="0"/>
        <v>#REF!</v>
      </c>
      <c r="C10" s="3082" t="s">
        <v>2947</v>
      </c>
      <c r="D10" s="1881"/>
      <c r="E10" s="3087" t="e">
        <f t="shared" ca="1" si="1"/>
        <v>#REF!</v>
      </c>
      <c r="F10" s="3087" t="e">
        <f t="shared" ca="1" si="2"/>
        <v>#REF!</v>
      </c>
    </row>
    <row r="11" spans="1:6" ht="14.25">
      <c r="A11" s="260"/>
      <c r="B11" s="3086" t="e">
        <f t="shared" ca="1" si="0"/>
        <v>#REF!</v>
      </c>
      <c r="C11" s="3082" t="s">
        <v>2947</v>
      </c>
      <c r="D11" s="1881"/>
      <c r="E11" s="3087" t="e">
        <f t="shared" ca="1" si="1"/>
        <v>#REF!</v>
      </c>
      <c r="F11" s="3087" t="e">
        <f t="shared" ca="1" si="2"/>
        <v>#REF!</v>
      </c>
    </row>
    <row r="12" spans="1:6" ht="14.25">
      <c r="A12" s="260"/>
      <c r="B12" s="3086" t="e">
        <f t="shared" ca="1" si="0"/>
        <v>#REF!</v>
      </c>
      <c r="C12" s="3082" t="s">
        <v>2947</v>
      </c>
      <c r="D12" s="1881"/>
      <c r="E12" s="3087" t="e">
        <f t="shared" ca="1" si="1"/>
        <v>#REF!</v>
      </c>
      <c r="F12" s="3087" t="e">
        <f t="shared" ca="1" si="2"/>
        <v>#REF!</v>
      </c>
    </row>
    <row r="13" spans="1:6" ht="14.25">
      <c r="A13" s="260"/>
      <c r="B13" s="3086" t="e">
        <f t="shared" ca="1" si="0"/>
        <v>#REF!</v>
      </c>
      <c r="C13" s="3082" t="s">
        <v>2947</v>
      </c>
      <c r="D13" s="1881"/>
      <c r="E13" s="3087" t="e">
        <f t="shared" ca="1" si="1"/>
        <v>#REF!</v>
      </c>
      <c r="F13" s="3087" t="e">
        <f t="shared" ca="1" si="2"/>
        <v>#REF!</v>
      </c>
    </row>
    <row r="14" spans="1:6" ht="14.25">
      <c r="A14" s="3080"/>
      <c r="B14" s="3086" t="e">
        <f t="shared" ca="1" si="0"/>
        <v>#REF!</v>
      </c>
      <c r="C14" s="3082" t="s">
        <v>2947</v>
      </c>
      <c r="D14" s="1881"/>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66" t="s">
        <v>2375</v>
      </c>
      <c r="F1" s="2367">
        <f ca="1">J54</f>
        <v>-2</v>
      </c>
      <c r="G1" s="774">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1687</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28" t="s">
        <v>698</v>
      </c>
      <c r="B6" s="1820" t="s">
        <v>699</v>
      </c>
      <c r="C6" s="1820" t="s">
        <v>632</v>
      </c>
      <c r="D6" s="1820" t="s">
        <v>633</v>
      </c>
      <c r="E6" s="779" t="s">
        <v>634</v>
      </c>
      <c r="F6" s="780"/>
      <c r="G6" s="1593"/>
      <c r="H6" s="1828" t="s">
        <v>630</v>
      </c>
      <c r="I6" s="1820" t="s">
        <v>631</v>
      </c>
      <c r="J6" s="1820" t="s">
        <v>632</v>
      </c>
      <c r="K6" s="1820" t="s">
        <v>633</v>
      </c>
      <c r="L6" s="779" t="s">
        <v>634</v>
      </c>
      <c r="M6" s="780"/>
    </row>
    <row r="7" spans="1:25" ht="18" customHeight="1">
      <c r="A7" s="781">
        <v>1</v>
      </c>
      <c r="B7" s="782" t="s">
        <v>2459</v>
      </c>
      <c r="C7" s="53">
        <f ca="1">C8+C12+C14</f>
        <v>0</v>
      </c>
      <c r="D7" s="2475" t="s">
        <v>2462</v>
      </c>
      <c r="E7" s="2469"/>
      <c r="F7" s="2470"/>
      <c r="G7" s="1593"/>
      <c r="H7" s="781">
        <v>1</v>
      </c>
      <c r="I7" s="782" t="s">
        <v>2459</v>
      </c>
      <c r="J7" s="53">
        <f ca="1">J8+J12+J14</f>
        <v>0</v>
      </c>
      <c r="K7" s="2475" t="s">
        <v>2462</v>
      </c>
      <c r="L7" s="2469"/>
      <c r="M7" s="2470"/>
    </row>
    <row r="8" spans="1:25" ht="18" customHeight="1">
      <c r="A8" s="1830" t="s">
        <v>1825</v>
      </c>
      <c r="B8" s="3812" t="s">
        <v>2464</v>
      </c>
      <c r="C8" s="1825">
        <f ca="1">ROUND(F8*F10*F9*(1-F11)/10000,0)</f>
        <v>0</v>
      </c>
      <c r="D8" s="1822" t="s">
        <v>2535</v>
      </c>
      <c r="E8" s="61" t="s">
        <v>637</v>
      </c>
      <c r="F8" s="785">
        <f ca="1">INDIRECT("'数据-取费表'!u"&amp;$G$1)</f>
        <v>0</v>
      </c>
      <c r="G8" s="1593"/>
      <c r="H8" s="2483" t="s">
        <v>1825</v>
      </c>
      <c r="I8" s="3812" t="s">
        <v>2464</v>
      </c>
      <c r="J8" s="783">
        <f ca="1">ROUND(M8*M10*M9*(1-M11)/10000,0)</f>
        <v>0</v>
      </c>
      <c r="K8" s="341" t="s">
        <v>2535</v>
      </c>
      <c r="L8" s="784" t="s">
        <v>1739</v>
      </c>
      <c r="M8" s="785">
        <f ca="1">INDIRECT("'数据-取费表'!z"&amp;$G$1)</f>
        <v>0</v>
      </c>
    </row>
    <row r="9" spans="1:25" ht="18" customHeight="1">
      <c r="A9" s="2479"/>
      <c r="B9" s="3813"/>
      <c r="C9" s="1826"/>
      <c r="D9" s="1823"/>
      <c r="E9" s="61" t="s">
        <v>638</v>
      </c>
      <c r="F9" s="785">
        <f ca="1">IF(INDIRECT("'数据-取费表'!ah"&amp;$G$1)="",INDIRECT("'数据-取费表'!k"&amp;$G$1),INDIRECT("'数据-取费表'!ah"&amp;$G$1))</f>
        <v>0</v>
      </c>
      <c r="G9" s="1593"/>
      <c r="H9" s="2468"/>
      <c r="I9" s="3813"/>
      <c r="J9" s="788"/>
      <c r="K9" s="789"/>
      <c r="L9" s="784" t="s">
        <v>1740</v>
      </c>
      <c r="M9" s="785">
        <f ca="1">F9</f>
        <v>0</v>
      </c>
    </row>
    <row r="10" spans="1:25" ht="18" customHeight="1">
      <c r="A10" s="2472"/>
      <c r="B10" s="3814"/>
      <c r="C10" s="1826"/>
      <c r="D10" s="1823"/>
      <c r="E10" s="61" t="s">
        <v>639</v>
      </c>
      <c r="F10" s="785">
        <f ca="1">INDIRECT("'数据-取费表'!ai"&amp;$G$1)</f>
        <v>0</v>
      </c>
      <c r="G10" s="1593"/>
      <c r="H10" s="2468"/>
      <c r="I10" s="3814"/>
      <c r="J10" s="788"/>
      <c r="K10" s="789"/>
      <c r="L10" s="784" t="s">
        <v>1741</v>
      </c>
      <c r="M10" s="785">
        <f ca="1">INDIRECT("'数据-取费表'!ai"&amp;$G$1)</f>
        <v>0</v>
      </c>
    </row>
    <row r="11" spans="1:25" ht="18" customHeight="1">
      <c r="A11" s="786"/>
      <c r="B11" s="3815"/>
      <c r="C11" s="1826"/>
      <c r="D11" s="1823"/>
      <c r="E11" s="61" t="s">
        <v>640</v>
      </c>
      <c r="F11" s="794">
        <f ca="1">INDIRECT("'数据-取费表'!w"&amp;$G$1)</f>
        <v>0</v>
      </c>
      <c r="G11" s="1593"/>
      <c r="H11" s="2484"/>
      <c r="I11" s="3814"/>
      <c r="J11" s="788"/>
      <c r="K11" s="789"/>
      <c r="L11" s="795" t="s">
        <v>1742</v>
      </c>
      <c r="M11" s="796">
        <f ca="1">INDIRECT("'数据-取费表'!ab"&amp;$G$1)</f>
        <v>0</v>
      </c>
    </row>
    <row r="12" spans="1:25" ht="18" customHeight="1">
      <c r="A12" s="1830" t="s">
        <v>1826</v>
      </c>
      <c r="B12" s="2473" t="s">
        <v>2460</v>
      </c>
      <c r="C12" s="799">
        <f ca="1">ROUND(IF(F12="押一",C8/12*F13,IF(F12="押二",C8/12*2*F13,IF(F12="押三",C8/12*3*F13,C13*F13))),0)</f>
        <v>0</v>
      </c>
      <c r="D12" s="2480" t="s">
        <v>2976</v>
      </c>
      <c r="E12" s="2477" t="s">
        <v>2465</v>
      </c>
      <c r="F12" s="2600"/>
      <c r="G12" s="1593"/>
      <c r="H12" s="2540" t="s">
        <v>1826</v>
      </c>
      <c r="I12" s="2545" t="s">
        <v>2460</v>
      </c>
      <c r="J12" s="783">
        <f ca="1">ROUND(IF(M12="押一",J8/12*M13,IF(M12="押二",J8/12*2*M13,IF(M12="押三",J8/12*3*M13,J13*M13))),0)</f>
        <v>0</v>
      </c>
      <c r="K12" s="2480" t="s">
        <v>2976</v>
      </c>
      <c r="L12" s="2477" t="s">
        <v>2465</v>
      </c>
      <c r="M12" s="2600"/>
    </row>
    <row r="13" spans="1:25" ht="18" customHeight="1">
      <c r="A13" s="790"/>
      <c r="B13" s="2474" t="s">
        <v>2574</v>
      </c>
      <c r="C13" s="2478"/>
      <c r="D13" s="789"/>
      <c r="E13" s="2477" t="s">
        <v>2457</v>
      </c>
      <c r="F13" s="796">
        <f ca="1">'数据-取费表'!B39</f>
        <v>1.4999999999999999E-2</v>
      </c>
      <c r="G13" s="1593"/>
      <c r="H13" s="2541"/>
      <c r="I13" s="2474" t="s">
        <v>2574</v>
      </c>
      <c r="J13" s="2478"/>
      <c r="K13" s="2542"/>
      <c r="L13" s="2477" t="s">
        <v>2457</v>
      </c>
      <c r="M13" s="2471">
        <f ca="1">'数据-取费表'!B39</f>
        <v>1.4999999999999999E-2</v>
      </c>
    </row>
    <row r="14" spans="1:25" ht="18" customHeight="1" thickBot="1">
      <c r="A14" s="2516" t="s">
        <v>2468</v>
      </c>
      <c r="B14" s="2517" t="s">
        <v>2461</v>
      </c>
      <c r="C14" s="2518"/>
      <c r="D14" s="2519"/>
      <c r="E14" s="2520"/>
      <c r="F14" s="2521"/>
      <c r="G14" s="1593"/>
      <c r="H14" s="2530" t="s">
        <v>2468</v>
      </c>
      <c r="I14" s="2543" t="s">
        <v>2461</v>
      </c>
      <c r="J14" s="2544"/>
      <c r="K14" s="2519"/>
      <c r="L14" s="2520"/>
      <c r="M14" s="2533"/>
    </row>
    <row r="15" spans="1:25" ht="18" customHeight="1" thickTop="1">
      <c r="A15" s="1829" t="s">
        <v>1875</v>
      </c>
      <c r="B15" s="1827" t="s">
        <v>641</v>
      </c>
      <c r="C15" s="792">
        <f ca="1">ROUND(C31*F15,0)</f>
        <v>0</v>
      </c>
      <c r="D15" s="1834" t="s">
        <v>642</v>
      </c>
      <c r="E15" s="795" t="s">
        <v>643</v>
      </c>
      <c r="F15" s="800">
        <f ca="1">INDIRECT("'数据-取费表'!y"&amp;$G$1)</f>
        <v>0</v>
      </c>
      <c r="G15" s="1593"/>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3"/>
      <c r="H16" s="803" t="s">
        <v>2070</v>
      </c>
      <c r="I16" s="2231" t="s">
        <v>2826</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3"/>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4"/>
      <c r="H22" s="1832" t="s">
        <v>1851</v>
      </c>
      <c r="I22" s="1822" t="s">
        <v>668</v>
      </c>
      <c r="J22" s="54">
        <f ca="1">ROUND(M22*M23/10000,0)</f>
        <v>0</v>
      </c>
      <c r="K22" s="814" t="s">
        <v>669</v>
      </c>
      <c r="L22" s="784" t="s">
        <v>670</v>
      </c>
      <c r="M22" s="640">
        <f>'数据-取费表'!B52</f>
        <v>3.5</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4"/>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51" t="str">
        <f>IF(F25&lt;=1,"单利计息。","复利计息。")&amp;"建造成本、管理费用、销售费用产生的利息。"</f>
        <v>复利计息。建造成本、管理费用、销售费用产生的利息。</v>
      </c>
      <c r="E24" s="1982"/>
      <c r="F24" s="56"/>
      <c r="G24" s="1593"/>
      <c r="H24" s="1831" t="s">
        <v>2071</v>
      </c>
      <c r="I24" s="784" t="s">
        <v>676</v>
      </c>
      <c r="J24" s="53">
        <f ca="1">ROUND(J16*M24,0)</f>
        <v>0</v>
      </c>
      <c r="K24" s="1977" t="s">
        <v>677</v>
      </c>
      <c r="L24" s="784" t="s">
        <v>649</v>
      </c>
      <c r="M24" s="817">
        <f ca="1">INDIRECT("'数据-取费表'!Ak"&amp;$G$1)</f>
        <v>0</v>
      </c>
    </row>
    <row r="25" spans="1:25" s="2064" customFormat="1" ht="18" customHeight="1">
      <c r="A25" s="803" t="s">
        <v>1876</v>
      </c>
      <c r="B25" s="784" t="s">
        <v>2438</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1E-3</v>
      </c>
      <c r="D26" s="2550"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3"/>
      <c r="H27" s="797" t="s">
        <v>1829</v>
      </c>
      <c r="I27" s="2986" t="s">
        <v>2823</v>
      </c>
      <c r="J27" s="799">
        <f ca="1">J7-J18</f>
        <v>0</v>
      </c>
      <c r="K27" s="1979" t="s">
        <v>700</v>
      </c>
      <c r="L27" s="1981"/>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1884</v>
      </c>
      <c r="B31" s="2520" t="s">
        <v>2824</v>
      </c>
      <c r="C31" s="2523">
        <f ca="1">ROUND((C21+C22+C25+C28)/(1-F23-C26-C29-C30),0)</f>
        <v>0</v>
      </c>
      <c r="D31" s="2524"/>
      <c r="E31" s="2525"/>
      <c r="F31" s="2526"/>
      <c r="G31" s="1594"/>
      <c r="H31" s="823" t="s">
        <v>1873</v>
      </c>
      <c r="I31" s="2987" t="s">
        <v>2825</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6"/>
      <c r="F32" s="2470"/>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3.5</v>
      </c>
      <c r="G36" s="2062"/>
      <c r="H36" s="2065"/>
      <c r="I36" s="3811"/>
      <c r="J36" s="2079"/>
      <c r="K36" s="2080"/>
      <c r="L36" s="2079"/>
      <c r="M36" s="2079"/>
    </row>
    <row r="37" spans="1:18" ht="18" customHeight="1">
      <c r="A37" s="815"/>
      <c r="B37" s="793"/>
      <c r="C37" s="69"/>
      <c r="D37" s="816"/>
      <c r="E37" s="784" t="s">
        <v>674</v>
      </c>
      <c r="F37" s="785">
        <f ca="1">INDIRECT("'数据-取费表'!r"&amp;$G$1)</f>
        <v>0</v>
      </c>
      <c r="G37" s="2062"/>
      <c r="H37" s="2065"/>
      <c r="I37" s="3811"/>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9" t="s">
        <v>1880</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098" t="s">
        <v>2964</v>
      </c>
      <c r="F43" s="3099">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13">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00" t="s">
        <v>2967</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2344</v>
      </c>
      <c r="J47" s="2358"/>
      <c r="K47" s="2359"/>
      <c r="L47" s="3133" t="str">
        <f ca="1">IF(M48="住宅",0,IF(L49&gt;J52,L61,J61))</f>
        <v>0</v>
      </c>
      <c r="O47" s="2373" t="s">
        <v>2411</v>
      </c>
      <c r="P47" s="1593"/>
      <c r="Q47" s="1605"/>
      <c r="R47" s="1593"/>
    </row>
    <row r="48" spans="1:18" s="2059" customFormat="1" ht="18" customHeight="1" thickBot="1">
      <c r="A48" s="2084"/>
      <c r="C48" s="2087"/>
      <c r="D48" s="2088"/>
      <c r="E48" s="2088"/>
      <c r="F48" s="2089"/>
      <c r="G48" s="2090"/>
      <c r="I48" s="3123" t="s">
        <v>2345</v>
      </c>
      <c r="J48" s="2360"/>
      <c r="K48" s="3130" t="s">
        <v>2350</v>
      </c>
      <c r="L48" s="3134">
        <f ca="1">INDIRECT("'数据-取费表'!d"&amp;$G$1)</f>
        <v>0</v>
      </c>
      <c r="M48" s="3097" t="str">
        <f>IF(ISNUMBER(FIND("住宅",C1)),"住宅","非住宅")</f>
        <v>非住宅</v>
      </c>
      <c r="O48" s="2374" t="s">
        <v>2376</v>
      </c>
      <c r="P48" s="2375" t="s">
        <v>2377</v>
      </c>
      <c r="Q48" s="2376" t="s">
        <v>2378</v>
      </c>
      <c r="R48" s="2375" t="s">
        <v>2379</v>
      </c>
    </row>
    <row r="49" spans="1:18" s="2059" customFormat="1" ht="18" customHeight="1" thickBot="1">
      <c r="A49" s="2084"/>
      <c r="D49" s="2091"/>
      <c r="E49" s="2092"/>
      <c r="F49" s="2089"/>
      <c r="G49" s="2090"/>
      <c r="H49" s="2093"/>
      <c r="I49" s="3102" t="s">
        <v>2346</v>
      </c>
      <c r="J49" s="2361"/>
      <c r="K49" s="3131" t="s">
        <v>2352</v>
      </c>
      <c r="L49" s="1908">
        <f ca="1">INDIRECT("'数据-取费表'!f"&amp;$G$1)</f>
        <v>0</v>
      </c>
      <c r="O49" s="2377" t="s">
        <v>2380</v>
      </c>
      <c r="P49" s="2378" t="s">
        <v>2406</v>
      </c>
      <c r="Q49" s="2379">
        <f ca="1">C41+J31</f>
        <v>0</v>
      </c>
      <c r="R49" s="2378" t="s">
        <v>2381</v>
      </c>
    </row>
    <row r="50" spans="1:18" s="2059" customFormat="1" ht="18" customHeight="1" thickBot="1">
      <c r="A50" s="2084"/>
      <c r="D50" s="2094"/>
      <c r="E50" s="2094"/>
      <c r="F50" s="2088"/>
      <c r="G50" s="2095"/>
      <c r="H50" s="2093"/>
      <c r="I50" s="3102" t="s">
        <v>2347</v>
      </c>
      <c r="J50" s="2362"/>
      <c r="K50" s="3132" t="s">
        <v>2353</v>
      </c>
      <c r="L50" s="2363"/>
      <c r="O50" s="2377" t="s">
        <v>2382</v>
      </c>
      <c r="P50" s="2378" t="s">
        <v>2407</v>
      </c>
      <c r="Q50" s="2379" t="str">
        <f ca="1">J61</f>
        <v>0</v>
      </c>
      <c r="R50" s="2378" t="s">
        <v>2383</v>
      </c>
    </row>
    <row r="51" spans="1:18" s="2059" customFormat="1" ht="18" customHeight="1" thickBot="1">
      <c r="A51" s="2096"/>
      <c r="D51" s="2094"/>
      <c r="E51" s="2094"/>
      <c r="F51" s="2085"/>
      <c r="H51" s="2093"/>
      <c r="I51" s="3102" t="s">
        <v>2348</v>
      </c>
      <c r="J51" s="3127">
        <f>SUMPRODUCT((I64:I66=J48)*(J63:L63=J49)*(J64:L66))</f>
        <v>0</v>
      </c>
      <c r="K51" s="3132" t="s">
        <v>2354</v>
      </c>
      <c r="L51" s="2363"/>
      <c r="O51" s="2380" t="s">
        <v>2384</v>
      </c>
      <c r="P51" s="2378" t="s">
        <v>2408</v>
      </c>
      <c r="Q51" s="2379">
        <f ca="1">C31</f>
        <v>0</v>
      </c>
      <c r="R51" s="2378" t="s">
        <v>2381</v>
      </c>
    </row>
    <row r="52" spans="1:18" s="2059" customFormat="1" ht="18" customHeight="1" thickBot="1">
      <c r="A52" s="2096"/>
      <c r="F52" s="2085"/>
      <c r="I52" s="3124" t="s">
        <v>2349</v>
      </c>
      <c r="J52" s="3128">
        <f>IF(J50="",J51,J50+J51-YEAR('数据-取费表'!B3))</f>
        <v>0</v>
      </c>
      <c r="K52" s="3102" t="s">
        <v>2355</v>
      </c>
      <c r="L52" s="3135">
        <f ca="1">ROUND(-PV(INDIRECT("'数据-取费表'!h"&amp;$G$1),L49,(C40-C14*J36),0),0)</f>
        <v>0</v>
      </c>
      <c r="O52" s="2380" t="s">
        <v>2385</v>
      </c>
      <c r="P52" s="2378" t="s">
        <v>2386</v>
      </c>
      <c r="Q52" s="2381" t="e">
        <f ca="1">J59</f>
        <v>#VALUE!</v>
      </c>
      <c r="R52" s="2382"/>
    </row>
    <row r="53" spans="1:18" s="2059" customFormat="1" ht="18" customHeight="1" thickBot="1">
      <c r="A53" s="2096"/>
      <c r="F53" s="2085"/>
      <c r="I53" s="3125" t="s">
        <v>2422</v>
      </c>
      <c r="J53" s="2364"/>
      <c r="K53" s="3125" t="s">
        <v>2421</v>
      </c>
      <c r="L53" s="2364"/>
      <c r="O53" s="2380" t="s">
        <v>2387</v>
      </c>
      <c r="P53" s="2378" t="s">
        <v>2388</v>
      </c>
      <c r="Q53" s="2381">
        <f>J53</f>
        <v>0</v>
      </c>
      <c r="R53" s="2382"/>
    </row>
    <row r="54" spans="1:18" s="2059" customFormat="1" ht="29.25" thickBot="1">
      <c r="A54" s="2096"/>
      <c r="I54" s="3126" t="s">
        <v>2980</v>
      </c>
      <c r="J54" s="3129">
        <f ca="1">IF(M48="住宅",MAX(J52,L49-'数据-取费表'!B20),MIN(J52,L49-'数据-取费表'!B20))</f>
        <v>-2</v>
      </c>
      <c r="K54" s="3816"/>
      <c r="L54" s="3817"/>
      <c r="O54" s="2380" t="s">
        <v>2389</v>
      </c>
      <c r="P54" s="2378" t="s">
        <v>2390</v>
      </c>
      <c r="Q54" s="2379">
        <f ca="1">J54</f>
        <v>-2</v>
      </c>
      <c r="R54" s="2378" t="s">
        <v>2391</v>
      </c>
    </row>
    <row r="55" spans="1:18" s="2059" customFormat="1" ht="18" customHeight="1" thickBot="1">
      <c r="A55" s="2096"/>
      <c r="I55" s="31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6"/>
      <c r="K55" s="3137"/>
      <c r="O55" s="2377" t="s">
        <v>2392</v>
      </c>
      <c r="P55" s="2378" t="s">
        <v>2409</v>
      </c>
      <c r="Q55" s="2379">
        <f ca="1">Q49+Q50</f>
        <v>0</v>
      </c>
      <c r="R55" s="2382" t="s">
        <v>2393</v>
      </c>
    </row>
    <row r="56" spans="1:18" s="2059" customFormat="1" ht="16.5" thickBot="1">
      <c r="A56" s="2096"/>
      <c r="B56" s="2097"/>
      <c r="C56" s="2097"/>
      <c r="I56" s="3138" t="s">
        <v>2356</v>
      </c>
      <c r="J56" s="3077" t="e">
        <f ca="1">ROUND(IF(J48="钢混",J58/J51,1-(1-2%)*(J51-J58)/J51),3)</f>
        <v>#VALUE!</v>
      </c>
      <c r="K56" s="3139" t="s">
        <v>2357</v>
      </c>
      <c r="L56" s="2365"/>
      <c r="O56" s="2383" t="s">
        <v>2412</v>
      </c>
      <c r="P56" s="1593"/>
      <c r="Q56" s="1605"/>
      <c r="R56" s="1593"/>
    </row>
    <row r="57" spans="1:18" s="2059" customFormat="1" ht="43.5" thickBot="1">
      <c r="A57" s="2096"/>
      <c r="B57" s="2097"/>
      <c r="C57" s="2097"/>
      <c r="I57" s="3140" t="s">
        <v>2358</v>
      </c>
      <c r="J57" s="3150" t="s">
        <v>1679</v>
      </c>
      <c r="K57" s="3102" t="s">
        <v>2363</v>
      </c>
      <c r="L57" s="1908">
        <f ca="1">IF(L49&lt;J52,"——",L49-J52)</f>
        <v>0</v>
      </c>
      <c r="O57" s="2374" t="s">
        <v>2376</v>
      </c>
      <c r="P57" s="2375" t="s">
        <v>2377</v>
      </c>
      <c r="Q57" s="2376" t="s">
        <v>2378</v>
      </c>
      <c r="R57" s="2375" t="s">
        <v>2379</v>
      </c>
    </row>
    <row r="58" spans="1:18" s="2059" customFormat="1" ht="29.25" thickBot="1">
      <c r="A58" s="2096"/>
      <c r="B58" s="2097"/>
      <c r="C58" s="2097"/>
      <c r="I58" s="3141" t="s">
        <v>2359</v>
      </c>
      <c r="J58" s="3142" t="str">
        <f ca="1">IF(OR(M48="住宅",J52&lt;L49,J57="是"),"——",J52-L49)</f>
        <v>——</v>
      </c>
      <c r="K58" s="3102" t="s">
        <v>2364</v>
      </c>
      <c r="L58" s="1908">
        <f ca="1">IF(L49&lt;J52,"——",IF(L56="比较法",L50,IF(L56="基准地价",L51,L52)))</f>
        <v>0</v>
      </c>
      <c r="O58" s="2377" t="s">
        <v>2380</v>
      </c>
      <c r="P58" s="2378" t="s">
        <v>2406</v>
      </c>
      <c r="Q58" s="2379">
        <f ca="1">C41+J31</f>
        <v>0</v>
      </c>
      <c r="R58" s="2378" t="s">
        <v>2381</v>
      </c>
    </row>
    <row r="59" spans="1:18" s="2059" customFormat="1" ht="29.25" thickBot="1">
      <c r="A59" s="2096"/>
      <c r="B59" s="2097"/>
      <c r="C59" s="2097"/>
      <c r="I59" s="3141" t="s">
        <v>2360</v>
      </c>
      <c r="J59" s="3078" t="e">
        <f ca="1">IF(J56&lt;0.4,0.4,J56)</f>
        <v>#VALUE!</v>
      </c>
      <c r="K59" s="3102" t="s">
        <v>2365</v>
      </c>
      <c r="L59" s="1908">
        <f ca="1">IF(ISERROR(POWER(1+L53,L48-L49)*(POWER(1+L53,L49)-1)/(POWER(1+L53,L48)-1)),0,POWER(1+L53,L48-L49)*(POWER(1+L53,L49)-1)/(POWER(1+L53,L48)-1))</f>
        <v>0</v>
      </c>
      <c r="O59" s="2377" t="s">
        <v>2382</v>
      </c>
      <c r="P59" s="2378" t="s">
        <v>2413</v>
      </c>
      <c r="Q59" s="2379" t="e">
        <f ca="1">L61</f>
        <v>#DIV/0!</v>
      </c>
      <c r="R59" s="2382" t="s">
        <v>2415</v>
      </c>
    </row>
    <row r="60" spans="1:18" s="2059" customFormat="1" ht="29.25" thickBot="1">
      <c r="A60" s="2096"/>
      <c r="B60" s="2097"/>
      <c r="C60" s="2097"/>
      <c r="I60" s="3141" t="s">
        <v>2361</v>
      </c>
      <c r="J60" s="3142" t="str">
        <f ca="1">IF(OR(M48="住宅",J52&lt;L49,J57="是"),"——",ROUND(C30*J59,0))</f>
        <v>——</v>
      </c>
      <c r="K60" s="3102" t="s">
        <v>2366</v>
      </c>
      <c r="L60" s="1908">
        <f ca="1">IF(ISERROR(POWER(1+L53,L48-J52)*(POWER(1+L53,J52)-1)/(POWER(1+L53,L48)-1)),0,POWER(1+L53,L48-J52)*(POWER(1+L53,J52)-1)/(POWER(1+L53,L48)-1))</f>
        <v>0</v>
      </c>
      <c r="O60" s="2380" t="s">
        <v>2384</v>
      </c>
      <c r="P60" s="2378" t="s">
        <v>2414</v>
      </c>
      <c r="Q60" s="2379">
        <f>IF(L56="比较法",L50,IF(L56="基准地价",L51,0))</f>
        <v>0</v>
      </c>
      <c r="R60" s="2378" t="s">
        <v>2381</v>
      </c>
    </row>
    <row r="61" spans="1:18" s="2059" customFormat="1" ht="15.75" thickBot="1">
      <c r="A61" s="2096"/>
      <c r="B61" s="2097"/>
      <c r="C61" s="2097"/>
      <c r="I61" s="3143" t="s">
        <v>2362</v>
      </c>
      <c r="J61" s="3144" t="str">
        <f ca="1">IF(OR(M48="住宅",J52&lt;L49,J57="是"),"0",ROUND(J60/(1+J53)^J54,0))</f>
        <v>0</v>
      </c>
      <c r="K61" s="3145" t="s">
        <v>2367</v>
      </c>
      <c r="L61" s="3144" t="e">
        <f ca="1">IF(OR(M48="住宅",L49&lt;J52),0,ROUND(L58*(L59/L60-1),0))</f>
        <v>#DIV/0!</v>
      </c>
      <c r="O61" s="2380" t="s">
        <v>2385</v>
      </c>
      <c r="P61" s="2378" t="s">
        <v>2394</v>
      </c>
      <c r="Q61" s="2381">
        <f>L53</f>
        <v>0</v>
      </c>
      <c r="R61" s="2382"/>
    </row>
    <row r="62" spans="1:18" s="2059" customFormat="1" ht="20.25" thickBot="1">
      <c r="A62" s="2096"/>
      <c r="B62" s="2097"/>
      <c r="C62" s="2097"/>
      <c r="K62" s="2086"/>
      <c r="O62" s="2380" t="s">
        <v>2387</v>
      </c>
      <c r="P62" s="2378" t="s">
        <v>2395</v>
      </c>
      <c r="Q62" s="2379">
        <f ca="1">L59</f>
        <v>0</v>
      </c>
      <c r="R62" s="2382" t="s">
        <v>2396</v>
      </c>
    </row>
    <row r="63" spans="1:18" s="2059" customFormat="1" ht="20.25" thickBot="1">
      <c r="A63" s="2096"/>
      <c r="B63" s="2097"/>
      <c r="C63" s="2097"/>
      <c r="I63" s="3146" t="s">
        <v>2368</v>
      </c>
      <c r="J63" s="3147" t="s">
        <v>2369</v>
      </c>
      <c r="K63" s="3147" t="s">
        <v>2370</v>
      </c>
      <c r="L63" s="3147" t="s">
        <v>2351</v>
      </c>
      <c r="M63" s="3148" t="s">
        <v>2944</v>
      </c>
      <c r="O63" s="2380" t="s">
        <v>2389</v>
      </c>
      <c r="P63" s="2378" t="s">
        <v>2397</v>
      </c>
      <c r="Q63" s="2379">
        <f ca="1">L60</f>
        <v>0</v>
      </c>
      <c r="R63" s="2382" t="s">
        <v>2398</v>
      </c>
    </row>
    <row r="64" spans="1:18" s="2059" customFormat="1" ht="15.75" thickBot="1">
      <c r="A64" s="2096"/>
      <c r="B64" s="2097"/>
      <c r="C64" s="2097"/>
      <c r="I64" s="3146" t="s">
        <v>2371</v>
      </c>
      <c r="J64" s="3147">
        <v>70</v>
      </c>
      <c r="K64" s="3147">
        <v>50</v>
      </c>
      <c r="L64" s="3147">
        <v>80</v>
      </c>
      <c r="M64" s="3149">
        <v>0.02</v>
      </c>
      <c r="O64" s="2377" t="s">
        <v>2392</v>
      </c>
      <c r="P64" s="2378" t="s">
        <v>2409</v>
      </c>
      <c r="Q64" s="2379" t="e">
        <f ca="1">Q58+Q59</f>
        <v>#DIV/0!</v>
      </c>
      <c r="R64" s="2382" t="s">
        <v>2393</v>
      </c>
    </row>
    <row r="65" spans="1:18" s="2059" customFormat="1" ht="16.5" thickBot="1">
      <c r="A65" s="2096"/>
      <c r="B65" s="2097"/>
      <c r="C65" s="2097"/>
      <c r="I65" s="3146" t="s">
        <v>2372</v>
      </c>
      <c r="J65" s="3147">
        <v>50</v>
      </c>
      <c r="K65" s="3147">
        <v>35</v>
      </c>
      <c r="L65" s="3147">
        <v>60</v>
      </c>
      <c r="M65" s="846">
        <v>0</v>
      </c>
      <c r="O65" s="2383" t="s">
        <v>2416</v>
      </c>
      <c r="P65" s="1593"/>
      <c r="Q65" s="1605"/>
      <c r="R65" s="1593"/>
    </row>
    <row r="66" spans="1:18" s="2059" customFormat="1" ht="15.75" thickBot="1">
      <c r="A66" s="2096"/>
      <c r="B66" s="2097"/>
      <c r="C66" s="2097"/>
      <c r="I66" s="3146" t="s">
        <v>2373</v>
      </c>
      <c r="J66" s="3147">
        <v>40</v>
      </c>
      <c r="K66" s="3147">
        <v>30</v>
      </c>
      <c r="L66" s="3147">
        <v>50</v>
      </c>
      <c r="M66" s="3149">
        <v>0.02</v>
      </c>
      <c r="O66" s="2374" t="s">
        <v>2376</v>
      </c>
      <c r="P66" s="2375" t="s">
        <v>2377</v>
      </c>
      <c r="Q66" s="2376" t="s">
        <v>2378</v>
      </c>
      <c r="R66" s="2375" t="s">
        <v>2379</v>
      </c>
    </row>
    <row r="67" spans="1:18" s="2059" customFormat="1" ht="15.75" thickBot="1">
      <c r="A67" s="2096"/>
      <c r="B67" s="2097"/>
      <c r="C67" s="2097"/>
      <c r="K67" s="2086"/>
      <c r="O67" s="2377" t="s">
        <v>2380</v>
      </c>
      <c r="P67" s="2378" t="s">
        <v>2406</v>
      </c>
      <c r="Q67" s="2379">
        <f ca="1">C41+J31</f>
        <v>0</v>
      </c>
      <c r="R67" s="2378" t="s">
        <v>2381</v>
      </c>
    </row>
    <row r="68" spans="1:18" s="2059" customFormat="1" ht="20.25" thickBot="1">
      <c r="A68" s="2096"/>
      <c r="B68" s="2097"/>
      <c r="C68" s="2097"/>
      <c r="K68" s="2086"/>
      <c r="O68" s="2377" t="s">
        <v>2382</v>
      </c>
      <c r="P68" s="2378" t="s">
        <v>2413</v>
      </c>
      <c r="Q68" s="2379" t="e">
        <f ca="1">L61</f>
        <v>#DIV/0!</v>
      </c>
      <c r="R68" s="2382" t="s">
        <v>2415</v>
      </c>
    </row>
    <row r="69" spans="1:18" s="2059" customFormat="1" ht="21.75" thickBot="1">
      <c r="A69" s="2096"/>
      <c r="B69" s="2097"/>
      <c r="C69" s="2097"/>
      <c r="K69" s="2086"/>
      <c r="O69" s="2380" t="s">
        <v>2384</v>
      </c>
      <c r="P69" s="2378" t="s">
        <v>2414</v>
      </c>
      <c r="Q69" s="2384">
        <f ca="1">L52</f>
        <v>0</v>
      </c>
      <c r="R69" s="2385" t="s">
        <v>2417</v>
      </c>
    </row>
    <row r="70" spans="1:18" s="2059" customFormat="1" ht="20.25" thickBot="1">
      <c r="A70" s="2096"/>
      <c r="B70" s="2097"/>
      <c r="C70" s="2097"/>
      <c r="K70" s="2086"/>
      <c r="O70" s="2380" t="s">
        <v>2385</v>
      </c>
      <c r="P70" s="2386" t="s">
        <v>2399</v>
      </c>
      <c r="Q70" s="2379">
        <f ca="1">ROUND(Q71-Q72*Q73,0)</f>
        <v>0</v>
      </c>
      <c r="R70" s="2382"/>
    </row>
    <row r="71" spans="1:18" s="2059" customFormat="1" ht="15.75" thickBot="1">
      <c r="A71" s="2096"/>
      <c r="B71" s="2097"/>
      <c r="C71" s="2097"/>
      <c r="K71" s="2086"/>
      <c r="O71" s="2380" t="s">
        <v>2400</v>
      </c>
      <c r="P71" s="2386" t="s">
        <v>2401</v>
      </c>
      <c r="Q71" s="2379">
        <f ca="1">C42</f>
        <v>0</v>
      </c>
      <c r="R71" s="2378" t="s">
        <v>2381</v>
      </c>
    </row>
    <row r="72" spans="1:18" s="2059" customFormat="1" ht="15.75" thickBot="1">
      <c r="A72" s="2096"/>
      <c r="B72" s="2097"/>
      <c r="C72" s="2097"/>
      <c r="K72" s="2086"/>
      <c r="O72" s="2380" t="s">
        <v>2402</v>
      </c>
      <c r="P72" s="2386" t="s">
        <v>2403</v>
      </c>
      <c r="Q72" s="2379">
        <f ca="1">C15</f>
        <v>0</v>
      </c>
      <c r="R72" s="2378" t="s">
        <v>2381</v>
      </c>
    </row>
    <row r="73" spans="1:18" s="2059" customFormat="1" ht="15.75" thickBot="1">
      <c r="A73" s="2096"/>
      <c r="B73" s="2097"/>
      <c r="C73" s="2097"/>
      <c r="K73" s="2086"/>
      <c r="O73" s="2380" t="s">
        <v>2404</v>
      </c>
      <c r="P73" s="2386" t="s">
        <v>2405</v>
      </c>
      <c r="Q73" s="2381">
        <f ca="1">F43</f>
        <v>0</v>
      </c>
      <c r="R73" s="2382"/>
    </row>
    <row r="74" spans="1:18" s="2059" customFormat="1" ht="15.75" thickBot="1">
      <c r="A74" s="2096"/>
      <c r="B74" s="2097"/>
      <c r="C74" s="2097"/>
      <c r="K74" s="2086"/>
      <c r="O74" s="2380" t="s">
        <v>2387</v>
      </c>
      <c r="P74" s="2378" t="s">
        <v>2394</v>
      </c>
      <c r="Q74" s="2381">
        <f>L53</f>
        <v>0</v>
      </c>
      <c r="R74" s="2382"/>
    </row>
    <row r="75" spans="1:18" s="2059" customFormat="1" ht="20.25" thickBot="1">
      <c r="A75" s="2096"/>
      <c r="B75" s="2097"/>
      <c r="C75" s="2097"/>
      <c r="K75" s="2086"/>
      <c r="O75" s="2380" t="s">
        <v>2389</v>
      </c>
      <c r="P75" s="2378" t="s">
        <v>2395</v>
      </c>
      <c r="Q75" s="2379">
        <f ca="1">L59</f>
        <v>0</v>
      </c>
      <c r="R75" s="2382" t="s">
        <v>2396</v>
      </c>
    </row>
    <row r="76" spans="1:18" s="2059" customFormat="1" ht="20.25" thickBot="1">
      <c r="A76" s="2096"/>
      <c r="B76" s="2097"/>
      <c r="C76" s="2097"/>
      <c r="K76" s="2086"/>
      <c r="O76" s="2380" t="s">
        <v>2418</v>
      </c>
      <c r="P76" s="2378" t="s">
        <v>2397</v>
      </c>
      <c r="Q76" s="2379">
        <f ca="1">L60</f>
        <v>0</v>
      </c>
      <c r="R76" s="2382" t="s">
        <v>2398</v>
      </c>
    </row>
    <row r="77" spans="1:18" s="2059" customFormat="1" ht="15.75" thickBot="1">
      <c r="A77" s="2096"/>
      <c r="B77" s="2097"/>
      <c r="C77" s="2097"/>
      <c r="K77" s="2086"/>
      <c r="O77" s="2377" t="s">
        <v>2392</v>
      </c>
      <c r="P77" s="2378" t="s">
        <v>2409</v>
      </c>
      <c r="Q77" s="2379" t="e">
        <f ca="1">Q67+Q68</f>
        <v>#DIV/0!</v>
      </c>
      <c r="R77" s="2382"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820" t="s">
        <v>2577</v>
      </c>
      <c r="C1" s="3820"/>
      <c r="D1" s="3820"/>
      <c r="E1" s="3820"/>
      <c r="F1" s="3820"/>
      <c r="G1" s="3819" t="s">
        <v>2578</v>
      </c>
      <c r="H1" s="3819"/>
      <c r="I1" s="3819"/>
      <c r="J1" s="3819"/>
      <c r="K1" s="3819"/>
      <c r="L1" s="3819"/>
      <c r="N1" s="3819" t="s">
        <v>2579</v>
      </c>
      <c r="O1" s="3819"/>
      <c r="P1" s="3819"/>
      <c r="Q1" s="3819"/>
      <c r="R1" s="2633"/>
      <c r="S1" s="3819" t="s">
        <v>2580</v>
      </c>
      <c r="T1" s="3819"/>
      <c r="U1" s="3819"/>
      <c r="V1" s="3819"/>
      <c r="X1" s="3818" t="s">
        <v>2640</v>
      </c>
      <c r="Y1" s="3819"/>
      <c r="Z1" s="3819"/>
      <c r="AA1" s="3819"/>
      <c r="AB1" s="3819"/>
      <c r="AD1" s="3818" t="s">
        <v>2644</v>
      </c>
      <c r="AE1" s="3819"/>
      <c r="AF1" s="3819"/>
      <c r="AG1" s="3819"/>
      <c r="AH1" s="3819"/>
    </row>
    <row r="2" spans="1:34" s="2734" customFormat="1" ht="14.25" thickBot="1">
      <c r="B2" s="2742" t="s">
        <v>2581</v>
      </c>
      <c r="C2" s="2742" t="s">
        <v>2642</v>
      </c>
      <c r="D2" s="2735" t="s">
        <v>1645</v>
      </c>
      <c r="E2" s="2735" t="s">
        <v>1950</v>
      </c>
      <c r="F2" s="2742" t="s">
        <v>2643</v>
      </c>
      <c r="G2" s="2738"/>
      <c r="H2" s="2737"/>
      <c r="I2" s="2742" t="s">
        <v>2958</v>
      </c>
      <c r="J2" s="2735" t="s">
        <v>2960</v>
      </c>
      <c r="K2" s="2735" t="s">
        <v>2961</v>
      </c>
      <c r="L2" s="2742" t="s">
        <v>2962</v>
      </c>
      <c r="N2" s="2742" t="s">
        <v>2581</v>
      </c>
      <c r="O2" s="2735" t="s">
        <v>2959</v>
      </c>
      <c r="P2" s="2735" t="s">
        <v>1950</v>
      </c>
      <c r="Q2" s="2742" t="s">
        <v>2643</v>
      </c>
      <c r="R2" s="2736"/>
      <c r="S2" s="2742" t="s">
        <v>2581</v>
      </c>
      <c r="T2" s="2735" t="s">
        <v>2959</v>
      </c>
      <c r="U2" s="2735" t="s">
        <v>1950</v>
      </c>
      <c r="V2" s="2742" t="s">
        <v>2643</v>
      </c>
      <c r="X2" s="2742" t="s">
        <v>2581</v>
      </c>
      <c r="Y2" s="2742" t="s">
        <v>2642</v>
      </c>
      <c r="Z2" s="2735" t="s">
        <v>1645</v>
      </c>
      <c r="AA2" s="2735" t="s">
        <v>1950</v>
      </c>
      <c r="AB2" s="2742" t="s">
        <v>2643</v>
      </c>
      <c r="AD2" s="2742" t="s">
        <v>2581</v>
      </c>
      <c r="AE2" s="2742" t="s">
        <v>2642</v>
      </c>
      <c r="AF2" s="2735" t="s">
        <v>1645</v>
      </c>
      <c r="AG2" s="2735" t="s">
        <v>1950</v>
      </c>
      <c r="AH2" s="2742" t="s">
        <v>2643</v>
      </c>
    </row>
    <row r="3" spans="1:34" s="3107" customFormat="1" ht="14.25">
      <c r="A3" s="3119" t="s">
        <v>2971</v>
      </c>
      <c r="B3" s="3108"/>
      <c r="C3" s="3108"/>
      <c r="D3" s="3109"/>
      <c r="E3" s="3109"/>
      <c r="F3" s="3108"/>
      <c r="G3" s="3110"/>
      <c r="H3" s="3111"/>
      <c r="I3" s="3118">
        <f>ROUND(AVERAGE($I4:$I25),2)</f>
        <v>2.13</v>
      </c>
      <c r="J3" s="3118">
        <f>ROUND(AVERAGE($J4:$J25),2)</f>
        <v>1.51</v>
      </c>
      <c r="K3" s="3118">
        <f>ROUND(AVERAGE($K4:$K25),2)</f>
        <v>2.34</v>
      </c>
      <c r="L3" s="3118">
        <f>ROUND(AVERAGE($L4:$L25),2)</f>
        <v>1.42</v>
      </c>
      <c r="N3" s="3110"/>
      <c r="O3" s="3112"/>
      <c r="P3" s="3112"/>
      <c r="Q3" s="3112"/>
      <c r="R3" s="3112"/>
      <c r="S3" s="3110"/>
      <c r="T3" s="3112"/>
      <c r="U3" s="3112"/>
      <c r="V3" s="3112"/>
      <c r="W3" s="3115"/>
      <c r="X3" s="3113">
        <f>ROUND(SUMPRODUCT(PRODUCT(1+N3:N$24)),4)</f>
        <v>1.5099</v>
      </c>
      <c r="Y3" s="3113">
        <f>ROUND(SUMPRODUCT(PRODUCT(1+O3:O$24)),4)</f>
        <v>1.3372999999999999</v>
      </c>
      <c r="Z3" s="3113">
        <f t="shared" ref="Z3:Z22" si="0">Y3</f>
        <v>1.3372999999999999</v>
      </c>
      <c r="AA3" s="3113">
        <f>ROUND(SUMPRODUCT(PRODUCT(1+P3:P$24)),4)</f>
        <v>1.5683</v>
      </c>
      <c r="AB3" s="3113">
        <f>ROUND(SUMPRODUCT(PRODUCT(1+Q3:Q$24)),4)</f>
        <v>1.3255999999999999</v>
      </c>
      <c r="AD3" s="3114">
        <f>ROUND(AVERAGE(I3:I$25)/100,4)</f>
        <v>2.1299999999999999E-2</v>
      </c>
      <c r="AE3" s="3114">
        <f>ROUND(AVERAGE(J3:J$25)/100,4)</f>
        <v>1.5100000000000001E-2</v>
      </c>
      <c r="AF3" s="3114">
        <f t="shared" ref="AF3:AF23" si="1">AE3</f>
        <v>1.5100000000000001E-2</v>
      </c>
      <c r="AG3" s="3114">
        <f>ROUND(AVERAGE(K3:K$25)/100,4)</f>
        <v>2.3400000000000001E-2</v>
      </c>
      <c r="AH3" s="3114">
        <f>ROUND(AVERAGE(L3:L$25)/100,4)</f>
        <v>1.4200000000000001E-2</v>
      </c>
    </row>
    <row r="4" spans="1:34" s="2727" customFormat="1" ht="14.25">
      <c r="B4" s="2728"/>
      <c r="C4" s="2728"/>
      <c r="D4" s="2729"/>
      <c r="E4" s="2729"/>
      <c r="F4" s="2728"/>
      <c r="G4" s="2733"/>
      <c r="H4" s="2730"/>
      <c r="I4" s="3103"/>
      <c r="J4" s="3103"/>
      <c r="K4" s="3103"/>
      <c r="L4" s="3103"/>
      <c r="N4" s="2733"/>
      <c r="O4" s="2731"/>
      <c r="P4" s="2731"/>
      <c r="Q4" s="2731"/>
      <c r="R4" s="2731"/>
      <c r="S4" s="2733"/>
      <c r="T4" s="2731"/>
      <c r="U4" s="2731"/>
      <c r="V4" s="2731"/>
      <c r="W4" s="3116"/>
      <c r="X4" s="2732"/>
      <c r="Y4" s="2732"/>
      <c r="Z4" s="2732"/>
      <c r="AA4" s="2732"/>
      <c r="AB4" s="2732"/>
      <c r="AD4" s="2652"/>
      <c r="AE4" s="2652"/>
      <c r="AF4" s="2652"/>
      <c r="AG4" s="2652"/>
      <c r="AH4" s="2652"/>
    </row>
    <row r="5" spans="1:34" s="3091" customFormat="1" ht="13.5" thickBot="1">
      <c r="A5" s="3089" t="s">
        <v>2991</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90">
        <v>1</v>
      </c>
      <c r="I5" s="3104">
        <v>0</v>
      </c>
      <c r="J5" s="3104">
        <v>0</v>
      </c>
      <c r="K5" s="3104">
        <v>0</v>
      </c>
      <c r="L5" s="3104">
        <v>0</v>
      </c>
      <c r="N5" s="2740">
        <f t="shared" ref="N5" si="6">I5/100</f>
        <v>0</v>
      </c>
      <c r="O5" s="2740">
        <f t="shared" ref="O5" si="7">J5/100</f>
        <v>0</v>
      </c>
      <c r="P5" s="2740">
        <f t="shared" ref="P5" si="8">K5/100</f>
        <v>0</v>
      </c>
      <c r="Q5" s="2740">
        <f t="shared" ref="Q5" si="9">L5/100</f>
        <v>0</v>
      </c>
      <c r="R5" s="3092"/>
      <c r="S5" s="3093"/>
      <c r="T5" s="3092"/>
      <c r="U5" s="3092"/>
      <c r="V5" s="3092"/>
      <c r="W5" s="3117" t="s">
        <v>2972</v>
      </c>
      <c r="X5" s="3094">
        <f>ROUND(IF(项目基本情况!B8="出让",SUMPRODUCT(PRODUCT(1+N5:N$25)),SUMPRODUCT(PRODUCT(1+N5:N$24))),4)</f>
        <v>1.5099</v>
      </c>
      <c r="Y5" s="3094">
        <f>ROUND(IF(项目基本情况!B8="出让",SUMPRODUCT(PRODUCT(1+O5:O$25)),SUMPRODUCT(PRODUCT(1+O5:O$24))),4)</f>
        <v>1.3372999999999999</v>
      </c>
      <c r="Z5" s="3094">
        <f t="shared" ref="Z5" si="10">Y5</f>
        <v>1.3372999999999999</v>
      </c>
      <c r="AA5" s="3094">
        <f>ROUND(IF(项目基本情况!B8="出让",SUMPRODUCT(PRODUCT(1+P5:P$25)),SUMPRODUCT(PRODUCT(1+P5:P$24))),4)</f>
        <v>1.5683</v>
      </c>
      <c r="AB5" s="3094">
        <f>ROUND(IF(项目基本情况!B8="出让",SUMPRODUCT(PRODUCT(1+Q5:Q$25)),SUMPRODUCT(PRODUCT(1+Q5:Q$24))),4)</f>
        <v>1.3255999999999999</v>
      </c>
      <c r="AD5" s="3095">
        <f>ROUND(AVERAGE(I5:I$25)/100,4)</f>
        <v>2.1299999999999999E-2</v>
      </c>
      <c r="AE5" s="3095">
        <f>ROUND(AVERAGE(J5:J$25)/100,4)</f>
        <v>1.5100000000000001E-2</v>
      </c>
      <c r="AF5" s="3095">
        <f t="shared" ref="AF5" si="11">AE5</f>
        <v>1.5100000000000001E-2</v>
      </c>
      <c r="AG5" s="3095">
        <f>ROUND(AVERAGE(K5:K$25)/100,4)</f>
        <v>2.3400000000000001E-2</v>
      </c>
      <c r="AH5" s="3095">
        <f>ROUND(AVERAGE(L5:L$25)/100,4)</f>
        <v>1.4200000000000001E-2</v>
      </c>
    </row>
    <row r="6" spans="1:34" s="2739" customFormat="1">
      <c r="A6" s="2634" t="s">
        <v>2992</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822">
        <v>2018</v>
      </c>
      <c r="H6" s="2637">
        <v>4</v>
      </c>
      <c r="I6" s="3175">
        <v>0.96</v>
      </c>
      <c r="J6" s="3175">
        <v>1.03</v>
      </c>
      <c r="K6" s="3175">
        <v>0.92</v>
      </c>
      <c r="L6" s="3176">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2981</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822"/>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2982</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822"/>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2978</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828"/>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2969</v>
      </c>
      <c r="B10" s="3121">
        <v>439</v>
      </c>
      <c r="C10" s="3121">
        <v>327</v>
      </c>
      <c r="D10" s="3121">
        <f t="shared" si="43"/>
        <v>327</v>
      </c>
      <c r="E10" s="3121">
        <v>627</v>
      </c>
      <c r="F10" s="3122">
        <v>283</v>
      </c>
      <c r="G10" s="3827">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2973</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822"/>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2582</v>
      </c>
      <c r="B12" s="2647">
        <f t="shared" si="55"/>
        <v>419.31181600000002</v>
      </c>
      <c r="C12" s="2647">
        <f t="shared" si="55"/>
        <v>313.95436800000004</v>
      </c>
      <c r="D12" s="2647">
        <f t="shared" si="43"/>
        <v>313.95436800000004</v>
      </c>
      <c r="E12" s="2647">
        <f t="shared" si="56"/>
        <v>596.63028431999999</v>
      </c>
      <c r="F12" s="2647">
        <f t="shared" si="56"/>
        <v>274.74220703999998</v>
      </c>
      <c r="G12" s="3822"/>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2583</v>
      </c>
      <c r="B13" s="2647">
        <f t="shared" si="55"/>
        <v>405.524</v>
      </c>
      <c r="C13" s="2647">
        <f t="shared" si="55"/>
        <v>307.79840000000002</v>
      </c>
      <c r="D13" s="2647">
        <f t="shared" si="43"/>
        <v>307.79840000000002</v>
      </c>
      <c r="E13" s="2647">
        <f t="shared" si="56"/>
        <v>574.67759999999998</v>
      </c>
      <c r="F13" s="2647">
        <f t="shared" si="56"/>
        <v>270.20280000000002</v>
      </c>
      <c r="G13" s="3828"/>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827">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822"/>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822"/>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823"/>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3821">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822"/>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822"/>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823"/>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3821">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822"/>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822"/>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823"/>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2641</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2584</v>
      </c>
      <c r="B26" s="2639">
        <v>299</v>
      </c>
      <c r="C26" s="2639">
        <v>252</v>
      </c>
      <c r="D26" s="2639">
        <f t="shared" si="65"/>
        <v>252</v>
      </c>
      <c r="E26" s="2639">
        <v>409</v>
      </c>
      <c r="F26" s="2640">
        <v>227</v>
      </c>
      <c r="G26" s="3824">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2585</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825"/>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2586</v>
      </c>
      <c r="B28" s="2647">
        <f t="shared" si="74"/>
        <v>288.2649053828776</v>
      </c>
      <c r="C28" s="2647">
        <f t="shared" si="74"/>
        <v>243.64564425013293</v>
      </c>
      <c r="D28" s="2647">
        <f t="shared" si="65"/>
        <v>243.64564425013293</v>
      </c>
      <c r="E28" s="2647">
        <f t="shared" si="75"/>
        <v>393.31080825986544</v>
      </c>
      <c r="F28" s="2647">
        <f t="shared" si="75"/>
        <v>223.07903790551154</v>
      </c>
      <c r="G28" s="3825"/>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2587</v>
      </c>
      <c r="B29" s="2647">
        <f t="shared" si="74"/>
        <v>282.50186729015837</v>
      </c>
      <c r="C29" s="2647">
        <f t="shared" si="74"/>
        <v>238.09796174155468</v>
      </c>
      <c r="D29" s="2647">
        <f t="shared" si="65"/>
        <v>238.09796174155468</v>
      </c>
      <c r="E29" s="2647">
        <f t="shared" si="75"/>
        <v>385.33438646014054</v>
      </c>
      <c r="F29" s="2647">
        <f t="shared" si="75"/>
        <v>221.55034055567739</v>
      </c>
      <c r="G29" s="3826"/>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2588</v>
      </c>
      <c r="B30" s="2677">
        <v>278</v>
      </c>
      <c r="C30" s="2677">
        <v>234</v>
      </c>
      <c r="D30" s="2677">
        <f t="shared" si="65"/>
        <v>234</v>
      </c>
      <c r="E30" s="2677">
        <v>379</v>
      </c>
      <c r="F30" s="2678">
        <v>220</v>
      </c>
      <c r="G30" s="3821">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2589</v>
      </c>
      <c r="B31" s="2647">
        <f>B30/(1+N30)</f>
        <v>275.49301357645425</v>
      </c>
      <c r="C31" s="2647">
        <f>C30/(1+O30)</f>
        <v>232.41954707985698</v>
      </c>
      <c r="D31" s="2647">
        <f t="shared" si="65"/>
        <v>232.41954707985698</v>
      </c>
      <c r="E31" s="2647">
        <f t="shared" ref="E31:F33" si="76">E30/(1+P30)</f>
        <v>375.32184591008121</v>
      </c>
      <c r="F31" s="2647">
        <f t="shared" si="76"/>
        <v>218.03766105054513</v>
      </c>
      <c r="G31" s="3822"/>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2590</v>
      </c>
      <c r="B32" s="2647">
        <f>B31/(1+N31)</f>
        <v>275.24529281292263</v>
      </c>
      <c r="C32" s="2647">
        <f>C31/(1+O31)</f>
        <v>231.74747938962707</v>
      </c>
      <c r="D32" s="2647">
        <f t="shared" si="65"/>
        <v>231.74747938962707</v>
      </c>
      <c r="E32" s="2647">
        <f t="shared" si="76"/>
        <v>375.35938184826603</v>
      </c>
      <c r="F32" s="2647">
        <f t="shared" si="76"/>
        <v>216.78033510692495</v>
      </c>
      <c r="G32" s="3822"/>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2591</v>
      </c>
      <c r="B33" s="2647">
        <f>B32/(1+N32)</f>
        <v>275.19025476197027</v>
      </c>
      <c r="C33" s="2679">
        <v>232</v>
      </c>
      <c r="D33" s="2679">
        <f t="shared" si="65"/>
        <v>232</v>
      </c>
      <c r="E33" s="2647">
        <f t="shared" si="76"/>
        <v>375.65990977608692</v>
      </c>
      <c r="F33" s="2647">
        <f t="shared" si="76"/>
        <v>214.12518283971252</v>
      </c>
      <c r="G33" s="3823"/>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2592</v>
      </c>
      <c r="B34" s="2639">
        <v>275</v>
      </c>
      <c r="C34" s="2639">
        <v>232</v>
      </c>
      <c r="D34" s="2639">
        <f t="shared" si="65"/>
        <v>232</v>
      </c>
      <c r="E34" s="2639">
        <v>376</v>
      </c>
      <c r="F34" s="2640">
        <v>213</v>
      </c>
      <c r="G34" s="3821">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2593</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822">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2594</v>
      </c>
      <c r="B36" s="2647">
        <f t="shared" si="77"/>
        <v>275.19335084830601</v>
      </c>
      <c r="C36" s="2647">
        <f t="shared" si="77"/>
        <v>230.18088050139744</v>
      </c>
      <c r="D36" s="2647">
        <f t="shared" si="65"/>
        <v>230.18088050139744</v>
      </c>
      <c r="E36" s="2647">
        <f t="shared" si="78"/>
        <v>377.58482925212331</v>
      </c>
      <c r="F36" s="2647">
        <f t="shared" si="78"/>
        <v>210.90687997847917</v>
      </c>
      <c r="G36" s="3822">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2595</v>
      </c>
      <c r="B37" s="2647">
        <f t="shared" si="77"/>
        <v>276.29854502841971</v>
      </c>
      <c r="C37" s="2647">
        <f t="shared" si="77"/>
        <v>229.79023709833027</v>
      </c>
      <c r="D37" s="2647">
        <f t="shared" si="65"/>
        <v>229.79023709833027</v>
      </c>
      <c r="E37" s="2647">
        <f t="shared" si="78"/>
        <v>379.78759731655936</v>
      </c>
      <c r="F37" s="2647">
        <f t="shared" si="78"/>
        <v>211.32953905659235</v>
      </c>
      <c r="G37" s="3823">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2596</v>
      </c>
      <c r="B38" s="2639">
        <v>269</v>
      </c>
      <c r="C38" s="2639">
        <v>221</v>
      </c>
      <c r="D38" s="2639">
        <f t="shared" si="65"/>
        <v>221</v>
      </c>
      <c r="E38" s="2639">
        <v>373</v>
      </c>
      <c r="F38" s="2640">
        <v>196</v>
      </c>
      <c r="G38" s="3821">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2597</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822">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2598</v>
      </c>
      <c r="B40" s="2647">
        <f t="shared" si="79"/>
        <v>242.95398227588385</v>
      </c>
      <c r="C40" s="2647">
        <f t="shared" si="79"/>
        <v>199.59137053614126</v>
      </c>
      <c r="D40" s="2647">
        <f t="shared" si="65"/>
        <v>199.59137053614126</v>
      </c>
      <c r="E40" s="2647">
        <f t="shared" si="80"/>
        <v>335.92189522342125</v>
      </c>
      <c r="F40" s="2647">
        <f t="shared" si="80"/>
        <v>183.10139991109489</v>
      </c>
      <c r="G40" s="3822">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2599</v>
      </c>
      <c r="B41" s="2647">
        <f t="shared" si="79"/>
        <v>232.06990378821649</v>
      </c>
      <c r="C41" s="2647">
        <f t="shared" si="79"/>
        <v>192.74878854286936</v>
      </c>
      <c r="D41" s="2647">
        <f t="shared" si="65"/>
        <v>192.74878854286936</v>
      </c>
      <c r="E41" s="2647">
        <f t="shared" si="80"/>
        <v>319.71247284992984</v>
      </c>
      <c r="F41" s="2647">
        <f t="shared" si="80"/>
        <v>175.67053622862409</v>
      </c>
      <c r="G41" s="3823">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2600</v>
      </c>
      <c r="B42" s="2639">
        <v>220</v>
      </c>
      <c r="C42" s="2639">
        <v>187</v>
      </c>
      <c r="D42" s="2639">
        <f t="shared" si="65"/>
        <v>187</v>
      </c>
      <c r="E42" s="2639">
        <v>301</v>
      </c>
      <c r="F42" s="2640">
        <v>168</v>
      </c>
      <c r="G42" s="3821">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2601</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822">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2602</v>
      </c>
      <c r="B44" s="2647">
        <f t="shared" si="81"/>
        <v>210.630522469011</v>
      </c>
      <c r="C44" s="2647">
        <f t="shared" si="81"/>
        <v>181.69567812247232</v>
      </c>
      <c r="D44" s="2647">
        <f t="shared" si="65"/>
        <v>181.69567812247232</v>
      </c>
      <c r="E44" s="2647">
        <f t="shared" si="82"/>
        <v>286.13517466736738</v>
      </c>
      <c r="F44" s="2647">
        <f t="shared" si="82"/>
        <v>165.47535084591149</v>
      </c>
      <c r="G44" s="3822">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2603</v>
      </c>
      <c r="B45" s="2647">
        <f t="shared" si="81"/>
        <v>208.83454537875372</v>
      </c>
      <c r="C45" s="2647">
        <f t="shared" si="81"/>
        <v>183.77230517090351</v>
      </c>
      <c r="D45" s="2647">
        <f t="shared" si="65"/>
        <v>183.77230517090351</v>
      </c>
      <c r="E45" s="2647">
        <f t="shared" si="82"/>
        <v>281.10342338870947</v>
      </c>
      <c r="F45" s="2647">
        <f t="shared" si="82"/>
        <v>168.97309388942256</v>
      </c>
      <c r="G45" s="3823">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2604</v>
      </c>
      <c r="B46" s="2677">
        <v>214</v>
      </c>
      <c r="C46" s="2677">
        <v>188</v>
      </c>
      <c r="D46" s="2677">
        <f t="shared" si="65"/>
        <v>188</v>
      </c>
      <c r="E46" s="2677">
        <v>289</v>
      </c>
      <c r="F46" s="2678">
        <v>166</v>
      </c>
      <c r="G46" s="3821">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2605</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822">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2606</v>
      </c>
      <c r="B48" s="2647">
        <f t="shared" si="83"/>
        <v>206.31694671589116</v>
      </c>
      <c r="C48" s="2647">
        <f t="shared" si="83"/>
        <v>183.61041121036101</v>
      </c>
      <c r="D48" s="2647">
        <f t="shared" si="65"/>
        <v>183.61041121036101</v>
      </c>
      <c r="E48" s="2647">
        <f t="shared" si="84"/>
        <v>276.66850301795557</v>
      </c>
      <c r="F48" s="2647">
        <f t="shared" si="84"/>
        <v>165.1360938278614</v>
      </c>
      <c r="G48" s="3822">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2607</v>
      </c>
      <c r="B49" s="2680">
        <f t="shared" si="83"/>
        <v>196.62341248059772</v>
      </c>
      <c r="C49" s="2680">
        <f t="shared" si="83"/>
        <v>170.99125648199012</v>
      </c>
      <c r="D49" s="2680">
        <f t="shared" si="65"/>
        <v>170.99125648199012</v>
      </c>
      <c r="E49" s="2680">
        <f t="shared" si="84"/>
        <v>266.07857570490052</v>
      </c>
      <c r="F49" s="2680">
        <f t="shared" si="84"/>
        <v>154.53499328828505</v>
      </c>
      <c r="G49" s="3823">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2608</v>
      </c>
      <c r="B50" s="2639">
        <v>188</v>
      </c>
      <c r="C50" s="2639">
        <v>165</v>
      </c>
      <c r="D50" s="2639">
        <f t="shared" si="65"/>
        <v>165</v>
      </c>
      <c r="E50" s="2639">
        <v>254</v>
      </c>
      <c r="F50" s="2640">
        <v>148</v>
      </c>
      <c r="G50" s="3821">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2609</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822">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2610</v>
      </c>
      <c r="B52" s="2647">
        <f t="shared" si="87"/>
        <v>168.82017748715555</v>
      </c>
      <c r="C52" s="2647">
        <f t="shared" si="87"/>
        <v>148.06267029972753</v>
      </c>
      <c r="D52" s="2647">
        <f t="shared" si="65"/>
        <v>148.06267029972753</v>
      </c>
      <c r="E52" s="2647">
        <f t="shared" si="88"/>
        <v>216.46288379323747</v>
      </c>
      <c r="F52" s="2647">
        <f t="shared" si="88"/>
        <v>134.23529411764704</v>
      </c>
      <c r="G52" s="3822">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2611</v>
      </c>
      <c r="B53" s="2647">
        <f t="shared" si="87"/>
        <v>163.84913591779542</v>
      </c>
      <c r="C53" s="2647">
        <f t="shared" si="87"/>
        <v>145.0283378746594</v>
      </c>
      <c r="D53" s="2647">
        <f t="shared" si="65"/>
        <v>145.0283378746594</v>
      </c>
      <c r="E53" s="2647">
        <f t="shared" si="88"/>
        <v>204.95180722891567</v>
      </c>
      <c r="F53" s="2647">
        <f t="shared" si="88"/>
        <v>125.95920303605313</v>
      </c>
      <c r="G53" s="3823">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2612</v>
      </c>
      <c r="B54" s="2661">
        <v>159</v>
      </c>
      <c r="C54" s="2661">
        <v>141</v>
      </c>
      <c r="D54" s="2661">
        <f t="shared" si="65"/>
        <v>141</v>
      </c>
      <c r="E54" s="2661">
        <v>195</v>
      </c>
      <c r="F54" s="2662">
        <v>122</v>
      </c>
      <c r="G54" s="3821">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2613</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822">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2614</v>
      </c>
      <c r="B56" s="2647">
        <f t="shared" si="91"/>
        <v>146.57412060301507</v>
      </c>
      <c r="C56" s="2647">
        <f t="shared" si="91"/>
        <v>136.46831955922866</v>
      </c>
      <c r="D56" s="2647">
        <f t="shared" si="65"/>
        <v>136.46831955922866</v>
      </c>
      <c r="E56" s="2647">
        <f t="shared" si="92"/>
        <v>166.73864894795128</v>
      </c>
      <c r="F56" s="2647">
        <f t="shared" si="92"/>
        <v>115.05882352941177</v>
      </c>
      <c r="G56" s="3822">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2615</v>
      </c>
      <c r="B57" s="2647">
        <f t="shared" si="91"/>
        <v>144.04145728643215</v>
      </c>
      <c r="C57" s="2647">
        <f t="shared" si="91"/>
        <v>136.12396694214877</v>
      </c>
      <c r="D57" s="2647">
        <f t="shared" si="65"/>
        <v>136.12396694214877</v>
      </c>
      <c r="E57" s="2647">
        <f t="shared" si="92"/>
        <v>158.32225913621264</v>
      </c>
      <c r="F57" s="2647">
        <f t="shared" si="92"/>
        <v>114.04278074866311</v>
      </c>
      <c r="G57" s="3823">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2616</v>
      </c>
      <c r="B58" s="2661">
        <v>138</v>
      </c>
      <c r="C58" s="2661">
        <v>131</v>
      </c>
      <c r="D58" s="2661">
        <f t="shared" si="65"/>
        <v>131</v>
      </c>
      <c r="E58" s="2661">
        <v>155</v>
      </c>
      <c r="F58" s="2662">
        <v>114</v>
      </c>
      <c r="G58" s="3821">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2617</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822">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2618</v>
      </c>
      <c r="B60" s="2647">
        <f t="shared" si="95"/>
        <v>124.29032258064517</v>
      </c>
      <c r="C60" s="2647">
        <f t="shared" si="95"/>
        <v>123.8968609865471</v>
      </c>
      <c r="D60" s="2647">
        <f t="shared" si="65"/>
        <v>123.8968609865471</v>
      </c>
      <c r="E60" s="2647">
        <f t="shared" si="96"/>
        <v>138.00507614213197</v>
      </c>
      <c r="F60" s="2647">
        <f t="shared" si="96"/>
        <v>107.96106557377048</v>
      </c>
      <c r="G60" s="3822">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2619</v>
      </c>
      <c r="B61" s="2647">
        <f t="shared" si="95"/>
        <v>122.57204301075269</v>
      </c>
      <c r="C61" s="2647">
        <f t="shared" si="95"/>
        <v>123.4932735426009</v>
      </c>
      <c r="D61" s="2647">
        <f t="shared" si="65"/>
        <v>123.4932735426009</v>
      </c>
      <c r="E61" s="2647">
        <f t="shared" si="96"/>
        <v>129.82233502538071</v>
      </c>
      <c r="F61" s="2647">
        <f t="shared" si="96"/>
        <v>107.39446721311475</v>
      </c>
      <c r="G61" s="3823">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2620</v>
      </c>
      <c r="B62" s="2677">
        <v>121</v>
      </c>
      <c r="C62" s="2677">
        <v>122</v>
      </c>
      <c r="D62" s="2677">
        <f t="shared" si="65"/>
        <v>122</v>
      </c>
      <c r="E62" s="2677">
        <v>124</v>
      </c>
      <c r="F62" s="2678">
        <v>107</v>
      </c>
      <c r="G62" s="3821">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2621</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822">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2622</v>
      </c>
      <c r="B64" s="2647">
        <f t="shared" si="99"/>
        <v>116.99099099099099</v>
      </c>
      <c r="C64" s="2647">
        <f t="shared" si="99"/>
        <v>118.84848484848486</v>
      </c>
      <c r="D64" s="2647">
        <f t="shared" si="65"/>
        <v>118.84848484848486</v>
      </c>
      <c r="E64" s="2647">
        <f t="shared" si="100"/>
        <v>117.60960960960961</v>
      </c>
      <c r="F64" s="2647">
        <f t="shared" si="100"/>
        <v>104</v>
      </c>
      <c r="G64" s="3822">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2623</v>
      </c>
      <c r="B65" s="2680">
        <f t="shared" si="99"/>
        <v>112.48648648648648</v>
      </c>
      <c r="C65" s="2680">
        <f t="shared" si="99"/>
        <v>115.21212121212122</v>
      </c>
      <c r="D65" s="2680">
        <f t="shared" si="65"/>
        <v>115.21212121212122</v>
      </c>
      <c r="E65" s="2680">
        <f t="shared" si="100"/>
        <v>110.4024024024024</v>
      </c>
      <c r="F65" s="2680">
        <f t="shared" si="100"/>
        <v>104</v>
      </c>
      <c r="G65" s="3823">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2624</v>
      </c>
      <c r="B66" s="2698">
        <v>111</v>
      </c>
      <c r="C66" s="2698">
        <v>114</v>
      </c>
      <c r="D66" s="2698">
        <f t="shared" si="65"/>
        <v>114</v>
      </c>
      <c r="E66" s="2698">
        <v>108</v>
      </c>
      <c r="F66" s="2699">
        <v>104</v>
      </c>
      <c r="G66" s="3821">
        <v>2003</v>
      </c>
      <c r="H66" s="2688">
        <v>4</v>
      </c>
      <c r="I66" s="2700"/>
      <c r="J66" s="2700"/>
      <c r="K66" s="2700"/>
      <c r="L66" s="2700"/>
      <c r="N66" s="2701"/>
      <c r="O66" s="2700"/>
      <c r="P66" s="2700"/>
      <c r="Q66" s="2700"/>
      <c r="S66" s="2701"/>
      <c r="T66" s="2700"/>
      <c r="U66" s="2700"/>
      <c r="V66" s="2700"/>
      <c r="X66" s="2692"/>
      <c r="Y66" s="2692"/>
      <c r="Z66" s="2692"/>
    </row>
    <row r="67" spans="1:26">
      <c r="A67" s="2634" t="s">
        <v>2625</v>
      </c>
      <c r="B67" s="2702">
        <f t="shared" ref="B67:C69" si="101">B68+(B$66-B$70)/4</f>
        <v>109.75</v>
      </c>
      <c r="C67" s="2702">
        <f t="shared" si="101"/>
        <v>112.25</v>
      </c>
      <c r="D67" s="2702">
        <f t="shared" si="65"/>
        <v>112.25</v>
      </c>
      <c r="E67" s="2702">
        <f t="shared" ref="E67:F69" si="102">E68+(E$66-E$70)/4</f>
        <v>107.25</v>
      </c>
      <c r="F67" s="2702">
        <f t="shared" si="102"/>
        <v>103.5</v>
      </c>
      <c r="G67" s="3822">
        <v>2003</v>
      </c>
      <c r="H67" s="2658">
        <v>3</v>
      </c>
      <c r="I67" s="2700"/>
      <c r="J67" s="2700"/>
      <c r="K67" s="2700"/>
      <c r="L67" s="2700"/>
      <c r="X67" s="2692"/>
      <c r="Y67" s="2692"/>
      <c r="Z67" s="2692"/>
    </row>
    <row r="68" spans="1:26">
      <c r="A68" s="2634" t="s">
        <v>2626</v>
      </c>
      <c r="B68" s="2702">
        <f t="shared" si="101"/>
        <v>108.5</v>
      </c>
      <c r="C68" s="2702">
        <f t="shared" si="101"/>
        <v>110.5</v>
      </c>
      <c r="D68" s="2702">
        <f t="shared" si="65"/>
        <v>110.5</v>
      </c>
      <c r="E68" s="2702">
        <f t="shared" si="102"/>
        <v>106.5</v>
      </c>
      <c r="F68" s="2702">
        <f t="shared" si="102"/>
        <v>103</v>
      </c>
      <c r="G68" s="3822">
        <v>2003</v>
      </c>
      <c r="H68" s="2638">
        <v>2</v>
      </c>
      <c r="I68" s="2700"/>
      <c r="J68" s="2700"/>
      <c r="K68" s="2700"/>
      <c r="L68" s="2700"/>
      <c r="X68" s="2692"/>
      <c r="Y68" s="2692"/>
      <c r="Z68" s="2692"/>
    </row>
    <row r="69" spans="1:26" ht="13.5" thickBot="1">
      <c r="A69" s="2634" t="s">
        <v>2627</v>
      </c>
      <c r="B69" s="2702">
        <f t="shared" si="101"/>
        <v>107.25</v>
      </c>
      <c r="C69" s="2702">
        <f t="shared" si="101"/>
        <v>108.75</v>
      </c>
      <c r="D69" s="2702">
        <f t="shared" si="65"/>
        <v>108.75</v>
      </c>
      <c r="E69" s="2702">
        <f t="shared" si="102"/>
        <v>105.75</v>
      </c>
      <c r="F69" s="2702">
        <f t="shared" si="102"/>
        <v>102.5</v>
      </c>
      <c r="G69" s="3823">
        <v>2003</v>
      </c>
      <c r="H69" s="2703">
        <v>1</v>
      </c>
      <c r="I69" s="2700"/>
      <c r="J69" s="2700"/>
      <c r="K69" s="2700"/>
      <c r="L69" s="2700"/>
      <c r="S69" s="2642"/>
      <c r="T69" s="2643"/>
      <c r="U69" s="2643"/>
      <c r="X69" s="2692"/>
      <c r="Y69" s="2692"/>
      <c r="Z69" s="2692"/>
    </row>
    <row r="70" spans="1:26" ht="13.5" thickBot="1">
      <c r="A70" s="2634" t="s">
        <v>2628</v>
      </c>
      <c r="B70" s="2704">
        <v>106</v>
      </c>
      <c r="C70" s="2704">
        <v>107</v>
      </c>
      <c r="D70" s="2704">
        <f t="shared" si="65"/>
        <v>107</v>
      </c>
      <c r="E70" s="2704">
        <v>105</v>
      </c>
      <c r="F70" s="2705">
        <v>102</v>
      </c>
      <c r="G70" s="3821">
        <v>2002</v>
      </c>
      <c r="H70" s="2653">
        <v>4</v>
      </c>
      <c r="I70" s="2700"/>
      <c r="J70" s="2700"/>
      <c r="K70" s="2700"/>
      <c r="L70" s="2700"/>
      <c r="N70" s="2701"/>
      <c r="O70" s="2700"/>
      <c r="P70" s="2700"/>
      <c r="Q70" s="2700"/>
      <c r="S70" s="2701"/>
      <c r="T70" s="2700"/>
      <c r="U70" s="2700"/>
      <c r="V70" s="2700"/>
      <c r="X70" s="2692"/>
      <c r="Y70" s="2692"/>
      <c r="Z70" s="2692"/>
    </row>
    <row r="71" spans="1:26">
      <c r="A71" s="2634" t="s">
        <v>2629</v>
      </c>
      <c r="B71" s="2702">
        <f t="shared" ref="B71:C73" si="103">B72+(B$70-B$74)/4</f>
        <v>105</v>
      </c>
      <c r="C71" s="2702">
        <f t="shared" si="103"/>
        <v>106</v>
      </c>
      <c r="D71" s="2702">
        <f t="shared" si="65"/>
        <v>106</v>
      </c>
      <c r="E71" s="2702">
        <f t="shared" ref="E71:F73" si="104">E72+(E$70-E$74)/4</f>
        <v>104.5</v>
      </c>
      <c r="F71" s="2702">
        <f t="shared" si="104"/>
        <v>101.5</v>
      </c>
      <c r="G71" s="3822">
        <v>2002</v>
      </c>
      <c r="H71" s="2658">
        <v>3</v>
      </c>
      <c r="I71" s="2700"/>
      <c r="J71" s="2700"/>
      <c r="K71" s="2700"/>
      <c r="L71" s="2700"/>
      <c r="X71" s="2692"/>
      <c r="Y71" s="2692"/>
      <c r="Z71" s="2692"/>
    </row>
    <row r="72" spans="1:26">
      <c r="A72" s="2634" t="s">
        <v>2630</v>
      </c>
      <c r="B72" s="2702">
        <f t="shared" si="103"/>
        <v>104</v>
      </c>
      <c r="C72" s="2702">
        <f t="shared" si="103"/>
        <v>105</v>
      </c>
      <c r="D72" s="2702">
        <f t="shared" si="65"/>
        <v>105</v>
      </c>
      <c r="E72" s="2702">
        <f t="shared" si="104"/>
        <v>104</v>
      </c>
      <c r="F72" s="2702">
        <f t="shared" si="104"/>
        <v>101</v>
      </c>
      <c r="G72" s="3822">
        <v>2002</v>
      </c>
      <c r="H72" s="2638">
        <v>2</v>
      </c>
      <c r="I72" s="2700"/>
      <c r="J72" s="2700"/>
      <c r="K72" s="2700"/>
      <c r="L72" s="2700"/>
      <c r="X72" s="2692"/>
      <c r="Y72" s="2692"/>
      <c r="Z72" s="2692"/>
    </row>
    <row r="73" spans="1:26" s="2669" customFormat="1" ht="13.5" thickBot="1">
      <c r="A73" s="2665" t="s">
        <v>2631</v>
      </c>
      <c r="B73" s="2706">
        <f t="shared" si="103"/>
        <v>103</v>
      </c>
      <c r="C73" s="2706">
        <f t="shared" si="103"/>
        <v>104</v>
      </c>
      <c r="D73" s="2706">
        <f t="shared" si="65"/>
        <v>104</v>
      </c>
      <c r="E73" s="2706">
        <f t="shared" si="104"/>
        <v>103.5</v>
      </c>
      <c r="F73" s="2706">
        <f t="shared" si="104"/>
        <v>100.5</v>
      </c>
      <c r="G73" s="3823">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2632</v>
      </c>
      <c r="G76" s="2716"/>
      <c r="N76" s="2716"/>
      <c r="S76" s="2716"/>
    </row>
    <row r="77" spans="1:26" s="2715" customFormat="1">
      <c r="A77" s="2715" t="s">
        <v>2633</v>
      </c>
      <c r="G77" s="2716"/>
      <c r="N77" s="2716"/>
      <c r="S77" s="2716"/>
    </row>
    <row r="78" spans="1:26" s="2715" customFormat="1">
      <c r="A78" s="2715" t="s">
        <v>2634</v>
      </c>
      <c r="G78" s="2716"/>
      <c r="I78" s="2717"/>
      <c r="J78" s="2717"/>
      <c r="K78" s="2717"/>
      <c r="L78" s="2717"/>
      <c r="N78" s="2718"/>
      <c r="O78" s="2717"/>
      <c r="P78" s="2717"/>
      <c r="Q78" s="2717"/>
      <c r="S78" s="2718"/>
      <c r="T78" s="2717"/>
      <c r="U78" s="2717"/>
      <c r="V78" s="2717"/>
    </row>
    <row r="79" spans="1:26" s="2715" customFormat="1">
      <c r="A79" s="2715" t="s">
        <v>2635</v>
      </c>
      <c r="G79" s="2716"/>
      <c r="N79" s="2716"/>
      <c r="S79" s="2716"/>
    </row>
    <row r="86" spans="7:22" ht="13.5" thickBot="1"/>
    <row r="87" spans="7:22">
      <c r="G87" s="2641"/>
      <c r="S87" s="2719" t="s">
        <v>2636</v>
      </c>
      <c r="T87" s="2720" t="s">
        <v>2637</v>
      </c>
      <c r="U87" s="2720" t="s">
        <v>2638</v>
      </c>
      <c r="V87" s="2720" t="s">
        <v>2639</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7"/>
      <c r="C1" s="2104"/>
      <c r="D1" s="2104"/>
      <c r="E1" s="2104"/>
      <c r="F1" s="2104"/>
      <c r="G1" s="2104"/>
      <c r="H1" s="2104"/>
      <c r="I1" s="2104"/>
      <c r="J1" s="2104"/>
      <c r="K1" s="422">
        <f>MATCH(B1,'数据-取费表'!A6:A16,0)+5</f>
        <v>8</v>
      </c>
    </row>
    <row r="2" spans="1:31" s="2041" customFormat="1" ht="18" customHeight="1">
      <c r="A2" s="2101" t="s">
        <v>467</v>
      </c>
      <c r="B2" s="2105">
        <f ca="1">C36</f>
        <v>25151</v>
      </c>
      <c r="C2" s="2104"/>
      <c r="D2" s="2104"/>
      <c r="E2" s="2104"/>
      <c r="F2" s="2104"/>
      <c r="G2" s="2104"/>
      <c r="H2" s="2104"/>
      <c r="I2" s="2104"/>
      <c r="J2" s="2104"/>
      <c r="K2" s="2104"/>
    </row>
    <row r="3" spans="1:31" s="2041" customFormat="1" ht="18" customHeight="1">
      <c r="A3" s="2106" t="s">
        <v>1685</v>
      </c>
      <c r="B3" s="2107">
        <f ca="1">ROUND(B2*10000/IF(B1="",'数据-汇总表'!E3,INDIRECT("'数据-取费表'!K"&amp;$K$1)),0)</f>
        <v>3292</v>
      </c>
      <c r="C3" s="2104"/>
      <c r="D3" s="2104"/>
      <c r="E3" s="2104"/>
      <c r="F3" s="2104"/>
      <c r="G3" s="2104"/>
      <c r="H3" s="2104"/>
      <c r="I3" s="2104"/>
      <c r="J3" s="2104"/>
      <c r="K3" s="2104"/>
    </row>
    <row r="4" spans="1:31" s="2041" customFormat="1" ht="18" customHeight="1">
      <c r="A4" s="426" t="s">
        <v>468</v>
      </c>
      <c r="B4" s="427">
        <f ca="1">ROUND(B2*10000/IF(B1="",'数据-汇总表'!D3,INDIRECT("'数据-取费表'!R"&amp;$K$1)),0)</f>
        <v>11521</v>
      </c>
      <c r="C4" s="428"/>
      <c r="D4" s="422"/>
      <c r="E4" s="422"/>
      <c r="F4" s="422"/>
      <c r="G4" s="422"/>
      <c r="H4" s="422"/>
      <c r="I4" s="422"/>
      <c r="J4" s="422"/>
      <c r="K4" s="422"/>
    </row>
    <row r="5" spans="1:31" s="2041" customFormat="1" ht="18" customHeight="1" thickBot="1">
      <c r="A5" s="429"/>
      <c r="B5" s="430">
        <f ca="1">ROUND(B2/(IF(B1="",'数据-汇总表'!D3,INDIRECT("'数据-取费表'!R"&amp;$K$1))/666.67),0)</f>
        <v>768</v>
      </c>
      <c r="C5" s="431" t="s">
        <v>469</v>
      </c>
      <c r="D5" s="422"/>
      <c r="E5" s="422"/>
      <c r="F5" s="422"/>
      <c r="G5" s="422"/>
      <c r="H5" s="422"/>
      <c r="I5" s="422"/>
      <c r="J5" s="422"/>
      <c r="K5" s="422"/>
    </row>
    <row r="6" spans="1:31" s="2111" customFormat="1" ht="16.5" customHeight="1">
      <c r="A6" s="2806" t="s">
        <v>1843</v>
      </c>
      <c r="B6" s="2807"/>
      <c r="C6" s="2808">
        <f ca="1">SUM(C10:K10)</f>
        <v>72220</v>
      </c>
      <c r="D6" s="2807"/>
      <c r="E6" s="2807"/>
      <c r="F6" s="2807"/>
      <c r="G6" s="2807"/>
      <c r="H6" s="2807"/>
      <c r="I6" s="2807"/>
      <c r="J6" s="2807"/>
      <c r="K6" s="2809"/>
    </row>
    <row r="7" spans="1:31" s="2113" customFormat="1" ht="15">
      <c r="A7" s="2810" t="s">
        <v>470</v>
      </c>
      <c r="B7" s="2811" t="s">
        <v>471</v>
      </c>
      <c r="C7" s="436" t="s">
        <v>923</v>
      </c>
      <c r="D7" s="436" t="s">
        <v>3011</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12">
        <f>'不动产比较法-住宅'!B3</f>
        <v>9257</v>
      </c>
      <c r="D8" s="2812">
        <f ca="1">不动产收益法!B3</f>
        <v>11206</v>
      </c>
      <c r="E8" s="2812"/>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68767.460999999996</v>
      </c>
      <c r="D9" s="441">
        <f>SUMIF('数据-汇总表'!$C19:$C33,'剩余法-待开发'!D7,'数据-汇总表'!$E19:$E33)</f>
        <v>7640.8289999999979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1848</v>
      </c>
      <c r="B10" s="2800" t="s">
        <v>474</v>
      </c>
      <c r="C10" s="3004">
        <f>ROUND(C8*C9/10000,0)</f>
        <v>63658</v>
      </c>
      <c r="D10" s="3004">
        <f ca="1">不动产收益法!B2</f>
        <v>8562</v>
      </c>
      <c r="E10" s="3004"/>
      <c r="F10" s="2815"/>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1844</v>
      </c>
      <c r="B11" s="2807"/>
      <c r="C11" s="2807"/>
      <c r="D11" s="2807"/>
      <c r="E11" s="2807"/>
      <c r="F11" s="2807"/>
      <c r="G11" s="2807"/>
      <c r="H11" s="2807"/>
      <c r="I11" s="2807"/>
      <c r="J11" s="2807"/>
      <c r="K11" s="2809"/>
    </row>
    <row r="12" spans="1:31" s="2085" customFormat="1" ht="13.5" customHeight="1">
      <c r="A12" s="2818" t="s">
        <v>470</v>
      </c>
      <c r="B12" s="2790" t="s">
        <v>471</v>
      </c>
      <c r="C12" s="2819" t="s">
        <v>475</v>
      </c>
      <c r="D12" s="2786" t="s">
        <v>476</v>
      </c>
      <c r="E12" s="2786" t="s">
        <v>477</v>
      </c>
      <c r="F12" s="2786" t="s">
        <v>478</v>
      </c>
      <c r="G12" s="2790"/>
      <c r="H12" s="2791"/>
      <c r="I12" s="2791"/>
      <c r="J12" s="2791"/>
      <c r="K12" s="2792"/>
    </row>
    <row r="13" spans="1:31" s="2116" customFormat="1" ht="13.5" customHeight="1">
      <c r="A13" s="2820" t="s">
        <v>1849</v>
      </c>
      <c r="B13" s="2821" t="s">
        <v>479</v>
      </c>
      <c r="C13" s="450">
        <f ca="1">IF(B1="",'数据-取费表'!P16,INDIRECT("'数据-取费表'!p"&amp;$K$1)+INDIRECT("'数据-取费表'!t"&amp;$K$1))</f>
        <v>20248</v>
      </c>
      <c r="D13" s="2822"/>
      <c r="E13" s="2823"/>
      <c r="F13" s="2824"/>
      <c r="G13" s="2790"/>
      <c r="H13" s="2791"/>
      <c r="I13" s="2791"/>
      <c r="J13" s="2791"/>
      <c r="K13" s="2792"/>
    </row>
    <row r="14" spans="1:31" s="2116" customFormat="1" ht="13.5" customHeight="1">
      <c r="A14" s="2820" t="s">
        <v>1850</v>
      </c>
      <c r="B14" s="2821" t="s">
        <v>480</v>
      </c>
      <c r="C14" s="53">
        <f ca="1">ROUND(C13*F14,0)</f>
        <v>607</v>
      </c>
      <c r="D14" s="2822"/>
      <c r="E14" s="2823"/>
      <c r="F14" s="2825">
        <f>'数据-取费表'!B33</f>
        <v>0.03</v>
      </c>
      <c r="G14" s="2790" t="s">
        <v>481</v>
      </c>
      <c r="H14" s="2791"/>
      <c r="I14" s="2791"/>
      <c r="J14" s="2791"/>
      <c r="K14" s="2792"/>
    </row>
    <row r="15" spans="1:31" s="2116" customFormat="1" ht="13.5" customHeight="1">
      <c r="A15" s="2820" t="s">
        <v>1851</v>
      </c>
      <c r="B15" s="2821" t="s">
        <v>482</v>
      </c>
      <c r="C15" s="53">
        <f ca="1">ROUND(IF(B1="",SUMIF('数据-取费表'!C:C,"住宅",'数据-取费表'!P:P)*F15,IF(INDIRECT("'数据-取费表'!c"&amp;$K$1)="住宅",INDIRECT("'数据-取费表'!P"&amp;$K$1)*F15,0)),0)</f>
        <v>911</v>
      </c>
      <c r="D15" s="2822"/>
      <c r="E15" s="2823"/>
      <c r="F15" s="2825">
        <f>'数据-取费表'!B34</f>
        <v>0.05</v>
      </c>
      <c r="G15" s="2790" t="s">
        <v>483</v>
      </c>
      <c r="H15" s="2791"/>
      <c r="I15" s="2791"/>
      <c r="J15" s="2791"/>
      <c r="K15" s="2792"/>
    </row>
    <row r="16" spans="1:31" s="2117" customFormat="1" ht="13.5" customHeight="1">
      <c r="A16" s="2820" t="s">
        <v>1852</v>
      </c>
      <c r="B16" s="2821" t="s">
        <v>484</v>
      </c>
      <c r="C16" s="53">
        <f ca="1">ROUND(D16*E16/10000,0)</f>
        <v>1528</v>
      </c>
      <c r="D16" s="2822">
        <f ca="1">IF(B1="",'数据-汇总表'!E3,INDIRECT("'数据-取费表'!K"&amp;$K$1)+INDIRECT("'数据-取费表'!S"&amp;$K$1))</f>
        <v>76408.289999999994</v>
      </c>
      <c r="E16" s="53">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1853</v>
      </c>
      <c r="B17" s="2821" t="s">
        <v>485</v>
      </c>
      <c r="C17" s="2826">
        <f ca="1">ROUND(C13*F17,0)</f>
        <v>304</v>
      </c>
      <c r="D17" s="475"/>
      <c r="E17" s="2826"/>
      <c r="F17" s="2827">
        <f>'数据-取费表'!B36</f>
        <v>1.4999999999999999E-2</v>
      </c>
      <c r="G17" s="261" t="s">
        <v>486</v>
      </c>
      <c r="H17" s="2793"/>
      <c r="I17" s="2793"/>
      <c r="J17" s="2793"/>
      <c r="K17" s="279"/>
    </row>
    <row r="18" spans="1:14" s="2116" customFormat="1" ht="13.5" customHeight="1">
      <c r="A18" s="2828" t="s">
        <v>1854</v>
      </c>
      <c r="B18" s="2829" t="s">
        <v>487</v>
      </c>
      <c r="C18" s="2830">
        <f ca="1">SUM(C13:C17)</f>
        <v>23598</v>
      </c>
      <c r="D18" s="2831"/>
      <c r="E18" s="468"/>
      <c r="F18" s="468"/>
      <c r="G18" s="2794" t="s">
        <v>2431</v>
      </c>
      <c r="H18" s="2795"/>
      <c r="I18" s="2795"/>
      <c r="J18" s="2795"/>
      <c r="K18" s="2796"/>
    </row>
    <row r="19" spans="1:14" s="2116" customFormat="1" ht="13.5" customHeight="1">
      <c r="A19" s="2828" t="s">
        <v>1855</v>
      </c>
      <c r="B19" s="2829" t="s">
        <v>488</v>
      </c>
      <c r="C19" s="2786">
        <f ca="1">ROUND(D19*E19/10000,0)</f>
        <v>1528</v>
      </c>
      <c r="D19" s="2832">
        <f ca="1">D16</f>
        <v>76408.289999999994</v>
      </c>
      <c r="E19" s="2786">
        <f>'数据-取费表'!B32</f>
        <v>200</v>
      </c>
      <c r="F19" s="468"/>
      <c r="G19" s="2790" t="s">
        <v>489</v>
      </c>
      <c r="H19" s="2791"/>
      <c r="I19" s="2795"/>
      <c r="J19" s="2795"/>
      <c r="K19" s="2796"/>
    </row>
    <row r="20" spans="1:14" s="2116" customFormat="1" ht="13.5" customHeight="1">
      <c r="A20" s="2828" t="s">
        <v>1856</v>
      </c>
      <c r="B20" s="2829" t="s">
        <v>490</v>
      </c>
      <c r="C20" s="2786">
        <f ca="1">C21+C22-IF(B1="",'数据-取费表'!B29,IF(G20="已全部缴纳",C21+C22,H20))</f>
        <v>802</v>
      </c>
      <c r="D20" s="2832"/>
      <c r="E20" s="2786"/>
      <c r="F20" s="2833"/>
      <c r="G20" s="3064"/>
      <c r="H20" s="2788"/>
      <c r="I20" s="2789" t="s">
        <v>2652</v>
      </c>
      <c r="J20" s="2795"/>
      <c r="K20" s="2796"/>
    </row>
    <row r="21" spans="1:14" s="2116" customFormat="1" ht="13.5" customHeight="1">
      <c r="A21" s="2820" t="s">
        <v>1857</v>
      </c>
      <c r="B21" s="2821" t="s">
        <v>491</v>
      </c>
      <c r="C21" s="53">
        <f ca="1">ROUND(D21*E21/10000,0)</f>
        <v>722</v>
      </c>
      <c r="D21" s="2822">
        <f ca="1">IF(B1="",'数据-汇总表'!E5,IF(INDIRECT("'数据-取费表'!c"&amp;$K$1)="住宅",INDIRECT("'数据-取费表'!k"&amp;$K$1),0))</f>
        <v>68767.460999999996</v>
      </c>
      <c r="E21" s="53">
        <f>'数据-取费表'!B27</f>
        <v>105</v>
      </c>
      <c r="F21" s="2825"/>
      <c r="G21" s="26"/>
      <c r="H21" s="51"/>
      <c r="I21" s="51"/>
      <c r="J21" s="51"/>
      <c r="K21" s="2797"/>
    </row>
    <row r="22" spans="1:14" s="2116" customFormat="1" ht="13.5" customHeight="1">
      <c r="A22" s="2820" t="s">
        <v>1858</v>
      </c>
      <c r="B22" s="2821" t="s">
        <v>492</v>
      </c>
      <c r="C22" s="53">
        <f ca="1">ROUND(D22*E22/10000,0)</f>
        <v>80</v>
      </c>
      <c r="D22" s="2822">
        <f ca="1">IF(B1="",'数据-汇总表'!E6,IF(INDIRECT("'数据-取费表'!c"&amp;$K$1)="住宅",INDIRECT("'数据-取费表'!s"&amp;$K$1),INDIRECT("'数据-取费表'!k"&amp;$K$1)+INDIRECT("'数据-取费表'!s"&amp;$K$1)))</f>
        <v>7640.8289999999979</v>
      </c>
      <c r="E22" s="53">
        <f>'数据-取费表'!B28</f>
        <v>105</v>
      </c>
      <c r="F22" s="2825"/>
      <c r="G22" s="26"/>
      <c r="H22" s="51"/>
      <c r="I22" s="51"/>
      <c r="J22" s="51"/>
      <c r="K22" s="2797"/>
    </row>
    <row r="23" spans="1:14" s="2116" customFormat="1" ht="13.5" customHeight="1">
      <c r="A23" s="2828" t="s">
        <v>1859</v>
      </c>
      <c r="B23" s="3010" t="s">
        <v>2835</v>
      </c>
      <c r="C23" s="2830">
        <f ca="1">ROUND((C18+C19+C20)*F23,0)</f>
        <v>519</v>
      </c>
      <c r="D23" s="468"/>
      <c r="E23" s="468"/>
      <c r="F23" s="2834">
        <f>'数据-取费表'!B37</f>
        <v>0.02</v>
      </c>
      <c r="G23" s="2790" t="s">
        <v>2432</v>
      </c>
      <c r="H23" s="2791"/>
      <c r="I23" s="2791"/>
      <c r="J23" s="2791"/>
      <c r="K23" s="2792"/>
      <c r="L23" s="2118"/>
      <c r="M23" s="2118"/>
      <c r="N23" s="2118"/>
    </row>
    <row r="24" spans="1:14" s="2116" customFormat="1" ht="13.5" customHeight="1">
      <c r="A24" s="2828" t="s">
        <v>1860</v>
      </c>
      <c r="B24" s="3010" t="s">
        <v>2838</v>
      </c>
      <c r="C24" s="2830">
        <f ca="1">ROUND(C6*F24,0)</f>
        <v>1444</v>
      </c>
      <c r="D24" s="475"/>
      <c r="E24" s="473"/>
      <c r="F24" s="2834">
        <f>'数据-取费表'!B38</f>
        <v>0.02</v>
      </c>
      <c r="G24" s="2799" t="s">
        <v>499</v>
      </c>
      <c r="H24" s="2793"/>
      <c r="I24" s="2793"/>
      <c r="J24" s="2793"/>
      <c r="K24" s="279"/>
      <c r="L24" s="2118"/>
      <c r="M24" s="2118"/>
      <c r="N24" s="2118"/>
    </row>
    <row r="25" spans="1:14" s="2119" customFormat="1" ht="13.5" customHeight="1">
      <c r="A25" s="2828" t="s">
        <v>1861</v>
      </c>
      <c r="B25" s="3010" t="s">
        <v>2836</v>
      </c>
      <c r="C25" s="467">
        <f>ROUND(F25/(1+'数据-取费表'!C42),4)</f>
        <v>2.9000000000000001E-2</v>
      </c>
      <c r="D25" s="462" t="s">
        <v>2830</v>
      </c>
      <c r="E25" s="469"/>
      <c r="F25" s="2834">
        <f>'数据-取费表'!B48+'数据-取费表'!B49</f>
        <v>3.0499999999999999E-2</v>
      </c>
      <c r="G25" s="2798" t="s">
        <v>2290</v>
      </c>
      <c r="H25" s="2791"/>
      <c r="I25" s="2791"/>
      <c r="J25" s="2791"/>
      <c r="K25" s="2792"/>
    </row>
    <row r="26" spans="1:14" s="2118" customFormat="1" ht="13.5" customHeight="1">
      <c r="A26" s="2828" t="s">
        <v>1862</v>
      </c>
      <c r="B26" s="3011" t="s">
        <v>2837</v>
      </c>
      <c r="C26" s="2835">
        <f ca="1">C28</f>
        <v>1325</v>
      </c>
      <c r="D26" s="467">
        <f ca="1">C27</f>
        <v>0.10009999999999999</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1857</v>
      </c>
      <c r="B27" s="2836" t="s">
        <v>496</v>
      </c>
      <c r="C27" s="2837">
        <f ca="1">ROUND(IF('数据-取费表'!B22&lt;=1,(1+C25)*F26*'数据-取费表'!B24,(1+C25)*(POWER((1+F26),'数据-取费表'!B24)-1)),4)</f>
        <v>0.10009999999999999</v>
      </c>
      <c r="D27" s="472"/>
      <c r="E27" s="473"/>
      <c r="F27" s="474"/>
      <c r="G27" s="2551"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1858</v>
      </c>
      <c r="B28" s="2836" t="s">
        <v>2839</v>
      </c>
      <c r="C28" s="2838">
        <f ca="1">ROUND(IF('数据-取费表'!B22&lt;=1,(C18+C19+C20+C23+C24)*F26*'数据-取费表'!B24/2,(C18+C19+C20+C23+C24)*(POWER((1+F26),'数据-取费表'!B24/2)-1)),0)</f>
        <v>1325</v>
      </c>
      <c r="D28" s="472"/>
      <c r="E28" s="473"/>
      <c r="F28" s="474"/>
      <c r="G28" s="2551" t="str">
        <f>IF('数据-取费表'!B22&lt;=1,"（1）-（4）项×年利率×建设期÷2","（1）-（4）项×((1+年利率)^(建设期÷2)-1)")</f>
        <v>（1）-（4）项×((1+年利率)^(建设期÷2)-1)</v>
      </c>
      <c r="H28" s="2793"/>
      <c r="I28" s="2793"/>
      <c r="J28" s="2793"/>
      <c r="K28" s="279"/>
    </row>
    <row r="29" spans="1:14" s="2120" customFormat="1" ht="13.5" customHeight="1">
      <c r="A29" s="2839" t="s">
        <v>1863</v>
      </c>
      <c r="B29" s="2829" t="s">
        <v>497</v>
      </c>
      <c r="C29" s="2830">
        <f ca="1">ROUND(C6*F29/(1+'数据-取费表'!C42),0)</f>
        <v>3852</v>
      </c>
      <c r="D29" s="468"/>
      <c r="E29" s="468"/>
      <c r="F29" s="3012">
        <f>'数据-取费表'!B41</f>
        <v>5.6000000000000001E-2</v>
      </c>
      <c r="G29" s="2799" t="s">
        <v>498</v>
      </c>
      <c r="H29" s="2791"/>
      <c r="I29" s="2791"/>
      <c r="J29" s="2791"/>
      <c r="K29" s="2792"/>
    </row>
    <row r="30" spans="1:14" s="2121" customFormat="1" ht="13.5" customHeight="1">
      <c r="A30" s="1636" t="s">
        <v>1864</v>
      </c>
      <c r="B30" s="2840" t="s">
        <v>500</v>
      </c>
      <c r="C30" s="2835">
        <f ca="1">C31</f>
        <v>33068</v>
      </c>
      <c r="D30" s="477">
        <f ca="1">C32</f>
        <v>0.12909999999999999</v>
      </c>
      <c r="E30" s="469" t="s">
        <v>495</v>
      </c>
      <c r="F30" s="471"/>
      <c r="G30" s="2798" t="s">
        <v>2974</v>
      </c>
      <c r="H30" s="2791"/>
      <c r="I30" s="2791"/>
      <c r="J30" s="2791"/>
      <c r="K30" s="2792"/>
    </row>
    <row r="31" spans="1:14" s="2120" customFormat="1" ht="13.5" customHeight="1">
      <c r="A31" s="803" t="s">
        <v>1857</v>
      </c>
      <c r="B31" s="2836"/>
      <c r="C31" s="450">
        <f ca="1">C18+C19+C20+C23+C24+C26+C29</f>
        <v>33068</v>
      </c>
      <c r="D31" s="472"/>
      <c r="E31" s="473"/>
      <c r="F31" s="474"/>
      <c r="G31" s="261"/>
      <c r="H31" s="2793"/>
      <c r="I31" s="2793"/>
      <c r="J31" s="2793"/>
      <c r="K31" s="279"/>
    </row>
    <row r="32" spans="1:14" s="2120" customFormat="1" ht="13.5" customHeight="1">
      <c r="A32" s="803" t="s">
        <v>1858</v>
      </c>
      <c r="B32" s="2836"/>
      <c r="C32" s="53">
        <f ca="1">ROUND(C25+D26,4)</f>
        <v>0.12909999999999999</v>
      </c>
      <c r="D32" s="472"/>
      <c r="E32" s="473"/>
      <c r="F32" s="474"/>
      <c r="G32" s="261"/>
      <c r="H32" s="2793"/>
      <c r="I32" s="2793"/>
      <c r="J32" s="2793"/>
      <c r="K32" s="279"/>
    </row>
    <row r="33" spans="1:11" s="2122" customFormat="1" ht="13.5" customHeight="1">
      <c r="A33" s="3009" t="s">
        <v>2834</v>
      </c>
      <c r="B33" s="3007" t="s">
        <v>2832</v>
      </c>
      <c r="C33" s="478">
        <f ca="1">C35</f>
        <v>5578</v>
      </c>
      <c r="D33" s="467">
        <f ca="1">C34</f>
        <v>0.20580000000000001</v>
      </c>
      <c r="E33" s="469" t="s">
        <v>495</v>
      </c>
      <c r="F33" s="479">
        <f ca="1">IF(B1="",'数据-取费表'!Q16,INDIRECT("'数据-取费表'!q"&amp;$K$1))</f>
        <v>0.2</v>
      </c>
      <c r="G33" s="2794"/>
      <c r="H33" s="2795"/>
      <c r="I33" s="2795"/>
      <c r="J33" s="2795"/>
      <c r="K33" s="2796"/>
    </row>
    <row r="34" spans="1:11" s="2123" customFormat="1" ht="13.5" customHeight="1">
      <c r="A34" s="375" t="s">
        <v>1857</v>
      </c>
      <c r="B34" s="2841" t="s">
        <v>501</v>
      </c>
      <c r="C34" s="472">
        <f ca="1">ROUND((1+C25)*F33,4)</f>
        <v>0.20580000000000001</v>
      </c>
      <c r="D34" s="472"/>
      <c r="E34" s="473"/>
      <c r="F34" s="480"/>
      <c r="G34" s="261" t="s">
        <v>2291</v>
      </c>
      <c r="H34" s="2793"/>
      <c r="I34" s="2793"/>
      <c r="J34" s="2793"/>
      <c r="K34" s="279"/>
    </row>
    <row r="35" spans="1:11" s="2123" customFormat="1" ht="13.5" customHeight="1" thickBot="1">
      <c r="A35" s="1637" t="s">
        <v>1858</v>
      </c>
      <c r="B35" s="3008" t="s">
        <v>2840</v>
      </c>
      <c r="C35" s="1629">
        <f ca="1">ROUND((C18+C19+C20+C23+C24)*F33,0)</f>
        <v>5578</v>
      </c>
      <c r="D35" s="1630"/>
      <c r="E35" s="2842"/>
      <c r="F35" s="1631"/>
      <c r="G35" s="2800"/>
      <c r="H35" s="2801"/>
      <c r="I35" s="2801"/>
      <c r="J35" s="2801"/>
      <c r="K35" s="2802"/>
    </row>
    <row r="36" spans="1:11" s="2085" customFormat="1" ht="13.5" customHeight="1" thickBot="1">
      <c r="A36" s="284" t="s">
        <v>1845</v>
      </c>
      <c r="B36" s="2804"/>
      <c r="C36" s="2843">
        <f ca="1">ROUND((C6-C30-C33)/(1+D30+D33),0)</f>
        <v>25151</v>
      </c>
      <c r="D36" s="2804"/>
      <c r="E36" s="2804"/>
      <c r="F36" s="2804"/>
      <c r="G36" s="2803" t="s">
        <v>2841</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大航控股集团有限公司：</v>
      </c>
    </row>
    <row r="4" spans="1:4" ht="37.5">
      <c r="A4" s="1791" t="str">
        <f>"受贵公司委托，我公司对"&amp;项目基本情况!K2&amp;项目基本情况!B9&amp;"进行了预评估。"</f>
        <v>受贵公司委托，我公司对江苏省镇江市扬中市油坊镇出让国有建设用地使用权抵押价格进行了预评估。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镇江市扬中市油坊镇出让国有建设用地使用权。根据《国有土地使用证》[]，估价对象（分摊）出让国有建设用地使用权面积为21830.94平方米。根据《建设工程规划许可证》[]、《出让合同》[]，估价对象规划建筑面积为76408.29平方米。</v>
      </c>
    </row>
    <row r="7" spans="1:4" ht="56.25">
      <c r="A7" s="1795" t="s">
        <v>2748</v>
      </c>
    </row>
    <row r="8" spans="1:4" ht="18.75">
      <c r="A8" s="1794" t="s">
        <v>1907</v>
      </c>
    </row>
    <row r="9" spans="1:4" ht="75">
      <c r="A9" s="1796" t="str">
        <f>IF(项目基本情况!B8="抵押",IF(项目基本情况!B5=项目基本情况!B6,定义!C51,定义!B51),定义!D51)</f>
        <v>委托估价方在向金融机构（光大兴陇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2019年7月3日（评估专业人员勘察现场之日）</v>
      </c>
    </row>
    <row r="12" spans="1:4" ht="18.75">
      <c r="A12" s="1797" t="s">
        <v>2026</v>
      </c>
    </row>
    <row r="13" spans="1:4" ht="18.75">
      <c r="A13" s="1791" t="s">
        <v>2943</v>
      </c>
    </row>
    <row r="14" spans="1:4" ht="56.25">
      <c r="A14" s="1791" t="str">
        <f>"根据"&amp;项目基本情况!F12&amp;"，本次评估估价对象证载（地类）用途为"&amp;项目基本情况!B12&amp;"。"</f>
        <v>根据《不动产权证书》[苏（2019）扬中市不动产权第9000052、9000053、9000054、9000055号]，本次评估估价对象证载（地类）用途为其它商服用地。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根据《国有土地使用证》[]，估价对象（分摊）出让国有建设用地使用权面积为21830.94平方米。根据《建设工程规划许可证》[]、《出让合同》[]，估价对象规划建筑面积为76408.29平方米。</v>
      </c>
    </row>
    <row r="21" spans="1:1" ht="18.75">
      <c r="A21" s="1791" t="s">
        <v>2075</v>
      </c>
    </row>
    <row r="22" spans="1:1" ht="11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苏（2019）扬中市不动产权第9000052、9000053、9000054、9000055号]、《国有建设用地使用权出让合同》[3211822013CR(注资）064]及附件、《北京市规划委员会关于同意XX项目的规划设计方案的规划意见复函》[]以及《建设工程规划许可证》[]，土地终止日期为住宅2089年4月29日、商业2059年4月29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商住用地，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49" sqref="J49"/>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3011</v>
      </c>
      <c r="D1" s="3101" t="s">
        <v>952</v>
      </c>
      <c r="E1" s="2366" t="s">
        <v>2375</v>
      </c>
      <c r="F1" s="2367">
        <f ca="1">J53</f>
        <v>39.840000000000003</v>
      </c>
      <c r="G1" s="774">
        <f>MATCH(C1,'数据-取费表'!A6:A16,0)+5</f>
        <v>7</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8562</v>
      </c>
      <c r="C2" s="2057"/>
      <c r="D2" s="2055"/>
      <c r="E2" s="2056"/>
      <c r="F2" s="2056"/>
      <c r="G2" s="1591"/>
      <c r="H2" s="2057"/>
      <c r="I2" s="2057"/>
      <c r="J2" s="2057"/>
      <c r="K2" s="2058"/>
      <c r="L2" s="2057"/>
      <c r="M2" s="2057"/>
    </row>
    <row r="3" spans="1:33" ht="18" customHeight="1" thickBot="1">
      <c r="A3" s="833" t="s">
        <v>1728</v>
      </c>
      <c r="B3" s="834">
        <f ca="1">IF(ISERROR(B2*10000/F43),0,ROUND(B2*10000/F43,0))</f>
        <v>11206</v>
      </c>
      <c r="C3" s="2057"/>
      <c r="D3" s="2055"/>
      <c r="E3" s="2056"/>
      <c r="F3" s="2056"/>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503</v>
      </c>
      <c r="D5" s="2475" t="s">
        <v>2462</v>
      </c>
      <c r="E5" s="2469"/>
      <c r="F5" s="2470"/>
      <c r="G5" s="1593"/>
      <c r="H5" s="781">
        <v>1</v>
      </c>
      <c r="I5" s="782" t="s">
        <v>2459</v>
      </c>
      <c r="J5" s="55">
        <f ca="1">J6+J10+J12</f>
        <v>0</v>
      </c>
      <c r="K5" s="2475" t="s">
        <v>2462</v>
      </c>
      <c r="L5" s="2469"/>
      <c r="M5" s="2470"/>
    </row>
    <row r="6" spans="1:33" ht="18" customHeight="1">
      <c r="A6" s="1830" t="s">
        <v>1825</v>
      </c>
      <c r="B6" s="3812" t="s">
        <v>2464</v>
      </c>
      <c r="C6" s="783">
        <f ca="1">ROUND(F6*F8*F7*(1-F9)/10000,0)</f>
        <v>502</v>
      </c>
      <c r="D6" s="2476" t="s">
        <v>2463</v>
      </c>
      <c r="E6" s="784" t="s">
        <v>1739</v>
      </c>
      <c r="F6" s="785">
        <f ca="1">INDIRECT("'数据-取费表'!u"&amp;$G$1)</f>
        <v>2</v>
      </c>
      <c r="G6" s="1593"/>
      <c r="H6" s="2483" t="s">
        <v>2469</v>
      </c>
      <c r="I6" s="3812" t="s">
        <v>2464</v>
      </c>
      <c r="J6" s="783">
        <f ca="1">ROUND(M6*M8*M7*(1-M9)/10000,0)</f>
        <v>0</v>
      </c>
      <c r="K6" s="341" t="s">
        <v>1738</v>
      </c>
      <c r="L6" s="784" t="s">
        <v>1739</v>
      </c>
      <c r="M6" s="785">
        <f ca="1">INDIRECT("'数据-取费表'!z"&amp;$G$1)</f>
        <v>0</v>
      </c>
    </row>
    <row r="7" spans="1:33" ht="18" customHeight="1">
      <c r="A7" s="2479"/>
      <c r="B7" s="3813"/>
      <c r="C7" s="788"/>
      <c r="D7" s="789"/>
      <c r="E7" s="784" t="s">
        <v>1740</v>
      </c>
      <c r="F7" s="785">
        <f ca="1">IF(INDIRECT("'数据-取费表'!ah"&amp;$G$1)="",INDIRECT("'数据-取费表'!k"&amp;$G$1),INDIRECT("'数据-取费表'!ah"&amp;$G$1))</f>
        <v>7640.8289999999979</v>
      </c>
      <c r="G7" s="1593"/>
      <c r="H7" s="2468"/>
      <c r="I7" s="3813"/>
      <c r="J7" s="788"/>
      <c r="K7" s="789"/>
      <c r="L7" s="784" t="s">
        <v>1740</v>
      </c>
      <c r="M7" s="785">
        <f ca="1">F7</f>
        <v>7640.8289999999979</v>
      </c>
    </row>
    <row r="8" spans="1:33" ht="18" customHeight="1">
      <c r="A8" s="2472"/>
      <c r="B8" s="3814"/>
      <c r="C8" s="788"/>
      <c r="D8" s="789"/>
      <c r="E8" s="784" t="s">
        <v>1741</v>
      </c>
      <c r="F8" s="785">
        <f ca="1">INDIRECT("'数据-取费表'!ai"&amp;$G$1)</f>
        <v>365</v>
      </c>
      <c r="G8" s="1593"/>
      <c r="H8" s="2468"/>
      <c r="I8" s="3814"/>
      <c r="J8" s="788"/>
      <c r="K8" s="789"/>
      <c r="L8" s="784" t="s">
        <v>1741</v>
      </c>
      <c r="M8" s="785">
        <f ca="1">INDIRECT("'数据-取费表'!ai"&amp;$G$1)</f>
        <v>365</v>
      </c>
    </row>
    <row r="9" spans="1:33" ht="18" customHeight="1">
      <c r="A9" s="786"/>
      <c r="B9" s="3815"/>
      <c r="C9" s="788"/>
      <c r="D9" s="789"/>
      <c r="E9" s="784" t="s">
        <v>1742</v>
      </c>
      <c r="F9" s="794">
        <f ca="1">INDIRECT("'数据-取费表'!w"&amp;$G$1)</f>
        <v>0.1</v>
      </c>
      <c r="G9" s="1593"/>
      <c r="H9" s="2484"/>
      <c r="I9" s="3814"/>
      <c r="J9" s="788"/>
      <c r="K9" s="789"/>
      <c r="L9" s="795" t="s">
        <v>1742</v>
      </c>
      <c r="M9" s="796">
        <f ca="1">INDIRECT("'数据-取费表'!ab"&amp;$G$1)</f>
        <v>0</v>
      </c>
    </row>
    <row r="10" spans="1:33" ht="18" customHeight="1">
      <c r="A10" s="1830" t="s">
        <v>2467</v>
      </c>
      <c r="B10" s="2473" t="s">
        <v>2460</v>
      </c>
      <c r="C10" s="799">
        <f ca="1">ROUND(IF(F10="押一",C6/12*F11,IF(F10="押二",C6/12*2*F11,IF(F10="押三",C6/12*3*F11,C11*F11))),0)</f>
        <v>1</v>
      </c>
      <c r="D10" s="2480" t="s">
        <v>2976</v>
      </c>
      <c r="E10" s="2477" t="s">
        <v>2465</v>
      </c>
      <c r="F10" s="2600" t="s">
        <v>3091</v>
      </c>
      <c r="G10" s="1593"/>
      <c r="H10" s="2540" t="s">
        <v>2470</v>
      </c>
      <c r="I10" s="2545" t="s">
        <v>2460</v>
      </c>
      <c r="J10" s="783">
        <f ca="1">ROUND(IF(M10="押一",J6/12*M11,IF(M10="押二",J6/12*2*M11,IF(M10="押三",J6/12*3*M11,J11*M11))),0)</f>
        <v>0</v>
      </c>
      <c r="K10" s="2480" t="s">
        <v>2976</v>
      </c>
      <c r="L10" s="2477" t="s">
        <v>2465</v>
      </c>
      <c r="M10" s="2600"/>
    </row>
    <row r="11" spans="1:33" ht="18" customHeight="1">
      <c r="A11" s="790"/>
      <c r="B11" s="2474" t="s">
        <v>2574</v>
      </c>
      <c r="C11" s="2478"/>
      <c r="D11" s="789"/>
      <c r="E11" s="2477" t="s">
        <v>2466</v>
      </c>
      <c r="F11" s="796">
        <f ca="1">'数据-取费表'!B39</f>
        <v>1.4999999999999999E-2</v>
      </c>
      <c r="G11" s="1593"/>
      <c r="H11" s="2541"/>
      <c r="I11" s="2474" t="s">
        <v>2574</v>
      </c>
      <c r="J11" s="2478"/>
      <c r="K11" s="2542"/>
      <c r="L11" s="2477" t="s">
        <v>2466</v>
      </c>
      <c r="M11" s="2471">
        <f ca="1">'数据-取费表'!B39</f>
        <v>1.4999999999999999E-2</v>
      </c>
    </row>
    <row r="12" spans="1:33" ht="18" customHeight="1" thickBot="1">
      <c r="A12" s="2516" t="s">
        <v>2468</v>
      </c>
      <c r="B12" s="2517" t="s">
        <v>2461</v>
      </c>
      <c r="C12" s="2518"/>
      <c r="D12" s="2519"/>
      <c r="E12" s="2520"/>
      <c r="F12" s="2521"/>
      <c r="G12" s="1593"/>
      <c r="H12" s="2530" t="s">
        <v>2471</v>
      </c>
      <c r="I12" s="2543" t="s">
        <v>2461</v>
      </c>
      <c r="J12" s="2544"/>
      <c r="K12" s="2519"/>
      <c r="L12" s="2520"/>
      <c r="M12" s="2533"/>
    </row>
    <row r="13" spans="1:33" ht="18" customHeight="1" thickTop="1">
      <c r="A13" s="1829">
        <v>2</v>
      </c>
      <c r="B13" s="1827" t="s">
        <v>1743</v>
      </c>
      <c r="C13" s="792">
        <f ca="1">ROUND(C29*F13,0)</f>
        <v>3132</v>
      </c>
      <c r="D13" s="1834" t="s">
        <v>2298</v>
      </c>
      <c r="E13" s="1834" t="s">
        <v>1745</v>
      </c>
      <c r="F13" s="2515">
        <f ca="1">INDIRECT("'数据-取费表'!y"&amp;$G$1)</f>
        <v>1</v>
      </c>
      <c r="G13" s="1593"/>
      <c r="H13" s="1829">
        <v>2</v>
      </c>
      <c r="I13" s="1827" t="s">
        <v>1743</v>
      </c>
      <c r="J13" s="1819">
        <f ca="1">ROUND(J14*J15,0)</f>
        <v>0</v>
      </c>
      <c r="K13" s="1821" t="s">
        <v>1744</v>
      </c>
      <c r="L13" s="2531"/>
      <c r="M13" s="2532"/>
    </row>
    <row r="14" spans="1:33" ht="18" customHeight="1">
      <c r="A14" s="1649" t="s">
        <v>1885</v>
      </c>
      <c r="B14" s="784" t="s">
        <v>645</v>
      </c>
      <c r="C14" s="804">
        <f ca="1">INDIRECT("'数据-取费表'!m"&amp;$G$1)+INDIRECT("'数据-取费表'!t"&amp;$G$1)</f>
        <v>2025</v>
      </c>
      <c r="D14" s="1979" t="s">
        <v>1746</v>
      </c>
      <c r="E14" s="1980"/>
      <c r="F14" s="805"/>
      <c r="G14" s="1593"/>
      <c r="H14" s="1650" t="s">
        <v>1831</v>
      </c>
      <c r="I14" s="2231" t="s">
        <v>2827</v>
      </c>
      <c r="J14" s="53">
        <f ca="1">C29</f>
        <v>3132</v>
      </c>
      <c r="K14" s="26"/>
      <c r="L14" s="801"/>
      <c r="M14" s="802"/>
    </row>
    <row r="15" spans="1:33" s="2064" customFormat="1" ht="18" customHeight="1" thickBot="1">
      <c r="A15" s="1649" t="s">
        <v>1886</v>
      </c>
      <c r="B15" s="784" t="s">
        <v>647</v>
      </c>
      <c r="C15" s="53">
        <f ca="1">ROUND(C14*F15,0)</f>
        <v>61</v>
      </c>
      <c r="D15" s="806" t="s">
        <v>1747</v>
      </c>
      <c r="E15" s="806" t="s">
        <v>1748</v>
      </c>
      <c r="F15" s="807">
        <f>'数据-取费表'!B33</f>
        <v>0.03</v>
      </c>
      <c r="G15" s="1594"/>
      <c r="H15" s="2530" t="s">
        <v>1890</v>
      </c>
      <c r="I15" s="2525" t="s">
        <v>1745</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29" t="s">
        <v>1749</v>
      </c>
      <c r="I16" s="1827" t="s">
        <v>1750</v>
      </c>
      <c r="J16" s="792">
        <f ca="1">ROUND(J17+J22+J23+J24,0)</f>
        <v>295</v>
      </c>
      <c r="K16" s="1821" t="s">
        <v>1751</v>
      </c>
      <c r="L16" s="2465"/>
      <c r="M16" s="2470"/>
    </row>
    <row r="17" spans="1:33" s="2064" customFormat="1" ht="18" customHeight="1">
      <c r="A17" s="1649" t="s">
        <v>1888</v>
      </c>
      <c r="B17" s="784" t="s">
        <v>653</v>
      </c>
      <c r="C17" s="53">
        <f ca="1">ROUND(F17*(F43+INDIRECT("'数据-取费表'!S"&amp;$G$1))/10000,0)</f>
        <v>153</v>
      </c>
      <c r="D17" s="784" t="s">
        <v>1752</v>
      </c>
      <c r="E17" s="784" t="s">
        <v>1753</v>
      </c>
      <c r="F17" s="56">
        <f>'数据-取费表'!B35</f>
        <v>200</v>
      </c>
      <c r="G17" s="1594"/>
      <c r="H17" s="1650" t="s">
        <v>1831</v>
      </c>
      <c r="I17" s="784" t="s">
        <v>656</v>
      </c>
      <c r="J17" s="53">
        <f ca="1">ROUND(IF(项目基本情况!B11="自然人",J5*M17,J18+J19+J20),0)</f>
        <v>264</v>
      </c>
      <c r="K17" s="2464" t="s">
        <v>1754</v>
      </c>
      <c r="L17" s="2463" t="s">
        <v>1755</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4" t="s">
        <v>659</v>
      </c>
      <c r="C18" s="53">
        <f ca="1">ROUND(C14*F18,0)</f>
        <v>30</v>
      </c>
      <c r="D18" s="784" t="s">
        <v>1747</v>
      </c>
      <c r="E18" s="784" t="s">
        <v>1748</v>
      </c>
      <c r="F18" s="809">
        <f>'数据-取费表'!B36</f>
        <v>1.4999999999999999E-2</v>
      </c>
      <c r="G18" s="1594"/>
      <c r="H18" s="1649" t="s">
        <v>1885</v>
      </c>
      <c r="I18" s="784" t="s">
        <v>1756</v>
      </c>
      <c r="J18" s="53">
        <f ca="1">ROUND(J5*M18/1.05,1)</f>
        <v>0</v>
      </c>
      <c r="K18" s="2463" t="s">
        <v>1757</v>
      </c>
      <c r="L18" s="784" t="s">
        <v>1748</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50" t="s">
        <v>1831</v>
      </c>
      <c r="B19" s="784" t="s">
        <v>662</v>
      </c>
      <c r="C19" s="53">
        <f ca="1">SUM(C14:C18)</f>
        <v>2269</v>
      </c>
      <c r="D19" s="261" t="s">
        <v>1758</v>
      </c>
      <c r="E19" s="1982"/>
      <c r="F19" s="56"/>
      <c r="G19" s="1593"/>
      <c r="H19" s="1649" t="s">
        <v>1886</v>
      </c>
      <c r="I19" s="784" t="s">
        <v>1759</v>
      </c>
      <c r="J19" s="53">
        <f ca="1">IF(K19="按租金收入计税",ROUND(J5*M19,1),ROUND(C29*F33*0.7,1))</f>
        <v>263.10000000000002</v>
      </c>
      <c r="K19" s="811" t="s">
        <v>665</v>
      </c>
      <c r="L19" s="784" t="s">
        <v>1748</v>
      </c>
      <c r="M19" s="809">
        <f>IF(K19="按租金收入计税",'数据-取费表'!B51,'数据-取费表'!B50)</f>
        <v>1.2E-2</v>
      </c>
    </row>
    <row r="20" spans="1:33" s="2064" customFormat="1" ht="18" customHeight="1">
      <c r="A20" s="1650" t="s">
        <v>1890</v>
      </c>
      <c r="B20" s="784" t="s">
        <v>666</v>
      </c>
      <c r="C20" s="53">
        <f ca="1">ROUND(C19*F20,0)</f>
        <v>45</v>
      </c>
      <c r="D20" s="812" t="s">
        <v>1760</v>
      </c>
      <c r="E20" s="784" t="s">
        <v>1748</v>
      </c>
      <c r="F20" s="809">
        <f>'数据-取费表'!B37</f>
        <v>0.02</v>
      </c>
      <c r="G20" s="1594"/>
      <c r="H20" s="1652" t="s">
        <v>1881</v>
      </c>
      <c r="I20" s="341" t="s">
        <v>1761</v>
      </c>
      <c r="J20" s="54">
        <f ca="1">ROUND(M20*M21/10000,0)</f>
        <v>1</v>
      </c>
      <c r="K20" s="814" t="s">
        <v>1762</v>
      </c>
      <c r="L20" s="784" t="s">
        <v>1763</v>
      </c>
      <c r="M20" s="640">
        <f>'数据-取费表'!B52</f>
        <v>3.5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4" t="s">
        <v>1764</v>
      </c>
      <c r="C21" s="53" t="s">
        <v>1765</v>
      </c>
      <c r="D21" s="812" t="s">
        <v>2299</v>
      </c>
      <c r="E21" s="784" t="s">
        <v>1766</v>
      </c>
      <c r="F21" s="809">
        <f>'数据-取费表'!B38</f>
        <v>0.02</v>
      </c>
      <c r="G21" s="1594"/>
      <c r="H21" s="2485"/>
      <c r="I21" s="793"/>
      <c r="J21" s="69"/>
      <c r="K21" s="816"/>
      <c r="L21" s="784" t="s">
        <v>1767</v>
      </c>
      <c r="M21" s="785">
        <f ca="1">INDIRECT("'数据-取费表'!r"&amp;$G$1)</f>
        <v>2183.09</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4" t="s">
        <v>1768</v>
      </c>
      <c r="C22" s="53"/>
      <c r="D22" s="2551" t="str">
        <f>IF(F23&lt;=1,"单利计息。","复利计息。")&amp;"建造成本、管理费用、销售费用产生的利息。"</f>
        <v>复利计息。建造成本、管理费用、销售费用产生的利息。</v>
      </c>
      <c r="E22" s="1982"/>
      <c r="F22" s="56"/>
      <c r="G22" s="1593"/>
      <c r="H22" s="1650" t="s">
        <v>1890</v>
      </c>
      <c r="I22" s="784" t="s">
        <v>1769</v>
      </c>
      <c r="J22" s="53">
        <f ca="1">ROUND(J14*M22,0)</f>
        <v>31</v>
      </c>
      <c r="K22" s="2463" t="s">
        <v>1770</v>
      </c>
      <c r="L22" s="784" t="s">
        <v>1748</v>
      </c>
      <c r="M22" s="817">
        <f ca="1">INDIRECT("'数据-取费表'!Ak"&amp;$G$1)</f>
        <v>0.01</v>
      </c>
    </row>
    <row r="23" spans="1:33" s="2064" customFormat="1" ht="18" customHeight="1">
      <c r="A23" s="1649" t="s">
        <v>1832</v>
      </c>
      <c r="B23" s="784" t="s">
        <v>2536</v>
      </c>
      <c r="C23" s="53">
        <f ca="1">ROUND(IF('数据-取费表'!B22&lt;=1,(C19+C20)*F24*F23/2,(C19+C20)*(POWER((1+F24),F23/2)-1)),0)</f>
        <v>110</v>
      </c>
      <c r="D23" s="2550"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3" t="s">
        <v>1772</v>
      </c>
      <c r="L23" s="784" t="s">
        <v>1748</v>
      </c>
      <c r="M23" s="818">
        <f ca="1">INDIRECT("'数据-取费表'!Al"&amp;$G$1)</f>
        <v>1E-3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4" t="s">
        <v>1773</v>
      </c>
      <c r="C24" s="53">
        <f ca="1">ROUND(IF('数据-取费表'!B22&lt;=1,F21*F24*F23/2,F21*(POWER((1+F24),F23/2)-1)),4)</f>
        <v>1E-3</v>
      </c>
      <c r="D24" s="2550" t="str">
        <f>IF(F23&lt;=1,"销售费用×利率×(建设周期÷2)","销售费用×((1+利率)^(建设周期÷2)-1)")</f>
        <v>销售费用×((1+利率)^(建设周期÷2)-1)</v>
      </c>
      <c r="E24" s="784" t="s">
        <v>1774</v>
      </c>
      <c r="F24" s="819">
        <f ca="1">'数据-取费表'!B40</f>
        <v>4.7500000000000001E-2</v>
      </c>
      <c r="G24" s="1594"/>
      <c r="H24" s="2530" t="s">
        <v>1892</v>
      </c>
      <c r="I24" s="2525" t="s">
        <v>666</v>
      </c>
      <c r="J24" s="2523">
        <f ca="1">ROUND(J5*M24,0)</f>
        <v>0</v>
      </c>
      <c r="K24" s="2524" t="s">
        <v>1775</v>
      </c>
      <c r="L24" s="2525" t="s">
        <v>1748</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4" t="s">
        <v>684</v>
      </c>
      <c r="C25" s="53"/>
      <c r="D25" s="261" t="s">
        <v>1776</v>
      </c>
      <c r="E25" s="1982"/>
      <c r="F25" s="56"/>
      <c r="G25" s="1593"/>
      <c r="H25" s="1829" t="s">
        <v>1777</v>
      </c>
      <c r="I25" s="2985" t="s">
        <v>2823</v>
      </c>
      <c r="J25" s="792">
        <f ca="1">J5-J16</f>
        <v>-295</v>
      </c>
      <c r="K25" s="2527" t="s">
        <v>1778</v>
      </c>
      <c r="L25" s="2528"/>
      <c r="M25" s="2529"/>
    </row>
    <row r="26" spans="1:33" ht="18" customHeight="1">
      <c r="A26" s="1649" t="s">
        <v>1832</v>
      </c>
      <c r="B26" s="784" t="s">
        <v>2439</v>
      </c>
      <c r="C26" s="53">
        <f ca="1">ROUND((C19+C20)*F26,0)</f>
        <v>463</v>
      </c>
      <c r="D26" s="812" t="s">
        <v>1779</v>
      </c>
      <c r="E26" s="795" t="s">
        <v>1780</v>
      </c>
      <c r="F26" s="794">
        <f ca="1">INDIRECT("'数据-取费表'!q"&amp;$G$1)</f>
        <v>0.2</v>
      </c>
      <c r="G26" s="1593"/>
      <c r="H26" s="2481" t="s">
        <v>1781</v>
      </c>
      <c r="I26" s="2232" t="s">
        <v>2828</v>
      </c>
      <c r="J26" s="783">
        <f ca="1">IF(J5&lt;&gt;0,ROUND(J25*(1-((1+M28)/(1+M26))^M27)/(M26-M28),0),0)</f>
        <v>0</v>
      </c>
      <c r="K26" s="814" t="s">
        <v>1782</v>
      </c>
      <c r="L26" s="784" t="s">
        <v>2420</v>
      </c>
      <c r="M26" s="794">
        <f ca="1">INDIRECT("'数据-取费表'!I"&amp;$G$1)</f>
        <v>5.5E-2</v>
      </c>
    </row>
    <row r="27" spans="1:33" ht="18" customHeight="1">
      <c r="A27" s="1649" t="s">
        <v>1833</v>
      </c>
      <c r="B27" s="784" t="s">
        <v>686</v>
      </c>
      <c r="C27" s="53">
        <f ca="1">ROUND(F21*F26,4)</f>
        <v>4.0000000000000001E-3</v>
      </c>
      <c r="D27" s="812" t="s">
        <v>1783</v>
      </c>
      <c r="E27" s="806"/>
      <c r="F27" s="807"/>
      <c r="G27" s="1593"/>
      <c r="H27" s="2482"/>
      <c r="I27" s="787"/>
      <c r="J27" s="788"/>
      <c r="K27" s="821" t="s">
        <v>1784</v>
      </c>
      <c r="L27" s="784" t="s">
        <v>1785</v>
      </c>
      <c r="M27" s="822">
        <f ca="1">INDIRECT("'数据-取费表'!ag"&amp;$G$1)</f>
        <v>0</v>
      </c>
    </row>
    <row r="28" spans="1:33" s="2064" customFormat="1" ht="18" customHeight="1">
      <c r="A28" s="1651" t="s">
        <v>1842</v>
      </c>
      <c r="B28" s="784" t="s">
        <v>687</v>
      </c>
      <c r="C28" s="53">
        <f>ROUND(F28/(1+'数据-取费表'!C42),4)</f>
        <v>5.33E-2</v>
      </c>
      <c r="D28" s="812" t="s">
        <v>2300</v>
      </c>
      <c r="E28" s="784" t="s">
        <v>1786</v>
      </c>
      <c r="F28" s="809">
        <f>'数据-取费表'!B41</f>
        <v>5.6000000000000001E-2</v>
      </c>
      <c r="G28" s="1594"/>
      <c r="H28" s="1829"/>
      <c r="I28" s="791"/>
      <c r="J28" s="792"/>
      <c r="K28" s="816"/>
      <c r="L28" s="784" t="s">
        <v>1787</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2301</v>
      </c>
      <c r="C29" s="2523">
        <f ca="1">ROUND((C19+C20+C23+C26)/(1-F21-C24-C27-C28),0)</f>
        <v>3132</v>
      </c>
      <c r="D29" s="2524"/>
      <c r="E29" s="2525"/>
      <c r="F29" s="2526"/>
      <c r="G29" s="1594"/>
      <c r="H29" s="823" t="s">
        <v>1788</v>
      </c>
      <c r="I29" s="824" t="s">
        <v>1789</v>
      </c>
      <c r="J29" s="825">
        <f ca="1">ROUND(J26/(1+F40)^F41,0)</f>
        <v>0</v>
      </c>
      <c r="K29" s="826" t="s">
        <v>1790</v>
      </c>
      <c r="L29" s="827"/>
      <c r="M29" s="828">
        <f ca="1">INDIRECT("'数据-取费表'!k"&amp;$G$1)</f>
        <v>7640.8289999999979</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127</v>
      </c>
      <c r="D30" s="1821" t="s">
        <v>1792</v>
      </c>
      <c r="E30" s="2465"/>
      <c r="F30" s="2470"/>
      <c r="G30" s="2062"/>
      <c r="H30" s="2065"/>
      <c r="I30" s="2066"/>
      <c r="J30" s="2067"/>
      <c r="K30" s="2068"/>
      <c r="L30" s="2069"/>
      <c r="M30" s="2070"/>
    </row>
    <row r="31" spans="1:33" ht="18" customHeight="1">
      <c r="A31" s="1650" t="s">
        <v>1831</v>
      </c>
      <c r="B31" s="784" t="s">
        <v>656</v>
      </c>
      <c r="C31" s="53">
        <f ca="1">ROUND(IF(项目基本情况!B11="自然人",C5*F31,C32+C33+C34),1)</f>
        <v>88</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4" t="s">
        <v>1795</v>
      </c>
      <c r="C32" s="53">
        <f ca="1">ROUND(C5*F32/1.05,1)</f>
        <v>26.8</v>
      </c>
      <c r="D32" s="1977" t="s">
        <v>1796</v>
      </c>
      <c r="E32" s="784" t="s">
        <v>1797</v>
      </c>
      <c r="F32" s="809">
        <f>'数据-取费表'!B41</f>
        <v>5.6000000000000001E-2</v>
      </c>
      <c r="G32" s="2062"/>
      <c r="H32" s="2071"/>
      <c r="I32" s="2072"/>
      <c r="J32" s="2073"/>
      <c r="K32" s="2074"/>
      <c r="L32" s="2075"/>
      <c r="M32" s="2076"/>
    </row>
    <row r="33" spans="1:18" ht="18" customHeight="1">
      <c r="A33" s="1649" t="s">
        <v>1833</v>
      </c>
      <c r="B33" s="784" t="s">
        <v>1798</v>
      </c>
      <c r="C33" s="53">
        <f ca="1">IF(D33="按租金收入计税",ROUND(C5*F33,1),IF(D33="按房产原值计税",ROUND(C29*F33*0.7,1),INDIRECT("'数据-取费表'!Aj"&amp;$G$1)))</f>
        <v>60.4</v>
      </c>
      <c r="D33" s="811" t="s">
        <v>3092</v>
      </c>
      <c r="E33" s="784" t="s">
        <v>1797</v>
      </c>
      <c r="F33" s="809">
        <f>IF(D33="按租金收入计税",'数据-取费表'!B51,'数据-取费表'!B50)</f>
        <v>0.12</v>
      </c>
      <c r="G33" s="2062"/>
      <c r="H33" s="2077"/>
      <c r="I33" s="2077"/>
      <c r="J33" s="2077"/>
      <c r="K33" s="2078"/>
      <c r="L33" s="2077"/>
      <c r="M33" s="2077"/>
    </row>
    <row r="34" spans="1:18" ht="18" customHeight="1">
      <c r="A34" s="1652" t="s">
        <v>1834</v>
      </c>
      <c r="B34" s="341" t="s">
        <v>1799</v>
      </c>
      <c r="C34" s="54">
        <f ca="1">ROUND(F34*F35/10000,1)</f>
        <v>0.8</v>
      </c>
      <c r="D34" s="814" t="s">
        <v>1800</v>
      </c>
      <c r="E34" s="784" t="s">
        <v>1801</v>
      </c>
      <c r="F34" s="640">
        <f>'数据-取费表'!B52</f>
        <v>3.5</v>
      </c>
      <c r="G34" s="2062"/>
      <c r="H34" s="2065"/>
      <c r="I34" s="835" t="s">
        <v>1814</v>
      </c>
      <c r="J34" s="836"/>
      <c r="K34" s="2080"/>
      <c r="L34" s="2079"/>
      <c r="M34" s="2079"/>
    </row>
    <row r="35" spans="1:18" ht="18" customHeight="1">
      <c r="A35" s="815"/>
      <c r="B35" s="793"/>
      <c r="C35" s="69"/>
      <c r="D35" s="816"/>
      <c r="E35" s="784" t="s">
        <v>1802</v>
      </c>
      <c r="F35" s="785">
        <f ca="1">INDIRECT("'数据-取费表'!r"&amp;$G$1)</f>
        <v>2183.09</v>
      </c>
      <c r="G35" s="2062"/>
      <c r="H35" s="2065"/>
      <c r="I35" s="837" t="s">
        <v>1815</v>
      </c>
      <c r="J35" s="838">
        <f ca="1">ROUND(C13*J36,0)</f>
        <v>266</v>
      </c>
      <c r="K35" s="2078"/>
      <c r="L35" s="2077"/>
      <c r="M35" s="2077"/>
    </row>
    <row r="36" spans="1:18" ht="18" customHeight="1">
      <c r="A36" s="1650" t="s">
        <v>1890</v>
      </c>
      <c r="B36" s="784" t="s">
        <v>1803</v>
      </c>
      <c r="C36" s="53">
        <f ca="1">ROUND(C29*F36,1)</f>
        <v>31.3</v>
      </c>
      <c r="D36" s="1977" t="s">
        <v>1804</v>
      </c>
      <c r="E36" s="784" t="s">
        <v>1797</v>
      </c>
      <c r="F36" s="817">
        <f ca="1">INDIRECT("'数据-取费表'!Ak"&amp;$G$1)</f>
        <v>0.01</v>
      </c>
      <c r="G36" s="2062"/>
      <c r="H36" s="2077"/>
      <c r="I36" s="839" t="s">
        <v>1816</v>
      </c>
      <c r="J36" s="840">
        <f ca="1">INDIRECT("'数据-取费表'!j"&amp;$G$1)</f>
        <v>8.5000000000000006E-2</v>
      </c>
      <c r="K36" s="2082"/>
      <c r="L36" s="2077"/>
      <c r="M36" s="2077"/>
    </row>
    <row r="37" spans="1:18" ht="18" customHeight="1">
      <c r="A37" s="1650" t="s">
        <v>1891</v>
      </c>
      <c r="B37" s="784" t="s">
        <v>679</v>
      </c>
      <c r="C37" s="53">
        <f ca="1">ROUND(C13*F37,1)</f>
        <v>3.1</v>
      </c>
      <c r="D37" s="1977" t="s">
        <v>1805</v>
      </c>
      <c r="E37" s="784" t="s">
        <v>1797</v>
      </c>
      <c r="F37" s="818">
        <f ca="1">INDIRECT("'数据-取费表'!Al"&amp;$G$1)</f>
        <v>1E-3</v>
      </c>
      <c r="G37" s="2062"/>
      <c r="H37" s="2077"/>
      <c r="I37" s="841" t="s">
        <v>1817</v>
      </c>
      <c r="J37" s="842"/>
      <c r="K37" s="2082"/>
      <c r="L37" s="2077"/>
      <c r="M37" s="2077"/>
    </row>
    <row r="38" spans="1:18" ht="18" customHeight="1" thickBot="1">
      <c r="A38" s="2530" t="s">
        <v>1892</v>
      </c>
      <c r="B38" s="2525" t="s">
        <v>666</v>
      </c>
      <c r="C38" s="2523">
        <f ca="1">ROUND(C5*F38,1)</f>
        <v>5</v>
      </c>
      <c r="D38" s="2524" t="s">
        <v>1806</v>
      </c>
      <c r="E38" s="2525" t="s">
        <v>1797</v>
      </c>
      <c r="F38" s="2521">
        <f ca="1">INDIRECT("'数据-取费表'!Am"&amp;$G$1)</f>
        <v>0.01</v>
      </c>
      <c r="G38" s="2062"/>
      <c r="H38" s="2077"/>
      <c r="I38" s="843" t="s">
        <v>1818</v>
      </c>
      <c r="J38" s="844"/>
      <c r="K38" s="2083"/>
      <c r="L38" s="2077"/>
      <c r="M38" s="2077"/>
    </row>
    <row r="39" spans="1:18" ht="24.6" customHeight="1" thickTop="1">
      <c r="A39" s="1829" t="s">
        <v>1895</v>
      </c>
      <c r="B39" s="2985" t="s">
        <v>2823</v>
      </c>
      <c r="C39" s="792">
        <f ca="1">C5-C30</f>
        <v>376</v>
      </c>
      <c r="D39" s="2527" t="s">
        <v>1807</v>
      </c>
      <c r="E39" s="2528"/>
      <c r="F39" s="2529"/>
      <c r="G39" s="2062"/>
      <c r="H39" s="2077"/>
      <c r="I39" s="837" t="s">
        <v>1819</v>
      </c>
      <c r="J39" s="845">
        <f ca="1">ROUND(J35/C39,3)</f>
        <v>0.70699999999999996</v>
      </c>
      <c r="K39" s="2083"/>
      <c r="L39" s="2077"/>
      <c r="M39" s="2077"/>
    </row>
    <row r="40" spans="1:18" ht="18" customHeight="1">
      <c r="A40" s="781" t="s">
        <v>1896</v>
      </c>
      <c r="B40" s="2232" t="s">
        <v>2302</v>
      </c>
      <c r="C40" s="783">
        <f ca="1">ROUND(C39*(1-((1+F42)/(1+F40))^F41)/(F40-F42),0)</f>
        <v>8562</v>
      </c>
      <c r="D40" s="814" t="s">
        <v>1808</v>
      </c>
      <c r="E40" s="784" t="s">
        <v>2420</v>
      </c>
      <c r="F40" s="794">
        <f ca="1">INDIRECT("'数据-取费表'!I"&amp;$G$1)</f>
        <v>5.5E-2</v>
      </c>
      <c r="G40" s="2062"/>
      <c r="H40" s="2062"/>
      <c r="I40" s="837" t="s">
        <v>1820</v>
      </c>
      <c r="J40" s="845">
        <f ca="1">1-J39</f>
        <v>0.29300000000000004</v>
      </c>
      <c r="K40" s="2083"/>
      <c r="L40" s="2062"/>
      <c r="M40" s="2062"/>
    </row>
    <row r="41" spans="1:18" ht="18" customHeight="1">
      <c r="A41" s="786"/>
      <c r="B41" s="787"/>
      <c r="C41" s="788"/>
      <c r="D41" s="821" t="s">
        <v>1809</v>
      </c>
      <c r="E41" s="784" t="s">
        <v>2966</v>
      </c>
      <c r="F41" s="822">
        <f ca="1">IF(INDIRECT("'数据-取费表'!af"&amp;$G$1)=0,INDIRECT("'数据-取费表'!ae"&amp;$G$1),INDIRECT("'数据-取费表'!af"&amp;$G$1))</f>
        <v>39.840000000000003</v>
      </c>
      <c r="G41" s="2062"/>
      <c r="H41" s="1988"/>
      <c r="I41" s="843" t="s">
        <v>1821</v>
      </c>
      <c r="J41" s="846"/>
      <c r="K41" s="2082"/>
      <c r="L41" s="1988"/>
      <c r="M41" s="1988"/>
    </row>
    <row r="42" spans="1:18" ht="18" customHeight="1">
      <c r="A42" s="790"/>
      <c r="B42" s="791"/>
      <c r="C42" s="792"/>
      <c r="D42" s="816"/>
      <c r="E42" s="784" t="s">
        <v>1810</v>
      </c>
      <c r="F42" s="794">
        <f ca="1">INDIRECT("'数据-取费表'!v"&amp;$G$1)</f>
        <v>2.5000000000000001E-2</v>
      </c>
      <c r="G42" s="2062"/>
      <c r="H42" s="1988"/>
      <c r="I42" s="847" t="s">
        <v>1822</v>
      </c>
      <c r="J42" s="845">
        <f ca="1">ROUND(C13/C40,3)</f>
        <v>0.36599999999999999</v>
      </c>
      <c r="K42" s="2082"/>
      <c r="L42" s="1988"/>
      <c r="M42" s="1988"/>
    </row>
    <row r="43" spans="1:18" ht="18" customHeight="1" thickBot="1">
      <c r="A43" s="823" t="s">
        <v>1788</v>
      </c>
      <c r="B43" s="824" t="s">
        <v>1811</v>
      </c>
      <c r="C43" s="825">
        <f ca="1">ROUND(C40*10000/F43,0)</f>
        <v>11206</v>
      </c>
      <c r="D43" s="826" t="s">
        <v>1812</v>
      </c>
      <c r="E43" s="827" t="s">
        <v>1813</v>
      </c>
      <c r="F43" s="828">
        <f ca="1">INDIRECT("'数据-取费表'!k"&amp;$G$1)</f>
        <v>7640.8289999999979</v>
      </c>
      <c r="G43" s="2062"/>
      <c r="H43" s="1988"/>
      <c r="I43" s="847" t="s">
        <v>1823</v>
      </c>
      <c r="J43" s="848">
        <f ca="1">1-J42</f>
        <v>0.63400000000000001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53">
        <f ca="1">C67-C40</f>
        <v>-9123</v>
      </c>
      <c r="D46" s="2085"/>
      <c r="E46" s="2085"/>
      <c r="F46" s="2085"/>
      <c r="I46" s="2357" t="s">
        <v>2344</v>
      </c>
      <c r="J46" s="2358"/>
      <c r="K46" s="2359"/>
      <c r="L46" s="3133" t="str">
        <f ca="1">IF(OR(M47="住宅",D1="土地（套用方法）"),0,IF(L48&gt;J51,L60,J60))</f>
        <v>0</v>
      </c>
      <c r="O46" s="2373" t="s">
        <v>2411</v>
      </c>
      <c r="P46" s="1593"/>
      <c r="Q46" s="1605"/>
      <c r="R46" s="1593"/>
    </row>
    <row r="47" spans="1:18" s="2059" customFormat="1" ht="18" customHeight="1" thickBot="1">
      <c r="A47" s="2351">
        <v>1</v>
      </c>
      <c r="B47" s="2352" t="s">
        <v>635</v>
      </c>
      <c r="C47" s="2553">
        <f ca="1">C48+C52+C54</f>
        <v>0</v>
      </c>
      <c r="D47" s="2085"/>
      <c r="E47" s="2085"/>
      <c r="F47" s="2085"/>
      <c r="I47" s="3123" t="s">
        <v>2345</v>
      </c>
      <c r="J47" s="2360" t="s">
        <v>3093</v>
      </c>
      <c r="K47" s="3130" t="s">
        <v>2350</v>
      </c>
      <c r="L47" s="3134">
        <f ca="1">INDIRECT("'数据-取费表'!d"&amp;$G$1)</f>
        <v>40</v>
      </c>
      <c r="M47" s="1605" t="str">
        <f>IF(ISNUMBER(FIND("住宅",C1)),"住宅","非住宅")</f>
        <v>非住宅</v>
      </c>
      <c r="O47" s="2374" t="s">
        <v>2376</v>
      </c>
      <c r="P47" s="2375" t="s">
        <v>2377</v>
      </c>
      <c r="Q47" s="2376" t="s">
        <v>2378</v>
      </c>
      <c r="R47" s="2375" t="s">
        <v>2379</v>
      </c>
    </row>
    <row r="48" spans="1:18" s="2059" customFormat="1" ht="18" customHeight="1" thickBot="1">
      <c r="A48" s="2621" t="s">
        <v>2538</v>
      </c>
      <c r="B48" s="2622" t="s">
        <v>2539</v>
      </c>
      <c r="C48" s="2353">
        <f ca="1">ROUND(F48*F50*F49*(1-F51)/10000,0)</f>
        <v>0</v>
      </c>
      <c r="D48" s="2354" t="s">
        <v>636</v>
      </c>
      <c r="E48" s="2355" t="s">
        <v>2297</v>
      </c>
      <c r="F48" s="2356"/>
      <c r="G48" s="2090"/>
      <c r="I48" s="3102" t="s">
        <v>2346</v>
      </c>
      <c r="J48" s="2361" t="s">
        <v>2351</v>
      </c>
      <c r="K48" s="3131" t="s">
        <v>2352</v>
      </c>
      <c r="L48" s="1908">
        <f ca="1">INDIRECT("'数据-取费表'!f"&amp;$G$1)</f>
        <v>39.840000000000003</v>
      </c>
      <c r="O48" s="2377" t="s">
        <v>2380</v>
      </c>
      <c r="P48" s="2378" t="s">
        <v>2406</v>
      </c>
      <c r="Q48" s="2379">
        <f ca="1">C40+J29</f>
        <v>8562</v>
      </c>
      <c r="R48" s="2378" t="s">
        <v>2381</v>
      </c>
    </row>
    <row r="49" spans="1:18" s="2059" customFormat="1" ht="18" customHeight="1" thickBot="1">
      <c r="A49" s="786"/>
      <c r="B49" s="787"/>
      <c r="C49" s="788"/>
      <c r="D49" s="789"/>
      <c r="E49" s="784" t="s">
        <v>1740</v>
      </c>
      <c r="F49" s="785">
        <f ca="1">F7</f>
        <v>7640.8289999999979</v>
      </c>
      <c r="G49" s="2090"/>
      <c r="H49" s="2093"/>
      <c r="I49" s="3102" t="s">
        <v>2347</v>
      </c>
      <c r="J49" s="2362">
        <v>2019</v>
      </c>
      <c r="K49" s="3132" t="s">
        <v>2353</v>
      </c>
      <c r="L49" s="2363"/>
      <c r="O49" s="2377" t="s">
        <v>2382</v>
      </c>
      <c r="P49" s="2378" t="s">
        <v>2407</v>
      </c>
      <c r="Q49" s="2379" t="str">
        <f ca="1">J60</f>
        <v>0</v>
      </c>
      <c r="R49" s="2378" t="s">
        <v>2383</v>
      </c>
    </row>
    <row r="50" spans="1:18" s="2059" customFormat="1" ht="18" customHeight="1" thickBot="1">
      <c r="A50" s="786"/>
      <c r="B50" s="787"/>
      <c r="C50" s="788"/>
      <c r="D50" s="789"/>
      <c r="E50" s="784" t="s">
        <v>1741</v>
      </c>
      <c r="F50" s="785">
        <f ca="1">F8</f>
        <v>365</v>
      </c>
      <c r="G50" s="2095"/>
      <c r="H50" s="2093"/>
      <c r="I50" s="3102" t="s">
        <v>2348</v>
      </c>
      <c r="J50" s="3127">
        <f>SUMPRODUCT((I63:I65=J47)*(J62:L62=J48)*(J63:L65))</f>
        <v>60</v>
      </c>
      <c r="K50" s="3132" t="s">
        <v>2354</v>
      </c>
      <c r="L50" s="2363"/>
      <c r="O50" s="2380" t="s">
        <v>2384</v>
      </c>
      <c r="P50" s="2378" t="s">
        <v>2408</v>
      </c>
      <c r="Q50" s="2379">
        <f ca="1">C29</f>
        <v>3132</v>
      </c>
      <c r="R50" s="2378" t="s">
        <v>2381</v>
      </c>
    </row>
    <row r="51" spans="1:18" s="2059" customFormat="1" ht="18" customHeight="1" thickBot="1">
      <c r="A51" s="786"/>
      <c r="B51" s="787"/>
      <c r="C51" s="788"/>
      <c r="D51" s="789"/>
      <c r="E51" s="784" t="s">
        <v>640</v>
      </c>
      <c r="F51" s="2350"/>
      <c r="H51" s="2093"/>
      <c r="I51" s="3124" t="s">
        <v>2349</v>
      </c>
      <c r="J51" s="3128">
        <f>IF(J49="",J50,J49+J50-YEAR('数据-取费表'!B2))</f>
        <v>60</v>
      </c>
      <c r="K51" s="3102" t="s">
        <v>2355</v>
      </c>
      <c r="L51" s="3135">
        <f ca="1">ROUND(-PV(INDIRECT("'数据-取费表'!h"&amp;$G$1),L48,(C39-C13*J36),0),0)</f>
        <v>1881</v>
      </c>
      <c r="O51" s="2380" t="s">
        <v>2385</v>
      </c>
      <c r="P51" s="2378" t="s">
        <v>2386</v>
      </c>
      <c r="Q51" s="2381" t="e">
        <f ca="1">J58</f>
        <v>#VALUE!</v>
      </c>
      <c r="R51" s="2382"/>
    </row>
    <row r="52" spans="1:18" s="2059" customFormat="1" ht="18" customHeight="1" thickBot="1">
      <c r="A52" s="781" t="s">
        <v>2537</v>
      </c>
      <c r="B52" s="2473" t="s">
        <v>2460</v>
      </c>
      <c r="C52" s="799">
        <f ca="1">ROUND(IF(F52="押一",C48/12*F11,IF(F52="押二",C48/12*2*F11,IF(F52="押三",C48/12*3*F11,C53*F11))),0)</f>
        <v>0</v>
      </c>
      <c r="D52" s="2480" t="s">
        <v>2977</v>
      </c>
      <c r="E52" s="2477" t="s">
        <v>2465</v>
      </c>
      <c r="F52" s="2600"/>
      <c r="I52" s="3125" t="s">
        <v>2422</v>
      </c>
      <c r="J52" s="2364">
        <v>0.09</v>
      </c>
      <c r="K52" s="3125" t="s">
        <v>2421</v>
      </c>
      <c r="L52" s="2364"/>
      <c r="O52" s="2380" t="s">
        <v>2387</v>
      </c>
      <c r="P52" s="2378" t="s">
        <v>2388</v>
      </c>
      <c r="Q52" s="2381">
        <f>J52</f>
        <v>0.09</v>
      </c>
      <c r="R52" s="2382"/>
    </row>
    <row r="53" spans="1:18" s="2059" customFormat="1" ht="39.75" customHeight="1" thickBot="1">
      <c r="A53" s="786"/>
      <c r="B53" s="2474" t="s">
        <v>2574</v>
      </c>
      <c r="C53" s="2478"/>
      <c r="D53" s="2480"/>
      <c r="E53" s="2477"/>
      <c r="F53" s="800"/>
      <c r="I53" s="3126" t="s">
        <v>2980</v>
      </c>
      <c r="J53" s="3129">
        <f ca="1">IF(M47="住宅",IF(D1="——",MAX(J51,L48),MAX(J51,L48-'数据-取费表'!B20)),IF(D1="——",MIN(J51,L48),MIN(J51,L48-'数据-取费表'!B20)))</f>
        <v>39.840000000000003</v>
      </c>
      <c r="K53" s="3829" t="s">
        <v>2968</v>
      </c>
      <c r="L53" s="3830"/>
      <c r="O53" s="2380" t="s">
        <v>2389</v>
      </c>
      <c r="P53" s="2378" t="s">
        <v>2390</v>
      </c>
      <c r="Q53" s="2379">
        <f ca="1">J53</f>
        <v>39.840000000000003</v>
      </c>
      <c r="R53" s="2378" t="s">
        <v>2391</v>
      </c>
    </row>
    <row r="54" spans="1:18" s="2059" customFormat="1" ht="18" customHeight="1" thickBot="1">
      <c r="A54" s="2516" t="s">
        <v>2468</v>
      </c>
      <c r="B54" s="2517" t="s">
        <v>2461</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2392</v>
      </c>
      <c r="P54" s="2378" t="s">
        <v>2409</v>
      </c>
      <c r="Q54" s="2379">
        <f ca="1">Q48+Q49</f>
        <v>8562</v>
      </c>
      <c r="R54" s="2382" t="s">
        <v>2393</v>
      </c>
    </row>
    <row r="55" spans="1:18" s="2059" customFormat="1" ht="18" customHeight="1" thickTop="1" thickBot="1">
      <c r="A55" s="797">
        <v>2</v>
      </c>
      <c r="B55" s="798" t="s">
        <v>644</v>
      </c>
      <c r="C55" s="799">
        <f ca="1">C13</f>
        <v>3132</v>
      </c>
      <c r="D55" s="795"/>
      <c r="E55" s="795"/>
      <c r="F55" s="800"/>
      <c r="I55" s="3138" t="s">
        <v>2356</v>
      </c>
      <c r="J55" s="3077" t="e">
        <f ca="1">ROUND(IF(J47="钢混",J57/J50,1-(1-2%)*(J50-J57)/J50),3)</f>
        <v>#VALUE!</v>
      </c>
      <c r="K55" s="3139" t="s">
        <v>2357</v>
      </c>
      <c r="L55" s="2365"/>
      <c r="O55" s="2383" t="s">
        <v>2412</v>
      </c>
      <c r="P55" s="1593"/>
      <c r="Q55" s="1605"/>
      <c r="R55" s="1593"/>
    </row>
    <row r="56" spans="1:18" s="2059" customFormat="1" ht="42.75" customHeight="1" thickBot="1">
      <c r="A56" s="1651"/>
      <c r="B56" s="2231" t="s">
        <v>2303</v>
      </c>
      <c r="C56" s="53">
        <f ca="1">C29</f>
        <v>3132</v>
      </c>
      <c r="D56" s="2618"/>
      <c r="E56" s="784"/>
      <c r="F56" s="809"/>
      <c r="I56" s="3140" t="s">
        <v>2358</v>
      </c>
      <c r="J56" s="3150" t="s">
        <v>1679</v>
      </c>
      <c r="K56" s="3102" t="s">
        <v>2363</v>
      </c>
      <c r="L56" s="1908" t="str">
        <f ca="1">IF(L48&lt;J51,"——",L48-J51)</f>
        <v>——</v>
      </c>
      <c r="O56" s="2374" t="s">
        <v>2376</v>
      </c>
      <c r="P56" s="2375" t="s">
        <v>2377</v>
      </c>
      <c r="Q56" s="2376" t="s">
        <v>2378</v>
      </c>
      <c r="R56" s="2375" t="s">
        <v>2379</v>
      </c>
    </row>
    <row r="57" spans="1:18" s="2059" customFormat="1" ht="28.5" customHeight="1" thickBot="1">
      <c r="A57" s="797" t="s">
        <v>1749</v>
      </c>
      <c r="B57" s="798" t="s">
        <v>651</v>
      </c>
      <c r="C57" s="799">
        <f ca="1">ROUND(C58+C63+C64+C65,0)</f>
        <v>35</v>
      </c>
      <c r="D57" s="26" t="s">
        <v>1751</v>
      </c>
      <c r="E57" s="2619"/>
      <c r="F57" s="56"/>
      <c r="I57" s="3141" t="s">
        <v>2359</v>
      </c>
      <c r="J57" s="3142" t="str">
        <f ca="1">IF(OR(M47="住宅",J51&lt;L48,J56="是"),"——",J51-L48)</f>
        <v>——</v>
      </c>
      <c r="K57" s="3102" t="s">
        <v>2364</v>
      </c>
      <c r="L57" s="1908" t="str">
        <f ca="1">IF(L48&lt;J51,"——",IF(L55="比较法",L49,IF(L55="基准地价",L50,L51)))</f>
        <v>——</v>
      </c>
      <c r="O57" s="2377" t="s">
        <v>2380</v>
      </c>
      <c r="P57" s="2378" t="s">
        <v>2410</v>
      </c>
      <c r="Q57" s="2379">
        <f ca="1">C40+J29</f>
        <v>8562</v>
      </c>
      <c r="R57" s="2378" t="s">
        <v>2381</v>
      </c>
    </row>
    <row r="58" spans="1:18" s="2059" customFormat="1" ht="28.5" customHeight="1" thickBot="1">
      <c r="A58" s="1650" t="s">
        <v>1825</v>
      </c>
      <c r="B58" s="784" t="s">
        <v>656</v>
      </c>
      <c r="C58" s="53">
        <f ca="1">ROUND(IF(项目基本情况!B11="自然人",C47*F58,C59+C60+C61),1)</f>
        <v>0.8</v>
      </c>
      <c r="D58" s="2617" t="s">
        <v>657</v>
      </c>
      <c r="E58" s="2618" t="s">
        <v>690</v>
      </c>
      <c r="F58" s="810" t="str">
        <f ca="1">IF(项目基本情况!B11="企业","",IF(INDIRECT("'数据-取费表'!c"&amp;$G$1)="住宅",5%,IF(F48*F49*F50/12/(1+'数据-取费表'!C42)&gt;20000,12%,7%)))</f>
        <v/>
      </c>
      <c r="I58" s="3141" t="s">
        <v>2360</v>
      </c>
      <c r="J58" s="3078" t="e">
        <f ca="1">IF(J55&lt;0.4,0.4,J55)</f>
        <v>#VALUE!</v>
      </c>
      <c r="K58" s="3102" t="s">
        <v>2365</v>
      </c>
      <c r="L58" s="1908" t="e">
        <f ca="1">ROUND(POWER(1+L52,L47-L48)*(POWER(1+L52,L48)-1)/(POWER(1+L52,L47)-1),4)</f>
        <v>#DIV/0!</v>
      </c>
      <c r="O58" s="2377" t="s">
        <v>2382</v>
      </c>
      <c r="P58" s="2378" t="s">
        <v>2413</v>
      </c>
      <c r="Q58" s="2379">
        <f ca="1">L60</f>
        <v>0</v>
      </c>
      <c r="R58" s="2382" t="s">
        <v>2415</v>
      </c>
    </row>
    <row r="59" spans="1:18" s="2059" customFormat="1" ht="28.5" customHeight="1" thickBot="1">
      <c r="A59" s="1649" t="s">
        <v>1832</v>
      </c>
      <c r="B59" s="784" t="s">
        <v>660</v>
      </c>
      <c r="C59" s="53">
        <f ca="1">ROUND(C47*F59/1.05,1)</f>
        <v>0</v>
      </c>
      <c r="D59" s="2618" t="s">
        <v>1757</v>
      </c>
      <c r="E59" s="784" t="s">
        <v>1748</v>
      </c>
      <c r="F59" s="809">
        <f t="shared" ref="F59:F65" si="0">F32</f>
        <v>5.6000000000000001E-2</v>
      </c>
      <c r="I59" s="3141" t="s">
        <v>2361</v>
      </c>
      <c r="J59" s="3142" t="str">
        <f ca="1">IF(OR(M47="住宅",J51&lt;L48,J56="是"),"——",ROUND(C29*J58,0))</f>
        <v>——</v>
      </c>
      <c r="K59" s="3102"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#DIV/0!</v>
      </c>
      <c r="O59" s="2380" t="s">
        <v>2384</v>
      </c>
      <c r="P59" s="2378" t="s">
        <v>2414</v>
      </c>
      <c r="Q59" s="2379">
        <f>IF(L55="比较法",L49,IF(L55="基准地价",L50,0))</f>
        <v>0</v>
      </c>
      <c r="R59" s="2378" t="s">
        <v>2381</v>
      </c>
    </row>
    <row r="60" spans="1:18" s="2059" customFormat="1" ht="18" customHeight="1" thickBot="1">
      <c r="A60" s="1649" t="s">
        <v>1833</v>
      </c>
      <c r="B60" s="784" t="s">
        <v>1759</v>
      </c>
      <c r="C60" s="53">
        <f ca="1">IF(D60="按租金收入计税",ROUND(C47*F60,1),IF(D60="按房产原值计税",ROUND(C56*F60*0.7,1),INDIRECT("'数据-取费表'!Aj"&amp;$G$1)))</f>
        <v>0</v>
      </c>
      <c r="D60" s="2618" t="str">
        <f>D33</f>
        <v>按租金收入计税</v>
      </c>
      <c r="E60" s="784" t="s">
        <v>1748</v>
      </c>
      <c r="F60" s="809">
        <f t="shared" si="0"/>
        <v>0.12</v>
      </c>
      <c r="I60" s="3143" t="s">
        <v>2362</v>
      </c>
      <c r="J60" s="3144" t="str">
        <f ca="1">IF(OR(M47="住宅",J51&lt;L48,J56="是"),"0",ROUND(J59/(1+J52)^J53,0))</f>
        <v>0</v>
      </c>
      <c r="K60" s="3145" t="s">
        <v>2367</v>
      </c>
      <c r="L60" s="3144">
        <f ca="1">IF(OR(M47="住宅",L48&lt;J51),0,ROUND(L57*(L58/L59-1),0))</f>
        <v>0</v>
      </c>
      <c r="O60" s="2380" t="s">
        <v>2385</v>
      </c>
      <c r="P60" s="2378" t="s">
        <v>2394</v>
      </c>
      <c r="Q60" s="2381">
        <f>L52</f>
        <v>0</v>
      </c>
      <c r="R60" s="2382"/>
    </row>
    <row r="61" spans="1:18" s="2059" customFormat="1" ht="18" customHeight="1" thickBot="1">
      <c r="A61" s="1652" t="s">
        <v>1834</v>
      </c>
      <c r="B61" s="341" t="s">
        <v>668</v>
      </c>
      <c r="C61" s="54">
        <f ca="1">ROUND(F61*F62/10000,1)</f>
        <v>0.8</v>
      </c>
      <c r="D61" s="814" t="s">
        <v>669</v>
      </c>
      <c r="E61" s="784" t="s">
        <v>670</v>
      </c>
      <c r="F61" s="640">
        <f t="shared" si="0"/>
        <v>3.5</v>
      </c>
      <c r="K61" s="2086"/>
      <c r="O61" s="2380" t="s">
        <v>2387</v>
      </c>
      <c r="P61" s="2378" t="s">
        <v>2395</v>
      </c>
      <c r="Q61" s="2379" t="e">
        <f ca="1">L58</f>
        <v>#DIV/0!</v>
      </c>
      <c r="R61" s="2382" t="s">
        <v>2396</v>
      </c>
    </row>
    <row r="62" spans="1:18" s="2059" customFormat="1" ht="15.75" thickBot="1">
      <c r="A62" s="815"/>
      <c r="B62" s="793"/>
      <c r="C62" s="69"/>
      <c r="D62" s="816"/>
      <c r="E62" s="784" t="s">
        <v>674</v>
      </c>
      <c r="F62" s="785">
        <f t="shared" ca="1" si="0"/>
        <v>2183.09</v>
      </c>
      <c r="I62" s="3146" t="s">
        <v>2368</v>
      </c>
      <c r="J62" s="3147" t="s">
        <v>2369</v>
      </c>
      <c r="K62" s="3147" t="s">
        <v>2370</v>
      </c>
      <c r="L62" s="3147" t="s">
        <v>2351</v>
      </c>
      <c r="M62" s="3148" t="s">
        <v>2944</v>
      </c>
      <c r="O62" s="2380" t="s">
        <v>2389</v>
      </c>
      <c r="P62" s="2378" t="str">
        <f>K59</f>
        <v>建筑物剩余耐用年限下的土地年期修正系数Kn</v>
      </c>
      <c r="Q62" s="2379" t="e">
        <f ca="1">L59</f>
        <v>#DIV/0!</v>
      </c>
      <c r="R62" s="2382" t="s">
        <v>2398</v>
      </c>
    </row>
    <row r="63" spans="1:18" s="2059" customFormat="1" ht="15.75" thickBot="1">
      <c r="A63" s="1650" t="s">
        <v>1890</v>
      </c>
      <c r="B63" s="784" t="s">
        <v>676</v>
      </c>
      <c r="C63" s="53">
        <f ca="1">ROUND(C56*F63,1)</f>
        <v>31.3</v>
      </c>
      <c r="D63" s="2618" t="s">
        <v>1804</v>
      </c>
      <c r="E63" s="784" t="s">
        <v>1748</v>
      </c>
      <c r="F63" s="817">
        <f t="shared" ca="1" si="0"/>
        <v>0.01</v>
      </c>
      <c r="I63" s="3146" t="s">
        <v>2371</v>
      </c>
      <c r="J63" s="3147">
        <v>70</v>
      </c>
      <c r="K63" s="3147">
        <v>50</v>
      </c>
      <c r="L63" s="3147">
        <v>80</v>
      </c>
      <c r="M63" s="3149">
        <v>0.02</v>
      </c>
      <c r="O63" s="2377" t="s">
        <v>2392</v>
      </c>
      <c r="P63" s="2378" t="s">
        <v>2409</v>
      </c>
      <c r="Q63" s="2379">
        <f ca="1">Q57+Q58</f>
        <v>8562</v>
      </c>
      <c r="R63" s="2382" t="s">
        <v>2393</v>
      </c>
    </row>
    <row r="64" spans="1:18" s="2059" customFormat="1" ht="16.5" thickBot="1">
      <c r="A64" s="1650" t="s">
        <v>1891</v>
      </c>
      <c r="B64" s="784" t="s">
        <v>679</v>
      </c>
      <c r="C64" s="53">
        <f ca="1">ROUND(C55*F64,1)</f>
        <v>3.1</v>
      </c>
      <c r="D64" s="2618" t="s">
        <v>680</v>
      </c>
      <c r="E64" s="784" t="s">
        <v>1748</v>
      </c>
      <c r="F64" s="818">
        <f t="shared" ca="1" si="0"/>
        <v>1E-3</v>
      </c>
      <c r="I64" s="3146" t="s">
        <v>2372</v>
      </c>
      <c r="J64" s="3147">
        <v>50</v>
      </c>
      <c r="K64" s="3147">
        <v>35</v>
      </c>
      <c r="L64" s="3147">
        <v>60</v>
      </c>
      <c r="M64" s="846">
        <v>0</v>
      </c>
      <c r="O64" s="2383" t="s">
        <v>2416</v>
      </c>
      <c r="P64" s="1593"/>
      <c r="Q64" s="1605"/>
      <c r="R64" s="1593"/>
    </row>
    <row r="65" spans="1:18" s="2059" customFormat="1" ht="15.75" thickBot="1">
      <c r="A65" s="1650" t="s">
        <v>1892</v>
      </c>
      <c r="B65" s="784" t="s">
        <v>666</v>
      </c>
      <c r="C65" s="53">
        <f ca="1">ROUND(C47*F65,1)</f>
        <v>0</v>
      </c>
      <c r="D65" s="2618" t="s">
        <v>683</v>
      </c>
      <c r="E65" s="784" t="s">
        <v>1748</v>
      </c>
      <c r="F65" s="794">
        <f t="shared" ca="1" si="0"/>
        <v>0.01</v>
      </c>
      <c r="I65" s="3146" t="s">
        <v>2373</v>
      </c>
      <c r="J65" s="3147">
        <v>40</v>
      </c>
      <c r="K65" s="3147">
        <v>30</v>
      </c>
      <c r="L65" s="3147">
        <v>50</v>
      </c>
      <c r="M65" s="3149">
        <v>0.02</v>
      </c>
      <c r="O65" s="2374" t="s">
        <v>2376</v>
      </c>
      <c r="P65" s="2375" t="s">
        <v>2377</v>
      </c>
      <c r="Q65" s="2376" t="s">
        <v>2378</v>
      </c>
      <c r="R65" s="2375" t="s">
        <v>2379</v>
      </c>
    </row>
    <row r="66" spans="1:18" s="2059" customFormat="1" ht="24.75" thickBot="1">
      <c r="A66" s="797" t="s">
        <v>1777</v>
      </c>
      <c r="B66" s="2986" t="s">
        <v>2823</v>
      </c>
      <c r="C66" s="799">
        <f ca="1">C47-C57</f>
        <v>-35</v>
      </c>
      <c r="D66" s="2617" t="s">
        <v>700</v>
      </c>
      <c r="E66" s="2616"/>
      <c r="F66" s="820"/>
      <c r="K66" s="2086"/>
      <c r="O66" s="2377" t="s">
        <v>2380</v>
      </c>
      <c r="P66" s="2378" t="s">
        <v>2410</v>
      </c>
      <c r="Q66" s="2379">
        <f ca="1">C40+J29</f>
        <v>8562</v>
      </c>
      <c r="R66" s="2378" t="s">
        <v>2381</v>
      </c>
    </row>
    <row r="67" spans="1:18" s="2059" customFormat="1" ht="20.25" thickBot="1">
      <c r="A67" s="781" t="s">
        <v>1781</v>
      </c>
      <c r="B67" s="2232" t="s">
        <v>2302</v>
      </c>
      <c r="C67" s="783">
        <f ca="1">ROUND(C66*(1-((1+F69)/(1+F67))^F68)/(F67-F69),0)</f>
        <v>-561</v>
      </c>
      <c r="D67" s="814" t="s">
        <v>704</v>
      </c>
      <c r="E67" s="784" t="s">
        <v>705</v>
      </c>
      <c r="F67" s="794">
        <f ca="1">F40</f>
        <v>5.5E-2</v>
      </c>
      <c r="K67" s="2086"/>
      <c r="O67" s="2377" t="s">
        <v>2382</v>
      </c>
      <c r="P67" s="2378" t="s">
        <v>2413</v>
      </c>
      <c r="Q67" s="2379">
        <f ca="1">L60</f>
        <v>0</v>
      </c>
      <c r="R67" s="2382" t="s">
        <v>2415</v>
      </c>
    </row>
    <row r="68" spans="1:18" ht="21.75" thickBot="1">
      <c r="A68" s="786"/>
      <c r="B68" s="787"/>
      <c r="C68" s="788"/>
      <c r="D68" s="821" t="s">
        <v>1809</v>
      </c>
      <c r="E68" s="784" t="s">
        <v>1785</v>
      </c>
      <c r="F68" s="822">
        <f ca="1">F41</f>
        <v>39.840000000000003</v>
      </c>
      <c r="O68" s="2380" t="s">
        <v>2384</v>
      </c>
      <c r="P68" s="2378" t="s">
        <v>2414</v>
      </c>
      <c r="Q68" s="2384">
        <f ca="1">L51</f>
        <v>1881</v>
      </c>
      <c r="R68" s="2385" t="s">
        <v>2417</v>
      </c>
    </row>
    <row r="69" spans="1:18" ht="20.25" thickBot="1">
      <c r="A69" s="790"/>
      <c r="B69" s="791"/>
      <c r="C69" s="792"/>
      <c r="D69" s="816"/>
      <c r="E69" s="784" t="s">
        <v>710</v>
      </c>
      <c r="F69" s="2350"/>
      <c r="O69" s="2380" t="s">
        <v>2385</v>
      </c>
      <c r="P69" s="2386" t="s">
        <v>2399</v>
      </c>
      <c r="Q69" s="2379">
        <f ca="1">ROUND(Q70-Q71*Q72,0)</f>
        <v>110</v>
      </c>
      <c r="R69" s="2382"/>
    </row>
    <row r="70" spans="1:18" ht="15.75" thickBot="1">
      <c r="A70" s="823" t="s">
        <v>1788</v>
      </c>
      <c r="B70" s="824" t="s">
        <v>1811</v>
      </c>
      <c r="C70" s="825">
        <f ca="1">ROUND(C67*10000/F70,0)</f>
        <v>-734</v>
      </c>
      <c r="D70" s="826" t="s">
        <v>1812</v>
      </c>
      <c r="E70" s="827" t="s">
        <v>1813</v>
      </c>
      <c r="F70" s="828">
        <f ca="1">F43</f>
        <v>7640.8289999999979</v>
      </c>
      <c r="O70" s="2380" t="s">
        <v>2400</v>
      </c>
      <c r="P70" s="2386" t="s">
        <v>2401</v>
      </c>
      <c r="Q70" s="2379">
        <f ca="1">C39</f>
        <v>376</v>
      </c>
      <c r="R70" s="2378" t="s">
        <v>2381</v>
      </c>
    </row>
    <row r="71" spans="1:18" ht="15.75" thickBot="1">
      <c r="O71" s="2380" t="s">
        <v>2402</v>
      </c>
      <c r="P71" s="2386" t="s">
        <v>2403</v>
      </c>
      <c r="Q71" s="2379">
        <f ca="1">C13</f>
        <v>3132</v>
      </c>
      <c r="R71" s="2378" t="s">
        <v>2381</v>
      </c>
    </row>
    <row r="72" spans="1:18" ht="15.75" thickBot="1">
      <c r="O72" s="2380" t="s">
        <v>2404</v>
      </c>
      <c r="P72" s="2386" t="s">
        <v>2405</v>
      </c>
      <c r="Q72" s="2381">
        <f ca="1">J36</f>
        <v>8.5000000000000006E-2</v>
      </c>
      <c r="R72" s="2382"/>
    </row>
    <row r="73" spans="1:18" ht="15.75" thickBot="1">
      <c r="O73" s="2380" t="s">
        <v>2387</v>
      </c>
      <c r="P73" s="2378" t="s">
        <v>2394</v>
      </c>
      <c r="Q73" s="2381">
        <f>L52</f>
        <v>0</v>
      </c>
      <c r="R73" s="2382"/>
    </row>
    <row r="74" spans="1:18" ht="20.25" thickBot="1">
      <c r="O74" s="2380" t="s">
        <v>2389</v>
      </c>
      <c r="P74" s="2378" t="s">
        <v>2395</v>
      </c>
      <c r="Q74" s="2379" t="e">
        <f ca="1">L58</f>
        <v>#DIV/0!</v>
      </c>
      <c r="R74" s="2382" t="s">
        <v>2396</v>
      </c>
    </row>
    <row r="75" spans="1:18" ht="15.75" thickBot="1">
      <c r="O75" s="2380" t="s">
        <v>2418</v>
      </c>
      <c r="P75" s="2378" t="str">
        <f>K59</f>
        <v>建筑物剩余耐用年限下的土地年期修正系数Kn</v>
      </c>
      <c r="Q75" s="2379" t="e">
        <f ca="1">L59</f>
        <v>#DIV/0!</v>
      </c>
      <c r="R75" s="2382" t="s">
        <v>2398</v>
      </c>
    </row>
    <row r="76" spans="1:18" ht="15.75" thickBot="1">
      <c r="O76" s="2377" t="s">
        <v>2392</v>
      </c>
      <c r="P76" s="2378" t="s">
        <v>2409</v>
      </c>
      <c r="Q76" s="2379">
        <f ca="1">Q66+Q67</f>
        <v>8562</v>
      </c>
      <c r="R76" s="238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47" t="s">
        <v>2472</v>
      </c>
      <c r="B1" s="3848"/>
      <c r="C1" s="3849"/>
      <c r="D1" s="3850">
        <f>SUM(I10,I15,I20,I21,I23)</f>
        <v>0</v>
      </c>
      <c r="E1" s="3850"/>
      <c r="F1" s="3850"/>
      <c r="G1" s="3850"/>
      <c r="H1" s="3850"/>
      <c r="I1" s="3851"/>
    </row>
    <row r="2" spans="1:9">
      <c r="A2" s="3837" t="s">
        <v>2473</v>
      </c>
      <c r="B2" s="3838" t="s">
        <v>2474</v>
      </c>
      <c r="C2" s="3838"/>
      <c r="D2" s="2486" t="s">
        <v>2475</v>
      </c>
      <c r="E2" s="2486" t="s">
        <v>2476</v>
      </c>
      <c r="F2" s="2486" t="s">
        <v>2477</v>
      </c>
      <c r="G2" s="2486" t="s">
        <v>2478</v>
      </c>
      <c r="H2" s="2486" t="s">
        <v>2479</v>
      </c>
      <c r="I2" s="2487" t="s">
        <v>2480</v>
      </c>
    </row>
    <row r="3" spans="1:9">
      <c r="A3" s="3837"/>
      <c r="B3" s="3838" t="s">
        <v>2481</v>
      </c>
      <c r="C3" s="3838"/>
      <c r="D3" s="2488"/>
      <c r="E3" s="2486"/>
      <c r="F3" s="2489"/>
      <c r="G3" s="2489"/>
      <c r="H3" s="2490"/>
      <c r="I3" s="2491">
        <f>ROUND(D3*E3*F3*G3*H3/10000,0)</f>
        <v>0</v>
      </c>
    </row>
    <row r="4" spans="1:9">
      <c r="A4" s="3837"/>
      <c r="B4" s="3838" t="s">
        <v>2482</v>
      </c>
      <c r="C4" s="3838"/>
      <c r="D4" s="2488"/>
      <c r="E4" s="2486"/>
      <c r="F4" s="2489"/>
      <c r="G4" s="2489"/>
      <c r="H4" s="2490"/>
      <c r="I4" s="2491">
        <f t="shared" ref="I4:I9" si="0">ROUND(D4*E4*F4*G4*H4/10000,0)</f>
        <v>0</v>
      </c>
    </row>
    <row r="5" spans="1:9">
      <c r="A5" s="3837"/>
      <c r="B5" s="3838" t="s">
        <v>2483</v>
      </c>
      <c r="C5" s="3838"/>
      <c r="D5" s="2488"/>
      <c r="E5" s="2486"/>
      <c r="F5" s="2489"/>
      <c r="G5" s="2489"/>
      <c r="H5" s="2490"/>
      <c r="I5" s="2491">
        <f t="shared" si="0"/>
        <v>0</v>
      </c>
    </row>
    <row r="6" spans="1:9">
      <c r="A6" s="3837"/>
      <c r="B6" s="3838" t="s">
        <v>2484</v>
      </c>
      <c r="C6" s="3838"/>
      <c r="D6" s="2488"/>
      <c r="E6" s="2486"/>
      <c r="F6" s="2489"/>
      <c r="G6" s="2489"/>
      <c r="H6" s="2490"/>
      <c r="I6" s="2491">
        <f t="shared" si="0"/>
        <v>0</v>
      </c>
    </row>
    <row r="7" spans="1:9">
      <c r="A7" s="3837"/>
      <c r="B7" s="3838" t="s">
        <v>2485</v>
      </c>
      <c r="C7" s="3838"/>
      <c r="D7" s="2488"/>
      <c r="E7" s="2486"/>
      <c r="F7" s="2489"/>
      <c r="G7" s="2489"/>
      <c r="H7" s="2490"/>
      <c r="I7" s="2491">
        <f t="shared" si="0"/>
        <v>0</v>
      </c>
    </row>
    <row r="8" spans="1:9">
      <c r="A8" s="3837"/>
      <c r="B8" s="3838" t="s">
        <v>2486</v>
      </c>
      <c r="C8" s="3838"/>
      <c r="D8" s="2488"/>
      <c r="E8" s="2486"/>
      <c r="F8" s="2489"/>
      <c r="G8" s="2489"/>
      <c r="H8" s="2490"/>
      <c r="I8" s="2491">
        <f t="shared" si="0"/>
        <v>0</v>
      </c>
    </row>
    <row r="9" spans="1:9">
      <c r="A9" s="3837"/>
      <c r="B9" s="3838" t="s">
        <v>2487</v>
      </c>
      <c r="C9" s="3838"/>
      <c r="D9" s="2488"/>
      <c r="E9" s="2486"/>
      <c r="F9" s="2489"/>
      <c r="G9" s="2489"/>
      <c r="H9" s="2490"/>
      <c r="I9" s="2491">
        <f t="shared" si="0"/>
        <v>0</v>
      </c>
    </row>
    <row r="10" spans="1:9">
      <c r="A10" s="3837"/>
      <c r="B10" s="3839" t="s">
        <v>2488</v>
      </c>
      <c r="C10" s="3839"/>
      <c r="D10" s="2492">
        <v>527</v>
      </c>
      <c r="E10" s="2492" t="e">
        <f>ROUND(D1*10000/D10/H9,0)</f>
        <v>#DIV/0!</v>
      </c>
      <c r="F10" s="2493"/>
      <c r="G10" s="2493"/>
      <c r="H10" s="2494"/>
      <c r="I10" s="2495">
        <f>SUM(I3:I9)</f>
        <v>0</v>
      </c>
    </row>
    <row r="11" spans="1:9" ht="14.25">
      <c r="A11" s="3837" t="s">
        <v>2489</v>
      </c>
      <c r="B11" s="3838" t="s">
        <v>2490</v>
      </c>
      <c r="C11" s="3838"/>
      <c r="D11" s="2488" t="s">
        <v>2491</v>
      </c>
      <c r="E11" s="2488" t="s">
        <v>2492</v>
      </c>
      <c r="F11" s="2489" t="s">
        <v>2493</v>
      </c>
      <c r="G11" s="2489" t="s">
        <v>2494</v>
      </c>
      <c r="H11" s="2496" t="s">
        <v>2495</v>
      </c>
      <c r="I11" s="2487" t="s">
        <v>2496</v>
      </c>
    </row>
    <row r="12" spans="1:9">
      <c r="A12" s="3837"/>
      <c r="B12" s="3838" t="s">
        <v>2497</v>
      </c>
      <c r="C12" s="3838"/>
      <c r="D12" s="2488"/>
      <c r="E12" s="2488"/>
      <c r="F12" s="2489"/>
      <c r="G12" s="2490"/>
      <c r="H12" s="2497"/>
      <c r="I12" s="2487">
        <f>ROUND(D12*E12*F12*G12/10000,0)</f>
        <v>0</v>
      </c>
    </row>
    <row r="13" spans="1:9">
      <c r="A13" s="3837"/>
      <c r="B13" s="3838" t="s">
        <v>2498</v>
      </c>
      <c r="C13" s="3838"/>
      <c r="D13" s="2488"/>
      <c r="E13" s="2488"/>
      <c r="F13" s="2489"/>
      <c r="G13" s="2490"/>
      <c r="H13" s="2497"/>
      <c r="I13" s="2487">
        <f>ROUND(D13*E13*F13*G13/10000,0)</f>
        <v>0</v>
      </c>
    </row>
    <row r="14" spans="1:9">
      <c r="A14" s="3837"/>
      <c r="B14" s="3838" t="s">
        <v>2499</v>
      </c>
      <c r="C14" s="3838"/>
      <c r="D14" s="2488"/>
      <c r="E14" s="2488"/>
      <c r="F14" s="2489"/>
      <c r="G14" s="2490"/>
      <c r="H14" s="2497"/>
      <c r="I14" s="2487">
        <f>ROUND(D14*E14*F14*G14/10000,0)</f>
        <v>0</v>
      </c>
    </row>
    <row r="15" spans="1:9">
      <c r="A15" s="3837"/>
      <c r="B15" s="3839" t="s">
        <v>2488</v>
      </c>
      <c r="C15" s="3839"/>
      <c r="D15" s="2492"/>
      <c r="E15" s="2492">
        <f>SUM(E12:E14)</f>
        <v>0</v>
      </c>
      <c r="F15" s="2493"/>
      <c r="G15" s="2490"/>
      <c r="H15" s="2497"/>
      <c r="I15" s="2498">
        <f>SUM(I12:I14)</f>
        <v>0</v>
      </c>
    </row>
    <row r="16" spans="1:9" ht="24">
      <c r="A16" s="3837" t="s">
        <v>2500</v>
      </c>
      <c r="B16" s="3838" t="s">
        <v>2501</v>
      </c>
      <c r="C16" s="3838"/>
      <c r="D16" s="2488" t="s">
        <v>2502</v>
      </c>
      <c r="E16" s="2499" t="s">
        <v>2503</v>
      </c>
      <c r="F16" s="2489" t="s">
        <v>2504</v>
      </c>
      <c r="G16" s="2490" t="s">
        <v>2494</v>
      </c>
      <c r="H16" s="2496" t="s">
        <v>2495</v>
      </c>
      <c r="I16" s="2487" t="s">
        <v>2496</v>
      </c>
    </row>
    <row r="17" spans="1:9" ht="14.25">
      <c r="A17" s="3837"/>
      <c r="B17" s="3838" t="s">
        <v>2505</v>
      </c>
      <c r="C17" s="3838"/>
      <c r="D17" s="2488"/>
      <c r="E17" s="2488"/>
      <c r="F17" s="2489"/>
      <c r="G17" s="2490"/>
      <c r="H17" s="2500"/>
      <c r="I17" s="2501">
        <f>ROUND(D17*E17*F17*G17/10000,0)</f>
        <v>0</v>
      </c>
    </row>
    <row r="18" spans="1:9" ht="14.25">
      <c r="A18" s="3837"/>
      <c r="B18" s="3838" t="s">
        <v>2506</v>
      </c>
      <c r="C18" s="3838"/>
      <c r="D18" s="2488"/>
      <c r="E18" s="2488"/>
      <c r="F18" s="2489"/>
      <c r="G18" s="2490"/>
      <c r="H18" s="2500"/>
      <c r="I18" s="2501">
        <f>ROUND(D18*E18*F18*G18/10000,0)</f>
        <v>0</v>
      </c>
    </row>
    <row r="19" spans="1:9" ht="14.25">
      <c r="A19" s="3837"/>
      <c r="B19" s="3838" t="s">
        <v>2507</v>
      </c>
      <c r="C19" s="3838"/>
      <c r="D19" s="2488"/>
      <c r="E19" s="2488"/>
      <c r="F19" s="2489"/>
      <c r="G19" s="2490"/>
      <c r="H19" s="2500"/>
      <c r="I19" s="2501">
        <f>ROUND(D19*E19*F19*G19/10000,0)</f>
        <v>0</v>
      </c>
    </row>
    <row r="20" spans="1:9">
      <c r="A20" s="3837"/>
      <c r="B20" s="3839" t="s">
        <v>2488</v>
      </c>
      <c r="C20" s="3839"/>
      <c r="D20" s="2492">
        <f>SUM(D17:D19)</f>
        <v>0</v>
      </c>
      <c r="E20" s="2492"/>
      <c r="F20" s="2493"/>
      <c r="G20" s="2490"/>
      <c r="H20" s="2497"/>
      <c r="I20" s="2498">
        <f>SUM(I17:I19)</f>
        <v>0</v>
      </c>
    </row>
    <row r="21" spans="1:9">
      <c r="A21" s="3837" t="s">
        <v>2508</v>
      </c>
      <c r="B21" s="3840"/>
      <c r="C21" s="3840"/>
      <c r="D21" s="3840"/>
      <c r="E21" s="3840"/>
      <c r="F21" s="3840"/>
      <c r="G21" s="3840"/>
      <c r="H21" s="2502">
        <v>0.1</v>
      </c>
      <c r="I21" s="2495">
        <f>ROUND(I10*H21,0)</f>
        <v>0</v>
      </c>
    </row>
    <row r="22" spans="1:9" ht="14.25">
      <c r="A22" s="3841" t="s">
        <v>2509</v>
      </c>
      <c r="B22" s="3842"/>
      <c r="C22" s="3843"/>
      <c r="D22" s="2503" t="s">
        <v>2510</v>
      </c>
      <c r="E22" s="2503" t="s">
        <v>2511</v>
      </c>
      <c r="F22" s="2504" t="s">
        <v>2512</v>
      </c>
      <c r="G22" s="2504" t="s">
        <v>2513</v>
      </c>
      <c r="H22" s="2496" t="s">
        <v>2514</v>
      </c>
      <c r="I22" s="2487" t="s">
        <v>2515</v>
      </c>
    </row>
    <row r="23" spans="1:9" ht="14.25" thickBot="1">
      <c r="A23" s="3844"/>
      <c r="B23" s="3845"/>
      <c r="C23" s="3846"/>
      <c r="D23" s="2505"/>
      <c r="E23" s="2505"/>
      <c r="F23" s="2505"/>
      <c r="G23" s="2506"/>
      <c r="H23" s="2507"/>
      <c r="I23" s="2508">
        <f>ROUND(E23*D23*F23*(1-G23)/10000,0)</f>
        <v>0</v>
      </c>
    </row>
    <row r="26" spans="1:9">
      <c r="A26" s="2509" t="s">
        <v>2516</v>
      </c>
      <c r="B26" s="2509"/>
      <c r="C26" s="2509"/>
      <c r="D26" s="2509"/>
      <c r="E26" s="3834">
        <f>C27-C30-C31-C32</f>
        <v>0</v>
      </c>
      <c r="F26" s="3834"/>
      <c r="G26" s="3834"/>
      <c r="H26" s="3019" t="s">
        <v>2844</v>
      </c>
    </row>
    <row r="27" spans="1:9">
      <c r="A27" s="2510">
        <v>1</v>
      </c>
      <c r="B27" s="2511" t="s">
        <v>2517</v>
      </c>
      <c r="C27" s="2511"/>
      <c r="D27" s="2511"/>
      <c r="E27" s="3835"/>
      <c r="F27" s="3835"/>
      <c r="G27" s="3835"/>
    </row>
    <row r="28" spans="1:9">
      <c r="A28" s="2512" t="s">
        <v>2518</v>
      </c>
      <c r="B28" s="2511" t="s">
        <v>2519</v>
      </c>
      <c r="C28" s="2511"/>
      <c r="D28" s="2511"/>
      <c r="E28" s="3835"/>
      <c r="F28" s="3835"/>
      <c r="G28" s="3835"/>
    </row>
    <row r="29" spans="1:9">
      <c r="A29" s="2512" t="s">
        <v>2520</v>
      </c>
      <c r="B29" s="2511" t="s">
        <v>2461</v>
      </c>
      <c r="C29" s="2511"/>
      <c r="D29" s="2511"/>
      <c r="E29" s="2511" t="s">
        <v>2521</v>
      </c>
      <c r="F29" s="2511"/>
      <c r="G29" s="2511"/>
    </row>
    <row r="30" spans="1:9">
      <c r="A30" s="2510">
        <v>2</v>
      </c>
      <c r="B30" s="2511" t="s">
        <v>2522</v>
      </c>
      <c r="C30" s="2511">
        <f>C27*D30</f>
        <v>0</v>
      </c>
      <c r="D30" s="2513">
        <v>0.2</v>
      </c>
      <c r="E30" s="2511" t="s">
        <v>2523</v>
      </c>
      <c r="F30" s="2511"/>
      <c r="G30" s="2511"/>
    </row>
    <row r="31" spans="1:9">
      <c r="A31" s="2510">
        <v>3</v>
      </c>
      <c r="B31" s="2511" t="s">
        <v>2524</v>
      </c>
      <c r="C31" s="2511">
        <f>C25*D31</f>
        <v>0</v>
      </c>
      <c r="D31" s="2513">
        <v>0.15</v>
      </c>
      <c r="E31" s="2511" t="s">
        <v>2525</v>
      </c>
      <c r="F31" s="2511"/>
      <c r="G31" s="2511"/>
    </row>
    <row r="32" spans="1:9">
      <c r="A32" s="2510">
        <v>4</v>
      </c>
      <c r="B32" s="2511" t="s">
        <v>2526</v>
      </c>
      <c r="C32" s="2511">
        <f>C27*D32</f>
        <v>0</v>
      </c>
      <c r="D32" s="2513">
        <v>0.05</v>
      </c>
      <c r="E32" s="3836"/>
      <c r="F32" s="3836"/>
      <c r="G32" s="3836"/>
    </row>
    <row r="33" spans="1:7" hidden="1">
      <c r="A33" s="3831" t="s">
        <v>2527</v>
      </c>
      <c r="B33" s="3832"/>
      <c r="C33" s="3832"/>
      <c r="D33" s="3833"/>
      <c r="E33" s="3834"/>
      <c r="F33" s="3834"/>
      <c r="G33" s="3834"/>
    </row>
    <row r="34" spans="1:7" hidden="1">
      <c r="A34" s="2514">
        <v>1</v>
      </c>
      <c r="B34" s="2511" t="s">
        <v>2528</v>
      </c>
      <c r="C34" s="2511"/>
      <c r="D34" s="2511"/>
      <c r="E34" s="3835"/>
      <c r="F34" s="3835"/>
      <c r="G34" s="3835"/>
    </row>
    <row r="35" spans="1:7" hidden="1">
      <c r="A35" s="2514">
        <v>2</v>
      </c>
      <c r="B35" s="2511" t="s">
        <v>2529</v>
      </c>
      <c r="C35" s="2511"/>
      <c r="D35" s="2511"/>
      <c r="E35" s="3835"/>
      <c r="F35" s="3835"/>
      <c r="G35" s="3835"/>
    </row>
    <row r="36" spans="1:7" hidden="1">
      <c r="A36" s="2514">
        <v>3</v>
      </c>
      <c r="B36" s="2511" t="s">
        <v>2530</v>
      </c>
      <c r="C36" s="2511"/>
      <c r="D36" s="2511"/>
      <c r="E36" s="3835"/>
      <c r="F36" s="3835"/>
      <c r="G36" s="3835"/>
    </row>
    <row r="37" spans="1:7" hidden="1">
      <c r="A37" s="2514">
        <v>4</v>
      </c>
      <c r="B37" s="2511" t="s">
        <v>2531</v>
      </c>
      <c r="C37" s="2511"/>
      <c r="D37" s="2511"/>
      <c r="E37" s="3835"/>
      <c r="F37" s="3835"/>
      <c r="G37" s="3835"/>
    </row>
    <row r="38" spans="1:7" hidden="1">
      <c r="A38" s="3831" t="s">
        <v>2532</v>
      </c>
      <c r="B38" s="3832"/>
      <c r="C38" s="3832"/>
      <c r="D38" s="3833"/>
      <c r="E38" s="3834"/>
      <c r="F38" s="3834"/>
      <c r="G38" s="38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8">
        <v>1</v>
      </c>
      <c r="B7" s="748" t="s">
        <v>609</v>
      </c>
      <c r="C7" s="749">
        <f>C8+C9</f>
        <v>0</v>
      </c>
      <c r="D7" s="749"/>
      <c r="E7" s="750"/>
      <c r="F7" s="750"/>
      <c r="G7" s="2458"/>
    </row>
    <row r="8" spans="1:25" s="2183" customFormat="1" ht="13.5" customHeight="1">
      <c r="A8" s="2448" t="s">
        <v>2441</v>
      </c>
      <c r="B8" s="2451" t="s">
        <v>2443</v>
      </c>
      <c r="C8" s="2452"/>
      <c r="D8" s="749"/>
      <c r="E8" s="750"/>
      <c r="F8" s="750"/>
      <c r="G8" s="751"/>
    </row>
    <row r="9" spans="1:25" s="2183" customFormat="1" ht="13.5" customHeight="1">
      <c r="A9" s="2448" t="s">
        <v>2442</v>
      </c>
      <c r="B9" s="2451" t="s">
        <v>2444</v>
      </c>
      <c r="C9" s="2452"/>
      <c r="D9" s="749"/>
      <c r="E9" s="750"/>
      <c r="F9" s="750"/>
      <c r="G9" s="751"/>
    </row>
    <row r="10" spans="1:25" s="2183" customFormat="1" ht="36">
      <c r="A10" s="2448">
        <v>2</v>
      </c>
      <c r="B10" s="748" t="s">
        <v>613</v>
      </c>
      <c r="C10" s="749">
        <f>C11+C14+C15</f>
        <v>0</v>
      </c>
      <c r="D10" s="760">
        <f>'数据-汇总表'!E3</f>
        <v>76408.289999999994</v>
      </c>
      <c r="E10" s="749">
        <f>'数据-取费表'!B31</f>
        <v>0</v>
      </c>
      <c r="F10" s="761"/>
      <c r="G10" s="759" t="s">
        <v>614</v>
      </c>
    </row>
    <row r="11" spans="1:25" s="2183" customFormat="1" ht="13.5" customHeight="1">
      <c r="A11" s="2448" t="s">
        <v>2441</v>
      </c>
      <c r="B11" s="752" t="s">
        <v>610</v>
      </c>
      <c r="C11" s="753">
        <f>'数据-取费表'!B29</f>
        <v>0</v>
      </c>
      <c r="D11" s="754"/>
      <c r="E11" s="753"/>
      <c r="F11" s="755"/>
      <c r="G11" s="2457" t="s">
        <v>2452</v>
      </c>
    </row>
    <row r="12" spans="1:25" s="2183" customFormat="1" ht="13.5" customHeight="1">
      <c r="A12" s="2455" t="s">
        <v>2449</v>
      </c>
      <c r="B12" s="756" t="s">
        <v>611</v>
      </c>
      <c r="C12" s="757">
        <f>ROUND(D12*E12/10000,0)</f>
        <v>722</v>
      </c>
      <c r="D12" s="758">
        <f>'数据-汇总表'!E5</f>
        <v>68767.460999999996</v>
      </c>
      <c r="E12" s="757">
        <f>'数据-取费表'!B27</f>
        <v>105</v>
      </c>
      <c r="F12" s="755"/>
      <c r="G12" s="759"/>
    </row>
    <row r="13" spans="1:25" s="2183" customFormat="1" ht="13.5" customHeight="1">
      <c r="A13" s="2455" t="s">
        <v>2448</v>
      </c>
      <c r="B13" s="756" t="s">
        <v>612</v>
      </c>
      <c r="C13" s="757">
        <f>ROUND(D13*E13/10000,0)</f>
        <v>80</v>
      </c>
      <c r="D13" s="758">
        <f>'数据-汇总表'!E6</f>
        <v>7640.8289999999979</v>
      </c>
      <c r="E13" s="757">
        <f>'数据-取费表'!B28</f>
        <v>105</v>
      </c>
      <c r="F13" s="755"/>
      <c r="G13" s="759"/>
    </row>
    <row r="14" spans="1:25" s="2183" customFormat="1" ht="13.5" customHeight="1">
      <c r="A14" s="2448" t="s">
        <v>2442</v>
      </c>
      <c r="B14" s="2454" t="s">
        <v>2445</v>
      </c>
      <c r="C14" s="2452"/>
      <c r="D14" s="758"/>
      <c r="E14" s="757"/>
      <c r="F14" s="2453"/>
      <c r="G14" s="2456" t="s">
        <v>2450</v>
      </c>
    </row>
    <row r="15" spans="1:25" s="2183" customFormat="1" ht="13.5" customHeight="1">
      <c r="A15" s="2448" t="s">
        <v>2447</v>
      </c>
      <c r="B15" s="2454" t="s">
        <v>2446</v>
      </c>
      <c r="C15" s="2452"/>
      <c r="D15" s="758"/>
      <c r="E15" s="757"/>
      <c r="F15" s="2453"/>
      <c r="G15" s="2456" t="s">
        <v>2451</v>
      </c>
    </row>
    <row r="16" spans="1:25" s="2184" customFormat="1" ht="48">
      <c r="A16" s="2448">
        <v>3</v>
      </c>
      <c r="B16" s="748" t="s">
        <v>615</v>
      </c>
      <c r="C16" s="2452"/>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617</v>
      </c>
      <c r="C18" s="749">
        <f>ROUND((C7+C10+C16)*F18,0)</f>
        <v>0</v>
      </c>
      <c r="D18" s="762"/>
      <c r="E18" s="763"/>
      <c r="F18" s="761">
        <f>'数据-取费表'!Q16</f>
        <v>0.2</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625</v>
      </c>
      <c r="C22" s="749">
        <f ca="1">ROUND(C21*F22,0)</f>
        <v>0</v>
      </c>
      <c r="D22" s="760"/>
      <c r="E22" s="749"/>
      <c r="F22" s="766">
        <f>'数据-取费表'!AP16</f>
        <v>0.94399999999999995</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5" zoomScaleNormal="85" workbookViewId="0">
      <selection activeCell="K15" sqref="K15"/>
    </sheetView>
  </sheetViews>
  <sheetFormatPr defaultColWidth="9" defaultRowHeight="14.25"/>
  <cols>
    <col min="1" max="1" width="10.5" style="3213" customWidth="1"/>
    <col min="2" max="2" width="15.75" style="3213" customWidth="1"/>
    <col min="3" max="3" width="15.125" style="3213" customWidth="1"/>
    <col min="4" max="4" width="12.25" style="3213" customWidth="1"/>
    <col min="5" max="5" width="14.375" style="3213" customWidth="1"/>
    <col min="6" max="6" width="12.25" style="3213" customWidth="1"/>
    <col min="7" max="7" width="14.5" style="3213" customWidth="1"/>
    <col min="8" max="8" width="12.25" style="3213" customWidth="1"/>
    <col min="9" max="9" width="14.5" style="3213" customWidth="1"/>
    <col min="10" max="10" width="12.25" style="3213" customWidth="1"/>
    <col min="11" max="11" width="12.25" style="3559" customWidth="1"/>
    <col min="12" max="12" width="12.25" style="3560" customWidth="1"/>
    <col min="13" max="15" width="12.25" style="3213" customWidth="1"/>
    <col min="16" max="16" width="4.75" style="3213" customWidth="1"/>
    <col min="17" max="17" width="19.5" style="3213" customWidth="1"/>
    <col min="18" max="22" width="6.125" style="3213" customWidth="1"/>
    <col min="23" max="23" width="5.75" style="3213" customWidth="1"/>
    <col min="24" max="24" width="4.25" style="3213" customWidth="1"/>
    <col min="25" max="25" width="3.5" style="3213" customWidth="1"/>
    <col min="26" max="26" width="19.75" style="3213" customWidth="1"/>
    <col min="27" max="28" width="9.375" style="3213" customWidth="1"/>
    <col min="29" max="16384" width="9" style="3213"/>
  </cols>
  <sheetData>
    <row r="1" spans="1:29" s="3194" customFormat="1" ht="28.5" customHeight="1">
      <c r="A1" s="3181" t="s">
        <v>3113</v>
      </c>
      <c r="B1" s="3182" t="s">
        <v>3114</v>
      </c>
      <c r="C1" s="3183" t="s">
        <v>3115</v>
      </c>
      <c r="D1" s="3184" t="s">
        <v>923</v>
      </c>
      <c r="E1" s="3185"/>
      <c r="F1" s="3186" t="s">
        <v>3023</v>
      </c>
      <c r="G1" s="3187" t="s">
        <v>3116</v>
      </c>
      <c r="H1" s="3188"/>
      <c r="I1" s="3188"/>
      <c r="J1" s="3188"/>
      <c r="K1" s="3189"/>
      <c r="L1" s="3190"/>
      <c r="M1" s="3191"/>
      <c r="N1" s="3191"/>
      <c r="O1" s="3191"/>
      <c r="P1" s="3192"/>
      <c r="Q1" s="3192"/>
      <c r="R1" s="3192"/>
      <c r="S1" s="3192"/>
      <c r="T1" s="3192"/>
      <c r="U1" s="3192"/>
      <c r="V1" s="3192"/>
      <c r="W1" s="3192"/>
      <c r="X1" s="3192"/>
      <c r="Y1" s="3192"/>
      <c r="Z1" s="3192"/>
      <c r="AA1" s="3192"/>
      <c r="AB1" s="3192"/>
      <c r="AC1" s="3193"/>
    </row>
    <row r="2" spans="1:29" s="3203" customFormat="1" ht="28.5" customHeight="1">
      <c r="A2" s="423" t="s">
        <v>3117</v>
      </c>
      <c r="B2" s="3195">
        <f>ROUND(B3*D3/10000,0)</f>
        <v>63658</v>
      </c>
      <c r="C2" s="3196"/>
      <c r="D2" s="3196"/>
      <c r="E2" s="3196"/>
      <c r="F2" s="3197"/>
      <c r="G2" s="3196"/>
      <c r="H2" s="3196"/>
      <c r="I2" s="3196"/>
      <c r="J2" s="3196"/>
      <c r="K2" s="3198"/>
      <c r="L2" s="3199"/>
      <c r="M2" s="3200"/>
      <c r="N2" s="3200"/>
      <c r="O2" s="3200"/>
      <c r="P2" s="3201"/>
      <c r="Q2" s="3201"/>
      <c r="R2" s="3201"/>
      <c r="S2" s="3201"/>
      <c r="T2" s="3201"/>
      <c r="U2" s="3201"/>
      <c r="V2" s="3201"/>
      <c r="W2" s="3201"/>
      <c r="X2" s="3201"/>
      <c r="Y2" s="3201"/>
      <c r="Z2" s="3201"/>
      <c r="AA2" s="3201"/>
      <c r="AB2" s="3201"/>
      <c r="AC2" s="3202"/>
    </row>
    <row r="3" spans="1:29" s="3203" customFormat="1" ht="28.5" customHeight="1" thickBot="1">
      <c r="A3" s="509" t="s">
        <v>3118</v>
      </c>
      <c r="B3" s="3204">
        <f>C49</f>
        <v>9257</v>
      </c>
      <c r="C3" s="3205" t="s">
        <v>3119</v>
      </c>
      <c r="D3" s="3204">
        <f>SUMIF('数据-汇总表'!$C19:$C33,D1,'数据-汇总表'!$E19:$E33)</f>
        <v>68767.460999999996</v>
      </c>
      <c r="E3" s="3196"/>
      <c r="F3" s="3197"/>
      <c r="G3" s="3196"/>
      <c r="H3" s="3196"/>
      <c r="I3" s="3196"/>
      <c r="J3" s="3196"/>
      <c r="K3" s="3198"/>
      <c r="L3" s="3199"/>
      <c r="M3" s="3200"/>
      <c r="N3" s="3200"/>
      <c r="O3" s="3200"/>
      <c r="P3" s="3201"/>
      <c r="Q3" s="3201"/>
      <c r="R3" s="3201"/>
      <c r="S3" s="3201"/>
      <c r="T3" s="3201"/>
      <c r="U3" s="3201"/>
      <c r="V3" s="3201"/>
      <c r="W3" s="3201"/>
      <c r="X3" s="3201"/>
      <c r="Y3" s="3201"/>
      <c r="Z3" s="3201"/>
      <c r="AA3" s="3201"/>
      <c r="AB3" s="3201"/>
      <c r="AC3" s="3206"/>
    </row>
    <row r="4" spans="1:29" ht="15">
      <c r="A4" s="3207" t="s">
        <v>3120</v>
      </c>
      <c r="B4" s="3208"/>
      <c r="C4" s="3855" t="s">
        <v>3121</v>
      </c>
      <c r="D4" s="3856"/>
      <c r="E4" s="3857" t="s">
        <v>3122</v>
      </c>
      <c r="F4" s="3858"/>
      <c r="G4" s="3855" t="s">
        <v>3123</v>
      </c>
      <c r="H4" s="3856"/>
      <c r="I4" s="3855" t="s">
        <v>3124</v>
      </c>
      <c r="J4" s="3856"/>
      <c r="K4" s="3209" t="s">
        <v>3125</v>
      </c>
      <c r="L4" s="3210"/>
      <c r="M4" s="3211"/>
      <c r="N4" s="3211"/>
      <c r="O4" s="3211"/>
      <c r="P4" s="3859" t="s">
        <v>3126</v>
      </c>
      <c r="Q4" s="3860"/>
      <c r="R4" s="3865" t="s">
        <v>3127</v>
      </c>
      <c r="S4" s="3866"/>
      <c r="T4" s="3865" t="s">
        <v>3123</v>
      </c>
      <c r="U4" s="3866"/>
      <c r="V4" s="3880" t="s">
        <v>3124</v>
      </c>
      <c r="W4" s="3880"/>
      <c r="X4" s="3212"/>
      <c r="Y4" s="3865" t="s">
        <v>3126</v>
      </c>
      <c r="Z4" s="3866"/>
      <c r="AA4" s="3852" t="s">
        <v>3127</v>
      </c>
      <c r="AB4" s="3852" t="s">
        <v>3123</v>
      </c>
      <c r="AC4" s="3852" t="s">
        <v>3124</v>
      </c>
    </row>
    <row r="5" spans="1:29" ht="15">
      <c r="A5" s="3214"/>
      <c r="B5" s="3215"/>
      <c r="C5" s="3869" t="s">
        <v>3128</v>
      </c>
      <c r="D5" s="3870"/>
      <c r="E5" s="3871" t="s">
        <v>3282</v>
      </c>
      <c r="F5" s="3872"/>
      <c r="G5" s="3873" t="s">
        <v>3349</v>
      </c>
      <c r="H5" s="3870"/>
      <c r="I5" s="3873" t="s">
        <v>3281</v>
      </c>
      <c r="J5" s="3870"/>
      <c r="K5" s="3216"/>
      <c r="L5" s="3210"/>
      <c r="M5" s="3211"/>
      <c r="N5" s="3211"/>
      <c r="O5" s="3211"/>
      <c r="P5" s="3861"/>
      <c r="Q5" s="3862"/>
      <c r="R5" s="3867"/>
      <c r="S5" s="3868"/>
      <c r="T5" s="3867"/>
      <c r="U5" s="3868"/>
      <c r="V5" s="3880"/>
      <c r="W5" s="3880"/>
      <c r="X5" s="3212"/>
      <c r="Y5" s="3867"/>
      <c r="Z5" s="3868"/>
      <c r="AA5" s="3853"/>
      <c r="AB5" s="3853"/>
      <c r="AC5" s="3853"/>
    </row>
    <row r="6" spans="1:29" ht="15.75" thickBot="1">
      <c r="A6" s="3217"/>
      <c r="B6" s="3218"/>
      <c r="C6" s="3874" t="s">
        <v>3129</v>
      </c>
      <c r="D6" s="3875"/>
      <c r="E6" s="3876" t="s">
        <v>3129</v>
      </c>
      <c r="F6" s="3877"/>
      <c r="G6" s="3874" t="s">
        <v>3129</v>
      </c>
      <c r="H6" s="3875"/>
      <c r="I6" s="3874" t="s">
        <v>3129</v>
      </c>
      <c r="J6" s="3875"/>
      <c r="K6" s="3216" t="s">
        <v>3130</v>
      </c>
      <c r="L6" s="3210"/>
      <c r="M6" s="3211"/>
      <c r="N6" s="3211"/>
      <c r="O6" s="3211"/>
      <c r="P6" s="3863"/>
      <c r="Q6" s="3864"/>
      <c r="R6" s="3867"/>
      <c r="S6" s="3868"/>
      <c r="T6" s="3878"/>
      <c r="U6" s="3879"/>
      <c r="V6" s="3880"/>
      <c r="W6" s="3880"/>
      <c r="X6" s="3212"/>
      <c r="Y6" s="3878"/>
      <c r="Z6" s="3879"/>
      <c r="AA6" s="3854"/>
      <c r="AB6" s="3854"/>
      <c r="AC6" s="3854"/>
    </row>
    <row r="7" spans="1:29" s="3233" customFormat="1" ht="15.75" thickBot="1">
      <c r="A7" s="3219"/>
      <c r="B7" s="3220" t="s">
        <v>3131</v>
      </c>
      <c r="C7" s="3221">
        <f>'数据-取费表'!B2</f>
        <v>43649</v>
      </c>
      <c r="D7" s="3222">
        <v>100</v>
      </c>
      <c r="E7" s="3223">
        <v>43647</v>
      </c>
      <c r="F7" s="3224">
        <f>SUMIF(58:58,YEAR(E7)&amp;"-"&amp;MONTH(E7),59:59)</f>
        <v>100</v>
      </c>
      <c r="G7" s="3225">
        <f>E7</f>
        <v>43647</v>
      </c>
      <c r="H7" s="3222">
        <f>SUMIF(58:58,YEAR(G7)&amp;"-"&amp;MONTH(G7),59:59)</f>
        <v>100</v>
      </c>
      <c r="I7" s="3225">
        <f>E7</f>
        <v>43647</v>
      </c>
      <c r="J7" s="3222">
        <f>SUMIF(58:58,YEAR(I7)&amp;"-"&amp;MONTH(I7),59:59)</f>
        <v>100</v>
      </c>
      <c r="K7" s="3226"/>
      <c r="L7" s="3227"/>
      <c r="M7" s="3228"/>
      <c r="N7" s="3228"/>
      <c r="O7" s="3228"/>
      <c r="P7" s="3881" t="s">
        <v>3132</v>
      </c>
      <c r="Q7" s="3882"/>
      <c r="R7" s="3229" t="s">
        <v>3133</v>
      </c>
      <c r="S7" s="3230">
        <f t="shared" ref="S7:S15" si="0">F7</f>
        <v>100</v>
      </c>
      <c r="T7" s="3229" t="s">
        <v>3134</v>
      </c>
      <c r="U7" s="3230">
        <f t="shared" ref="U7:U15" si="1">H7</f>
        <v>100</v>
      </c>
      <c r="V7" s="3229" t="s">
        <v>3134</v>
      </c>
      <c r="W7" s="3230">
        <f t="shared" ref="W7:W15" si="2">J7</f>
        <v>100</v>
      </c>
      <c r="X7" s="3231"/>
      <c r="Y7" s="3881" t="s">
        <v>3132</v>
      </c>
      <c r="Z7" s="3883"/>
      <c r="AA7" s="3232">
        <f>D7/F7</f>
        <v>1</v>
      </c>
      <c r="AB7" s="3232">
        <f>D7/H7</f>
        <v>1</v>
      </c>
      <c r="AC7" s="3232">
        <f>D7/J7</f>
        <v>1</v>
      </c>
    </row>
    <row r="8" spans="1:29" s="3233" customFormat="1" ht="15.75" thickBot="1">
      <c r="A8" s="3234"/>
      <c r="B8" s="3235" t="s">
        <v>3135</v>
      </c>
      <c r="C8" s="3236" t="s">
        <v>3136</v>
      </c>
      <c r="D8" s="3222">
        <v>100</v>
      </c>
      <c r="E8" s="3236" t="s">
        <v>3136</v>
      </c>
      <c r="F8" s="3224">
        <f>SUMIF(61:61,E8,62:62)-SUMIF(61:61,C8,62:62)+100</f>
        <v>100</v>
      </c>
      <c r="G8" s="3236" t="s">
        <v>3136</v>
      </c>
      <c r="H8" s="3222">
        <f>SUMIF(61:61,G8,62:62)-SUMIF(61:61,C8,62:62)+100</f>
        <v>100</v>
      </c>
      <c r="I8" s="3236" t="s">
        <v>3136</v>
      </c>
      <c r="J8" s="3222">
        <f>SUMIF(61:61,I8,62:62)-SUMIF(61:61,C8,62:62)+100</f>
        <v>100</v>
      </c>
      <c r="K8" s="3226"/>
      <c r="L8" s="3227"/>
      <c r="M8" s="3228"/>
      <c r="N8" s="3228"/>
      <c r="O8" s="3228"/>
      <c r="P8" s="3881" t="s">
        <v>3137</v>
      </c>
      <c r="Q8" s="3883"/>
      <c r="R8" s="3229" t="s">
        <v>3138</v>
      </c>
      <c r="S8" s="3230">
        <f t="shared" si="0"/>
        <v>100</v>
      </c>
      <c r="T8" s="3229" t="s">
        <v>3138</v>
      </c>
      <c r="U8" s="3230">
        <f t="shared" si="1"/>
        <v>100</v>
      </c>
      <c r="V8" s="3229" t="s">
        <v>3138</v>
      </c>
      <c r="W8" s="3230">
        <f t="shared" si="2"/>
        <v>100</v>
      </c>
      <c r="X8" s="3231"/>
      <c r="Y8" s="3881" t="s">
        <v>3137</v>
      </c>
      <c r="Z8" s="3883"/>
      <c r="AA8" s="3232">
        <f t="shared" ref="AA8:AA46" si="3">D8/F8</f>
        <v>1</v>
      </c>
      <c r="AB8" s="3232">
        <f t="shared" ref="AB8:AB46" si="4">D8/H8</f>
        <v>1</v>
      </c>
      <c r="AC8" s="3232">
        <f t="shared" ref="AC8:AC46" si="5">D8/J8</f>
        <v>1</v>
      </c>
    </row>
    <row r="9" spans="1:29" s="3233" customFormat="1" ht="15">
      <c r="A9" s="3237"/>
      <c r="B9" s="3238" t="s">
        <v>3139</v>
      </c>
      <c r="C9" s="3239" t="s">
        <v>3140</v>
      </c>
      <c r="D9" s="3240">
        <v>100</v>
      </c>
      <c r="E9" s="3239" t="s">
        <v>3140</v>
      </c>
      <c r="F9" s="3241">
        <f>SUMIF(63:63,E9,64:64)-SUMIF(63:63,C9,64:64)+100</f>
        <v>100</v>
      </c>
      <c r="G9" s="3239" t="s">
        <v>3140</v>
      </c>
      <c r="H9" s="3240">
        <f>SUMIF(63:63,G9,64:64)-SUMIF(63:63,C9,64:64)+100</f>
        <v>100</v>
      </c>
      <c r="I9" s="3239" t="s">
        <v>3140</v>
      </c>
      <c r="J9" s="3240">
        <f>SUMIF(63:63,I9,64:64)-SUMIF(63:63,C9,64:64)+100</f>
        <v>100</v>
      </c>
      <c r="K9" s="3226"/>
      <c r="L9" s="3227"/>
      <c r="M9" s="3228"/>
      <c r="N9" s="3228"/>
      <c r="O9" s="3242"/>
      <c r="P9" s="3884" t="s">
        <v>3141</v>
      </c>
      <c r="Q9" s="3243" t="str">
        <f t="shared" ref="Q9:Q15" si="6">B9</f>
        <v>用途</v>
      </c>
      <c r="R9" s="3229" t="s">
        <v>3138</v>
      </c>
      <c r="S9" s="3230">
        <f t="shared" si="0"/>
        <v>100</v>
      </c>
      <c r="T9" s="3229" t="s">
        <v>3138</v>
      </c>
      <c r="U9" s="3230">
        <f t="shared" si="1"/>
        <v>100</v>
      </c>
      <c r="V9" s="3229" t="s">
        <v>3138</v>
      </c>
      <c r="W9" s="3230">
        <f t="shared" si="2"/>
        <v>100</v>
      </c>
      <c r="X9" s="3231"/>
      <c r="Y9" s="3885" t="s">
        <v>3142</v>
      </c>
      <c r="Z9" s="3244" t="str">
        <f t="shared" ref="Z9:Z15" si="7">Q9</f>
        <v>用途</v>
      </c>
      <c r="AA9" s="3232">
        <f t="shared" si="3"/>
        <v>1</v>
      </c>
      <c r="AB9" s="3232">
        <f t="shared" si="4"/>
        <v>1</v>
      </c>
      <c r="AC9" s="3232">
        <f t="shared" si="5"/>
        <v>1</v>
      </c>
    </row>
    <row r="10" spans="1:29" s="3254" customFormat="1" ht="27">
      <c r="A10" s="3245"/>
      <c r="B10" s="3235" t="s">
        <v>3143</v>
      </c>
      <c r="C10" s="3246" t="s">
        <v>3021</v>
      </c>
      <c r="D10" s="3247">
        <v>100</v>
      </c>
      <c r="E10" s="3248" t="s">
        <v>3021</v>
      </c>
      <c r="F10" s="3249">
        <f>SUMIF(65:65,E10,66:66)-SUMIF(65:65,C10,66:66)+100</f>
        <v>100</v>
      </c>
      <c r="G10" s="3246" t="s">
        <v>3021</v>
      </c>
      <c r="H10" s="3247">
        <f>SUMIF(65:65,G10,66:66)-SUMIF(65:65,C10,66:66)+100</f>
        <v>100</v>
      </c>
      <c r="I10" s="3246" t="s">
        <v>3021</v>
      </c>
      <c r="J10" s="3247">
        <f>SUMIF(65:65,I10,66:66)-SUMIF(65:65,C10,66:66)+100</f>
        <v>100</v>
      </c>
      <c r="K10" s="3250">
        <v>2</v>
      </c>
      <c r="L10" s="3251"/>
      <c r="M10" s="3252"/>
      <c r="N10" s="3252"/>
      <c r="O10" s="3253"/>
      <c r="P10" s="3884"/>
      <c r="Q10" s="3243" t="str">
        <f t="shared" si="6"/>
        <v>土地使用年限（年）</v>
      </c>
      <c r="R10" s="3229" t="s">
        <v>3144</v>
      </c>
      <c r="S10" s="3230">
        <f t="shared" si="0"/>
        <v>100</v>
      </c>
      <c r="T10" s="3229" t="s">
        <v>3144</v>
      </c>
      <c r="U10" s="3230">
        <f t="shared" si="1"/>
        <v>100</v>
      </c>
      <c r="V10" s="3229" t="s">
        <v>3144</v>
      </c>
      <c r="W10" s="3230">
        <f t="shared" si="2"/>
        <v>100</v>
      </c>
      <c r="X10" s="3231"/>
      <c r="Y10" s="3885"/>
      <c r="Z10" s="3244" t="str">
        <f t="shared" si="7"/>
        <v>土地使用年限（年）</v>
      </c>
      <c r="AA10" s="3232">
        <f t="shared" si="3"/>
        <v>1</v>
      </c>
      <c r="AB10" s="3232">
        <f t="shared" si="4"/>
        <v>1</v>
      </c>
      <c r="AC10" s="3232">
        <f t="shared" si="5"/>
        <v>1</v>
      </c>
    </row>
    <row r="11" spans="1:29" ht="15">
      <c r="A11" s="3255"/>
      <c r="B11" s="3235" t="s">
        <v>3145</v>
      </c>
      <c r="C11" s="3256">
        <f>'数据-基础表'!A15</f>
        <v>3.5</v>
      </c>
      <c r="D11" s="3247">
        <v>100</v>
      </c>
      <c r="E11" s="3257">
        <v>3</v>
      </c>
      <c r="F11" s="3249">
        <f>LOOKUP(E11,68:68,69:69)-LOOKUP(C11,68:68,69:69)+100</f>
        <v>100</v>
      </c>
      <c r="G11" s="3256">
        <v>2</v>
      </c>
      <c r="H11" s="3247">
        <f>LOOKUP(G11,68:68,69:69)-LOOKUP(C11,68:68,69:69)+100</f>
        <v>101</v>
      </c>
      <c r="I11" s="3256">
        <v>3</v>
      </c>
      <c r="J11" s="3247">
        <f>LOOKUP(I11,68:68,69:69)-LOOKUP(C11,68:68,69:69)+100</f>
        <v>100</v>
      </c>
      <c r="K11" s="3250">
        <v>1</v>
      </c>
      <c r="L11" s="3258"/>
      <c r="M11" s="3211"/>
      <c r="N11" s="3211"/>
      <c r="O11" s="3259"/>
      <c r="P11" s="3884"/>
      <c r="Q11" s="3243" t="str">
        <f t="shared" si="6"/>
        <v>容积率</v>
      </c>
      <c r="R11" s="3229" t="s">
        <v>3144</v>
      </c>
      <c r="S11" s="3230">
        <f t="shared" si="0"/>
        <v>100</v>
      </c>
      <c r="T11" s="3229" t="s">
        <v>3144</v>
      </c>
      <c r="U11" s="3230">
        <f t="shared" si="1"/>
        <v>101</v>
      </c>
      <c r="V11" s="3229" t="s">
        <v>3144</v>
      </c>
      <c r="W11" s="3230">
        <f t="shared" si="2"/>
        <v>100</v>
      </c>
      <c r="X11" s="3231"/>
      <c r="Y11" s="3885"/>
      <c r="Z11" s="3244" t="str">
        <f t="shared" si="7"/>
        <v>容积率</v>
      </c>
      <c r="AA11" s="3232">
        <f t="shared" si="3"/>
        <v>1</v>
      </c>
      <c r="AB11" s="3232">
        <f t="shared" si="4"/>
        <v>0.99009900990099009</v>
      </c>
      <c r="AC11" s="3232">
        <f t="shared" si="5"/>
        <v>1</v>
      </c>
    </row>
    <row r="12" spans="1:29" s="3233" customFormat="1" ht="15">
      <c r="A12" s="3260"/>
      <c r="B12" s="3261">
        <v>111</v>
      </c>
      <c r="C12" s="3262"/>
      <c r="D12" s="3263">
        <v>100</v>
      </c>
      <c r="E12" s="3262"/>
      <c r="F12" s="3249">
        <f>SUMIF(70:70,E12,71:71)-SUMIF(70:70,C12,71:71)+100</f>
        <v>100</v>
      </c>
      <c r="G12" s="3262"/>
      <c r="H12" s="3247">
        <f>SUMIF(70:70,G12,71:71)-SUMIF(70:70,C12,71:71)+100</f>
        <v>100</v>
      </c>
      <c r="I12" s="3262"/>
      <c r="J12" s="3247">
        <f>SUMIF(70:70,I12,71:71)-SUMIF(70:70,C12,71:71)+100</f>
        <v>100</v>
      </c>
      <c r="K12" s="3264"/>
      <c r="L12" s="3227"/>
      <c r="M12" s="3228"/>
      <c r="N12" s="3228"/>
      <c r="O12" s="3242"/>
      <c r="P12" s="3884"/>
      <c r="Q12" s="3243">
        <f t="shared" si="6"/>
        <v>111</v>
      </c>
      <c r="R12" s="3229" t="s">
        <v>3144</v>
      </c>
      <c r="S12" s="3230">
        <f t="shared" si="0"/>
        <v>100</v>
      </c>
      <c r="T12" s="3229" t="s">
        <v>3144</v>
      </c>
      <c r="U12" s="3230">
        <f t="shared" si="1"/>
        <v>100</v>
      </c>
      <c r="V12" s="3229" t="s">
        <v>3144</v>
      </c>
      <c r="W12" s="3230">
        <f t="shared" si="2"/>
        <v>100</v>
      </c>
      <c r="X12" s="3231"/>
      <c r="Y12" s="3885"/>
      <c r="Z12" s="3244">
        <f t="shared" si="7"/>
        <v>111</v>
      </c>
      <c r="AA12" s="3232">
        <f>D12/F12</f>
        <v>1</v>
      </c>
      <c r="AB12" s="3232">
        <f>D12/H12</f>
        <v>1</v>
      </c>
      <c r="AC12" s="3232">
        <f>D12/J12</f>
        <v>1</v>
      </c>
    </row>
    <row r="13" spans="1:29" ht="15">
      <c r="A13" s="3260"/>
      <c r="B13" s="3261">
        <v>111</v>
      </c>
      <c r="C13" s="3265"/>
      <c r="D13" s="3266">
        <v>100</v>
      </c>
      <c r="E13" s="3265"/>
      <c r="F13" s="3249">
        <f>SUMIF(72:72,E13,73:73)-SUMIF(72:72,C13,73:73)+100</f>
        <v>100</v>
      </c>
      <c r="G13" s="3265"/>
      <c r="H13" s="3266">
        <f>SUMIF(72:72,G13,73:73)-SUMIF(72:72,C13,73:73)+100</f>
        <v>100</v>
      </c>
      <c r="I13" s="3265"/>
      <c r="J13" s="3266">
        <f>SUMIF(72:72,I13,73:73)-SUMIF(72:72,C13,73:73)+100</f>
        <v>100</v>
      </c>
      <c r="K13" s="3264"/>
      <c r="L13" s="3267"/>
      <c r="M13" s="3211"/>
      <c r="N13" s="3211"/>
      <c r="O13" s="3259"/>
      <c r="P13" s="3884"/>
      <c r="Q13" s="3243">
        <f t="shared" si="6"/>
        <v>111</v>
      </c>
      <c r="R13" s="3229" t="s">
        <v>3144</v>
      </c>
      <c r="S13" s="3230">
        <f t="shared" si="0"/>
        <v>100</v>
      </c>
      <c r="T13" s="3229" t="s">
        <v>3144</v>
      </c>
      <c r="U13" s="3230">
        <f t="shared" si="1"/>
        <v>100</v>
      </c>
      <c r="V13" s="3229" t="s">
        <v>3144</v>
      </c>
      <c r="W13" s="3230">
        <f t="shared" si="2"/>
        <v>100</v>
      </c>
      <c r="X13" s="3231"/>
      <c r="Y13" s="3885"/>
      <c r="Z13" s="3244">
        <f t="shared" si="7"/>
        <v>111</v>
      </c>
      <c r="AA13" s="3232">
        <f t="shared" si="3"/>
        <v>1</v>
      </c>
      <c r="AB13" s="3232">
        <f t="shared" si="4"/>
        <v>1</v>
      </c>
      <c r="AC13" s="3232">
        <f t="shared" si="5"/>
        <v>1</v>
      </c>
    </row>
    <row r="14" spans="1:29" ht="15.75" thickBot="1">
      <c r="A14" s="3268"/>
      <c r="B14" s="3269">
        <v>111</v>
      </c>
      <c r="C14" s="3270"/>
      <c r="D14" s="3271">
        <v>100</v>
      </c>
      <c r="E14" s="3270"/>
      <c r="F14" s="3272">
        <f>SUMIF(74:74,E14,75:75)-SUMIF(74:74,C14,75:75)+100</f>
        <v>100</v>
      </c>
      <c r="G14" s="3270"/>
      <c r="H14" s="3271">
        <f>SUMIF(74:74,G14,75:75)-SUMIF(74:74,C14,75:75)+100</f>
        <v>100</v>
      </c>
      <c r="I14" s="3270"/>
      <c r="J14" s="3271">
        <f>SUMIF(74:74,I14,75:75)-SUMIF(74:74,C14,75:75)+100</f>
        <v>100</v>
      </c>
      <c r="K14" s="3264"/>
      <c r="L14" s="3267"/>
      <c r="M14" s="3211"/>
      <c r="N14" s="3211"/>
      <c r="O14" s="3259"/>
      <c r="P14" s="3884"/>
      <c r="Q14" s="3243">
        <f t="shared" si="6"/>
        <v>111</v>
      </c>
      <c r="R14" s="3229" t="s">
        <v>3144</v>
      </c>
      <c r="S14" s="3230">
        <f t="shared" si="0"/>
        <v>100</v>
      </c>
      <c r="T14" s="3229" t="s">
        <v>3144</v>
      </c>
      <c r="U14" s="3230">
        <f t="shared" si="1"/>
        <v>100</v>
      </c>
      <c r="V14" s="3229" t="s">
        <v>3144</v>
      </c>
      <c r="W14" s="3230">
        <f t="shared" si="2"/>
        <v>100</v>
      </c>
      <c r="X14" s="3231"/>
      <c r="Y14" s="3885"/>
      <c r="Z14" s="3244">
        <f t="shared" si="7"/>
        <v>111</v>
      </c>
      <c r="AA14" s="3232">
        <f t="shared" si="3"/>
        <v>1</v>
      </c>
      <c r="AB14" s="3232">
        <f t="shared" si="4"/>
        <v>1</v>
      </c>
      <c r="AC14" s="3232">
        <f t="shared" si="5"/>
        <v>1</v>
      </c>
    </row>
    <row r="15" spans="1:29" ht="99.75">
      <c r="A15" s="3273" t="s">
        <v>3146</v>
      </c>
      <c r="B15" s="3274" t="s">
        <v>3147</v>
      </c>
      <c r="C15" s="3562" t="str">
        <f>估价对象房地状况!C3</f>
        <v>估价对象周边居住用地比例、居住小区规模和社区发展完善程度，综合评价居住社区成熟度一般</v>
      </c>
      <c r="D15" s="3275">
        <v>100</v>
      </c>
      <c r="E15" s="3561" t="s">
        <v>3262</v>
      </c>
      <c r="F15" s="3276">
        <f>SUMIF(76:76,E16,77:77)-SUMIF(76:76,C16,77:77)+100</f>
        <v>100</v>
      </c>
      <c r="G15" s="3561" t="s">
        <v>3262</v>
      </c>
      <c r="H15" s="3275">
        <f>SUMIF(76:76,G16,77:77)-SUMIF(76:76,C16,77:77)+100</f>
        <v>100</v>
      </c>
      <c r="I15" s="3561" t="s">
        <v>3262</v>
      </c>
      <c r="J15" s="3275">
        <f>SUMIF(76:76,I16,77:77)-SUMIF(76:76,C16,77:77)+100</f>
        <v>100</v>
      </c>
      <c r="K15" s="3277">
        <v>5</v>
      </c>
      <c r="L15" s="3267"/>
      <c r="M15" s="3211"/>
      <c r="N15" s="3211"/>
      <c r="O15" s="3259"/>
      <c r="P15" s="3886" t="s">
        <v>3148</v>
      </c>
      <c r="Q15" s="3278" t="str">
        <f t="shared" si="6"/>
        <v>居住社区成熟度</v>
      </c>
      <c r="R15" s="3279" t="s">
        <v>3134</v>
      </c>
      <c r="S15" s="3280">
        <f t="shared" si="0"/>
        <v>100</v>
      </c>
      <c r="T15" s="3279" t="s">
        <v>3134</v>
      </c>
      <c r="U15" s="3280">
        <f t="shared" si="1"/>
        <v>100</v>
      </c>
      <c r="V15" s="3279" t="s">
        <v>3134</v>
      </c>
      <c r="W15" s="3280">
        <f t="shared" si="2"/>
        <v>100</v>
      </c>
      <c r="X15" s="3212"/>
      <c r="Y15" s="3886" t="s">
        <v>3148</v>
      </c>
      <c r="Z15" s="3281" t="str">
        <f t="shared" si="7"/>
        <v>居住社区成熟度</v>
      </c>
      <c r="AA15" s="3282">
        <f t="shared" si="3"/>
        <v>1</v>
      </c>
      <c r="AB15" s="3282">
        <f t="shared" si="4"/>
        <v>1</v>
      </c>
      <c r="AC15" s="3282">
        <f t="shared" si="5"/>
        <v>1</v>
      </c>
    </row>
    <row r="16" spans="1:29" ht="15.75" thickBot="1">
      <c r="A16" s="3283"/>
      <c r="B16" s="3284"/>
      <c r="C16" s="3285" t="s">
        <v>3150</v>
      </c>
      <c r="D16" s="3286"/>
      <c r="E16" s="3285" t="s">
        <v>3150</v>
      </c>
      <c r="F16" s="3287"/>
      <c r="G16" s="3285" t="s">
        <v>3150</v>
      </c>
      <c r="H16" s="3288"/>
      <c r="I16" s="3285" t="s">
        <v>3150</v>
      </c>
      <c r="J16" s="3286"/>
      <c r="K16" s="3289"/>
      <c r="L16" s="3267"/>
      <c r="M16" s="3211"/>
      <c r="N16" s="3211"/>
      <c r="O16" s="3259"/>
      <c r="P16" s="3887"/>
      <c r="Q16" s="3278"/>
      <c r="R16" s="3279"/>
      <c r="S16" s="3280"/>
      <c r="T16" s="3279"/>
      <c r="U16" s="3280"/>
      <c r="V16" s="3279"/>
      <c r="W16" s="3280"/>
      <c r="X16" s="3212"/>
      <c r="Y16" s="3887"/>
      <c r="Z16" s="3281"/>
      <c r="AA16" s="3282">
        <v>1</v>
      </c>
      <c r="AB16" s="3282">
        <v>1</v>
      </c>
      <c r="AC16" s="3282">
        <v>1</v>
      </c>
    </row>
    <row r="17" spans="1:29" ht="85.5">
      <c r="A17" s="3283"/>
      <c r="B17" s="3290" t="s">
        <v>3151</v>
      </c>
      <c r="C17" s="3291" t="str">
        <f>估价对象房地状况!C6</f>
        <v>估价对象周边道路状况、公共交通通达情况、停车便捷程度，综合评价交通便捷度较好</v>
      </c>
      <c r="D17" s="3288">
        <v>100</v>
      </c>
      <c r="E17" s="3561" t="s">
        <v>3265</v>
      </c>
      <c r="F17" s="3293">
        <f>SUMIF(78:78,E18,79:79)-SUMIF(78:78,C18,79:79)+100</f>
        <v>100</v>
      </c>
      <c r="G17" s="3561" t="s">
        <v>3266</v>
      </c>
      <c r="H17" s="3295">
        <f>SUMIF(78:78,G18,79:79)-SUMIF(78:78,C18,79:79)+100</f>
        <v>100</v>
      </c>
      <c r="I17" s="3561" t="s">
        <v>3266</v>
      </c>
      <c r="J17" s="3295">
        <f>SUMIF(78:78,I18,79:79)-SUMIF(78:78,C18,79:79)+100</f>
        <v>100</v>
      </c>
      <c r="K17" s="3277">
        <v>2</v>
      </c>
      <c r="L17" s="3267"/>
      <c r="M17" s="3211"/>
      <c r="N17" s="3211"/>
      <c r="O17" s="3259"/>
      <c r="P17" s="3887"/>
      <c r="Q17" s="3278" t="str">
        <f>B17</f>
        <v>交通便捷度</v>
      </c>
      <c r="R17" s="3279" t="s">
        <v>3134</v>
      </c>
      <c r="S17" s="3280">
        <f>F17</f>
        <v>100</v>
      </c>
      <c r="T17" s="3279" t="s">
        <v>3134</v>
      </c>
      <c r="U17" s="3280">
        <f>H17</f>
        <v>100</v>
      </c>
      <c r="V17" s="3279" t="s">
        <v>3134</v>
      </c>
      <c r="W17" s="3280">
        <f>J17</f>
        <v>100</v>
      </c>
      <c r="X17" s="3212"/>
      <c r="Y17" s="3887"/>
      <c r="Z17" s="3281" t="str">
        <f>Q17</f>
        <v>交通便捷度</v>
      </c>
      <c r="AA17" s="3282">
        <f t="shared" si="3"/>
        <v>1</v>
      </c>
      <c r="AB17" s="3282">
        <f t="shared" si="4"/>
        <v>1</v>
      </c>
      <c r="AC17" s="3282">
        <f t="shared" si="5"/>
        <v>1</v>
      </c>
    </row>
    <row r="18" spans="1:29" ht="15">
      <c r="A18" s="3283"/>
      <c r="B18" s="3296"/>
      <c r="C18" s="3285" t="s">
        <v>3150</v>
      </c>
      <c r="D18" s="3288"/>
      <c r="E18" s="3285" t="s">
        <v>3150</v>
      </c>
      <c r="F18" s="3293"/>
      <c r="G18" s="3285" t="s">
        <v>3150</v>
      </c>
      <c r="H18" s="3286"/>
      <c r="I18" s="3285" t="s">
        <v>3150</v>
      </c>
      <c r="J18" s="3286"/>
      <c r="K18" s="3289"/>
      <c r="L18" s="3267"/>
      <c r="M18" s="3211"/>
      <c r="N18" s="3211"/>
      <c r="O18" s="3259"/>
      <c r="P18" s="3887"/>
      <c r="Q18" s="3278"/>
      <c r="R18" s="3279"/>
      <c r="S18" s="3280"/>
      <c r="T18" s="3279"/>
      <c r="U18" s="3280"/>
      <c r="V18" s="3279"/>
      <c r="W18" s="3280"/>
      <c r="X18" s="3212"/>
      <c r="Y18" s="3887"/>
      <c r="Z18" s="3281"/>
      <c r="AA18" s="3282">
        <v>1</v>
      </c>
      <c r="AB18" s="3282">
        <v>1</v>
      </c>
      <c r="AC18" s="3282">
        <v>1</v>
      </c>
    </row>
    <row r="19" spans="1:29" ht="42.75">
      <c r="A19" s="3283"/>
      <c r="B19" s="3297" t="s">
        <v>3152</v>
      </c>
      <c r="C19" s="3291" t="str">
        <f>估价对象房地状况!C7</f>
        <v>估价对象所在区域公共配套设施齐备情况</v>
      </c>
      <c r="D19" s="3295">
        <v>100</v>
      </c>
      <c r="E19" s="3298" t="s">
        <v>3264</v>
      </c>
      <c r="F19" s="3299">
        <f>SUMIF(80:80,E20,81:81)-SUMIF(80:80,C20,81:81)+100</f>
        <v>100</v>
      </c>
      <c r="G19" s="3298" t="s">
        <v>3264</v>
      </c>
      <c r="H19" s="3288">
        <f>SUMIF(80:80,G20,81:81)-SUMIF(80:80,C20,81:81)+100</f>
        <v>100</v>
      </c>
      <c r="I19" s="3298" t="s">
        <v>3264</v>
      </c>
      <c r="J19" s="3288">
        <f>SUMIF(80:80,I20,81:81)-SUMIF(80:80,C20,81:81)+100</f>
        <v>100</v>
      </c>
      <c r="K19" s="3277">
        <v>2</v>
      </c>
      <c r="L19" s="3267"/>
      <c r="M19" s="3211"/>
      <c r="N19" s="3211"/>
      <c r="O19" s="3259"/>
      <c r="P19" s="3887"/>
      <c r="Q19" s="3278" t="str">
        <f>B19</f>
        <v>公共配套设施</v>
      </c>
      <c r="R19" s="3279" t="s">
        <v>3134</v>
      </c>
      <c r="S19" s="3280">
        <f>F19</f>
        <v>100</v>
      </c>
      <c r="T19" s="3279" t="s">
        <v>3134</v>
      </c>
      <c r="U19" s="3280">
        <f>H19</f>
        <v>100</v>
      </c>
      <c r="V19" s="3279" t="s">
        <v>3134</v>
      </c>
      <c r="W19" s="3280">
        <f>J19</f>
        <v>100</v>
      </c>
      <c r="X19" s="3212"/>
      <c r="Y19" s="3887"/>
      <c r="Z19" s="3281" t="str">
        <f>Q19</f>
        <v>公共配套设施</v>
      </c>
      <c r="AA19" s="3282">
        <f t="shared" si="3"/>
        <v>1</v>
      </c>
      <c r="AB19" s="3282">
        <f t="shared" si="4"/>
        <v>1</v>
      </c>
      <c r="AC19" s="3282">
        <f t="shared" si="5"/>
        <v>1</v>
      </c>
    </row>
    <row r="20" spans="1:29" ht="15">
      <c r="A20" s="3283"/>
      <c r="B20" s="3296"/>
      <c r="C20" s="3285" t="s">
        <v>3150</v>
      </c>
      <c r="D20" s="3286"/>
      <c r="E20" s="3285" t="s">
        <v>3150</v>
      </c>
      <c r="F20" s="3287"/>
      <c r="G20" s="3285" t="s">
        <v>3150</v>
      </c>
      <c r="H20" s="3286"/>
      <c r="I20" s="3285" t="s">
        <v>3150</v>
      </c>
      <c r="J20" s="3286"/>
      <c r="K20" s="3289"/>
      <c r="L20" s="3267"/>
      <c r="M20" s="3211"/>
      <c r="N20" s="3211"/>
      <c r="O20" s="3259"/>
      <c r="P20" s="3887"/>
      <c r="Q20" s="3278"/>
      <c r="R20" s="3279"/>
      <c r="S20" s="3280"/>
      <c r="T20" s="3279"/>
      <c r="U20" s="3280"/>
      <c r="V20" s="3279"/>
      <c r="W20" s="3280"/>
      <c r="X20" s="3212"/>
      <c r="Y20" s="3887"/>
      <c r="Z20" s="3281"/>
      <c r="AA20" s="3282">
        <v>1</v>
      </c>
      <c r="AB20" s="3282">
        <v>1</v>
      </c>
      <c r="AC20" s="3282">
        <v>1</v>
      </c>
    </row>
    <row r="21" spans="1:29" ht="28.5">
      <c r="A21" s="3283"/>
      <c r="B21" s="3301" t="s">
        <v>3153</v>
      </c>
      <c r="C21" s="3291" t="str">
        <f>估价对象房地状况!C8</f>
        <v>估价对象所在区域基础设施水平</v>
      </c>
      <c r="D21" s="3295">
        <v>100</v>
      </c>
      <c r="E21" s="3300"/>
      <c r="F21" s="3299">
        <f>SUMIF(82:82,E22,83:83)-SUMIF(82:82,C22,83:83)+100</f>
        <v>100</v>
      </c>
      <c r="G21" s="3300"/>
      <c r="H21" s="3295">
        <f>SUMIF(82:82,G22,83:83)-SUMIF(82:82,C22,83:83)+100</f>
        <v>100</v>
      </c>
      <c r="I21" s="3298"/>
      <c r="J21" s="3295">
        <f>SUMIF(82:82,I22,83:83)-SUMIF(82:82,C22,83:83)+100</f>
        <v>100</v>
      </c>
      <c r="K21" s="3277">
        <v>1</v>
      </c>
      <c r="L21" s="3267"/>
      <c r="M21" s="3211"/>
      <c r="N21" s="3211"/>
      <c r="O21" s="3259"/>
      <c r="P21" s="3887"/>
      <c r="Q21" s="3278" t="str">
        <f>B21</f>
        <v>基础设施水平</v>
      </c>
      <c r="R21" s="3279" t="s">
        <v>3134</v>
      </c>
      <c r="S21" s="3280">
        <f>F21</f>
        <v>100</v>
      </c>
      <c r="T21" s="3279" t="s">
        <v>3134</v>
      </c>
      <c r="U21" s="3280">
        <f>H21</f>
        <v>100</v>
      </c>
      <c r="V21" s="3279" t="s">
        <v>3134</v>
      </c>
      <c r="W21" s="3280">
        <f>J21</f>
        <v>100</v>
      </c>
      <c r="X21" s="3212"/>
      <c r="Y21" s="3887"/>
      <c r="Z21" s="3281" t="str">
        <f>Q21</f>
        <v>基础设施水平</v>
      </c>
      <c r="AA21" s="3282">
        <f t="shared" ref="AA21" si="8">D21/F21</f>
        <v>1</v>
      </c>
      <c r="AB21" s="3282">
        <f t="shared" ref="AB21" si="9">D21/H21</f>
        <v>1</v>
      </c>
      <c r="AC21" s="3282">
        <f t="shared" ref="AC21" si="10">D21/J21</f>
        <v>1</v>
      </c>
    </row>
    <row r="22" spans="1:29" ht="15">
      <c r="A22" s="3283"/>
      <c r="B22" s="3302"/>
      <c r="C22" s="3566" t="s">
        <v>3154</v>
      </c>
      <c r="D22" s="3286"/>
      <c r="E22" s="3566" t="s">
        <v>3154</v>
      </c>
      <c r="F22" s="3287"/>
      <c r="G22" s="3566" t="s">
        <v>3154</v>
      </c>
      <c r="H22" s="3286"/>
      <c r="I22" s="3566" t="s">
        <v>3154</v>
      </c>
      <c r="J22" s="3286"/>
      <c r="K22" s="3303"/>
      <c r="L22" s="3267"/>
      <c r="M22" s="3211"/>
      <c r="N22" s="3211"/>
      <c r="O22" s="3259"/>
      <c r="P22" s="3887"/>
      <c r="Q22" s="3278"/>
      <c r="R22" s="3279"/>
      <c r="S22" s="3280"/>
      <c r="T22" s="3279"/>
      <c r="U22" s="3280"/>
      <c r="V22" s="3279"/>
      <c r="W22" s="3280"/>
      <c r="X22" s="3212"/>
      <c r="Y22" s="3887"/>
      <c r="Z22" s="3281"/>
      <c r="AA22" s="3282">
        <v>1</v>
      </c>
      <c r="AB22" s="3282">
        <v>1</v>
      </c>
      <c r="AC22" s="3282">
        <v>1</v>
      </c>
    </row>
    <row r="23" spans="1:29" ht="57">
      <c r="A23" s="3283"/>
      <c r="B23" s="3290" t="s">
        <v>3155</v>
      </c>
      <c r="C23" s="3563" t="str">
        <f>估价对象房地状况!C9</f>
        <v>区域自然环境：；人文环境；综合评价环境状况一般</v>
      </c>
      <c r="D23" s="3288">
        <v>100</v>
      </c>
      <c r="E23" s="3292" t="s">
        <v>3273</v>
      </c>
      <c r="F23" s="3293">
        <f>SUMIF(84:84,E24,85:85)-SUMIF(84:84,C24,85:85)+100</f>
        <v>100</v>
      </c>
      <c r="G23" s="3294" t="s">
        <v>3273</v>
      </c>
      <c r="H23" s="3288">
        <f>SUMIF(84:84,G24,85:85)-SUMIF(84:84,C24,85:85)+100</f>
        <v>100</v>
      </c>
      <c r="I23" s="3292" t="s">
        <v>3273</v>
      </c>
      <c r="J23" s="3288">
        <f>SUMIF(84:84,I24,85:85)-SUMIF(84:84,C24,85:85)+100</f>
        <v>100</v>
      </c>
      <c r="K23" s="3277">
        <v>1</v>
      </c>
      <c r="L23" s="3267"/>
      <c r="M23" s="3211"/>
      <c r="N23" s="3211"/>
      <c r="O23" s="3259"/>
      <c r="P23" s="3887"/>
      <c r="Q23" s="3278" t="str">
        <f>B23</f>
        <v>自然及人文环境</v>
      </c>
      <c r="R23" s="3279" t="s">
        <v>3134</v>
      </c>
      <c r="S23" s="3280">
        <f>F23</f>
        <v>100</v>
      </c>
      <c r="T23" s="3279" t="s">
        <v>3134</v>
      </c>
      <c r="U23" s="3280">
        <f>H23</f>
        <v>100</v>
      </c>
      <c r="V23" s="3279" t="s">
        <v>3134</v>
      </c>
      <c r="W23" s="3280">
        <f>J23</f>
        <v>100</v>
      </c>
      <c r="X23" s="3212"/>
      <c r="Y23" s="3887"/>
      <c r="Z23" s="3281" t="str">
        <f>Q23</f>
        <v>自然及人文环境</v>
      </c>
      <c r="AA23" s="3282">
        <f t="shared" si="3"/>
        <v>1</v>
      </c>
      <c r="AB23" s="3282">
        <f t="shared" si="4"/>
        <v>1</v>
      </c>
      <c r="AC23" s="3282">
        <f t="shared" si="5"/>
        <v>1</v>
      </c>
    </row>
    <row r="24" spans="1:29" ht="15.75" thickBot="1">
      <c r="A24" s="3283"/>
      <c r="B24" s="3296"/>
      <c r="C24" s="3285" t="s">
        <v>3150</v>
      </c>
      <c r="D24" s="3286"/>
      <c r="E24" s="3285" t="s">
        <v>3150</v>
      </c>
      <c r="F24" s="3287"/>
      <c r="G24" s="3285" t="s">
        <v>3150</v>
      </c>
      <c r="H24" s="3286"/>
      <c r="I24" s="3285" t="s">
        <v>3150</v>
      </c>
      <c r="J24" s="3286"/>
      <c r="K24" s="3289"/>
      <c r="L24" s="3267"/>
      <c r="M24" s="3211"/>
      <c r="N24" s="3211"/>
      <c r="O24" s="3259"/>
      <c r="P24" s="3887"/>
      <c r="Q24" s="3278"/>
      <c r="R24" s="3279"/>
      <c r="S24" s="3280"/>
      <c r="T24" s="3279"/>
      <c r="U24" s="3280"/>
      <c r="V24" s="3279"/>
      <c r="W24" s="3280"/>
      <c r="X24" s="3212"/>
      <c r="Y24" s="3887"/>
      <c r="Z24" s="3281"/>
      <c r="AA24" s="3282">
        <v>1</v>
      </c>
      <c r="AB24" s="3282">
        <v>1</v>
      </c>
      <c r="AC24" s="3282">
        <v>1</v>
      </c>
    </row>
    <row r="25" spans="1:29" ht="15" hidden="1">
      <c r="A25" s="3283"/>
      <c r="B25" s="3304" t="s">
        <v>2258</v>
      </c>
      <c r="C25" s="3305"/>
      <c r="D25" s="3266">
        <v>100</v>
      </c>
      <c r="E25" s="3306"/>
      <c r="F25" s="3307">
        <f>SUMIF(86:86,E25,87:87)-SUMIF(86:86,C25,87:87)+100</f>
        <v>100</v>
      </c>
      <c r="G25" s="3308"/>
      <c r="H25" s="3266">
        <f>SUMIF(86:86,G25,87:87)-SUMIF(86:86,C25,87:87)+100</f>
        <v>100</v>
      </c>
      <c r="I25" s="3306"/>
      <c r="J25" s="3266">
        <f>SUMIF(86:86,I25,87:87)-SUMIF(86:86,C25,87:87)+100</f>
        <v>100</v>
      </c>
      <c r="K25" s="3250"/>
      <c r="L25" s="3267"/>
      <c r="M25" s="3211"/>
      <c r="N25" s="3211"/>
      <c r="O25" s="3259"/>
      <c r="P25" s="3887"/>
      <c r="Q25" s="3278" t="str">
        <f t="shared" ref="Q25:Q46" si="11">B25</f>
        <v>楼层-1</v>
      </c>
      <c r="R25" s="3279" t="s">
        <v>3134</v>
      </c>
      <c r="S25" s="3280">
        <f>F25</f>
        <v>100</v>
      </c>
      <c r="T25" s="3279" t="s">
        <v>3134</v>
      </c>
      <c r="U25" s="3280">
        <f>H25</f>
        <v>100</v>
      </c>
      <c r="V25" s="3279" t="s">
        <v>3134</v>
      </c>
      <c r="W25" s="3280">
        <f>J25</f>
        <v>100</v>
      </c>
      <c r="X25" s="3212"/>
      <c r="Y25" s="3887"/>
      <c r="Z25" s="3281" t="str">
        <f>Q25</f>
        <v>楼层-1</v>
      </c>
      <c r="AA25" s="3282">
        <f t="shared" si="3"/>
        <v>1</v>
      </c>
      <c r="AB25" s="3282">
        <f t="shared" si="4"/>
        <v>1</v>
      </c>
      <c r="AC25" s="3282">
        <f t="shared" si="5"/>
        <v>1</v>
      </c>
    </row>
    <row r="26" spans="1:29" ht="15" hidden="1">
      <c r="A26" s="3283"/>
      <c r="B26" s="3309" t="s">
        <v>3156</v>
      </c>
      <c r="C26" s="3305"/>
      <c r="D26" s="3266">
        <v>100</v>
      </c>
      <c r="E26" s="3306"/>
      <c r="F26" s="3307">
        <f>SUMIF(88:88,E26,89:89)-SUMIF(88:88,C26,89:89)+100</f>
        <v>100</v>
      </c>
      <c r="G26" s="3308"/>
      <c r="H26" s="3266">
        <f>SUMIF(88:88,G26,89:89)-SUMIF(88:88,C26,89:89)+100</f>
        <v>100</v>
      </c>
      <c r="I26" s="3306"/>
      <c r="J26" s="3266">
        <f>SUMIF(88:88,I26,89:89)-SUMIF(88:88,C26,89:89)+100</f>
        <v>100</v>
      </c>
      <c r="K26" s="3250"/>
      <c r="L26" s="3267"/>
      <c r="M26" s="3211"/>
      <c r="N26" s="3211"/>
      <c r="O26" s="3259"/>
      <c r="P26" s="3887"/>
      <c r="Q26" s="3278" t="str">
        <f t="shared" si="11"/>
        <v>朝向</v>
      </c>
      <c r="R26" s="3279" t="s">
        <v>3138</v>
      </c>
      <c r="S26" s="3280">
        <f>F26</f>
        <v>100</v>
      </c>
      <c r="T26" s="3279" t="s">
        <v>3134</v>
      </c>
      <c r="U26" s="3280">
        <f>H26</f>
        <v>100</v>
      </c>
      <c r="V26" s="3279" t="s">
        <v>3134</v>
      </c>
      <c r="W26" s="3280">
        <f>J26</f>
        <v>100</v>
      </c>
      <c r="X26" s="3212"/>
      <c r="Y26" s="3887"/>
      <c r="Z26" s="3281" t="str">
        <f>Q26</f>
        <v>朝向</v>
      </c>
      <c r="AA26" s="3282">
        <f t="shared" si="3"/>
        <v>1</v>
      </c>
      <c r="AB26" s="3282">
        <f t="shared" si="4"/>
        <v>1</v>
      </c>
      <c r="AC26" s="3282">
        <f t="shared" si="5"/>
        <v>1</v>
      </c>
    </row>
    <row r="27" spans="1:29" s="3233" customFormat="1" ht="15" hidden="1">
      <c r="A27" s="3310"/>
      <c r="B27" s="3311" t="s">
        <v>3157</v>
      </c>
      <c r="C27" s="3262"/>
      <c r="D27" s="3312">
        <v>100</v>
      </c>
      <c r="E27" s="3313"/>
      <c r="F27" s="3314">
        <f>SUMIF(90:90,E27,91:91)-SUMIF(90:90,C27,91:91)+100</f>
        <v>100</v>
      </c>
      <c r="G27" s="3315"/>
      <c r="H27" s="3312">
        <f>SUMIF(90:90,G27,91:91)-SUMIF(90:90,C27,91:91)+100</f>
        <v>100</v>
      </c>
      <c r="I27" s="3313"/>
      <c r="J27" s="3312">
        <f>SUMIF(90:90,I27,91:91)-SUMIF(90:90,C27,91:91)+100</f>
        <v>100</v>
      </c>
      <c r="K27" s="3264"/>
      <c r="L27" s="3227"/>
      <c r="M27" s="3228"/>
      <c r="N27" s="3228"/>
      <c r="O27" s="3242"/>
      <c r="P27" s="3887"/>
      <c r="Q27" s="3243" t="str">
        <f t="shared" si="11"/>
        <v>道路级别</v>
      </c>
      <c r="R27" s="3229" t="s">
        <v>3134</v>
      </c>
      <c r="S27" s="3230">
        <f>F27</f>
        <v>100</v>
      </c>
      <c r="T27" s="3229" t="s">
        <v>3134</v>
      </c>
      <c r="U27" s="3230">
        <f>H27</f>
        <v>100</v>
      </c>
      <c r="V27" s="3229" t="s">
        <v>3134</v>
      </c>
      <c r="W27" s="3230">
        <f>J27</f>
        <v>100</v>
      </c>
      <c r="X27" s="3231"/>
      <c r="Y27" s="3887"/>
      <c r="Z27" s="3244" t="str">
        <f>Q27</f>
        <v>道路级别</v>
      </c>
      <c r="AA27" s="3282">
        <f>D27/F27</f>
        <v>1</v>
      </c>
      <c r="AB27" s="3282">
        <f>D27/H27</f>
        <v>1</v>
      </c>
      <c r="AC27" s="3282">
        <f>D27/J27</f>
        <v>1</v>
      </c>
    </row>
    <row r="28" spans="1:29" ht="15" hidden="1">
      <c r="A28" s="3283"/>
      <c r="B28" s="3316">
        <v>111</v>
      </c>
      <c r="C28" s="3265"/>
      <c r="D28" s="3266">
        <v>100</v>
      </c>
      <c r="E28" s="3265"/>
      <c r="F28" s="3307">
        <f>SUMIF(92:92,E28,93:93)-SUMIF(92:92,C28,93:93)+100</f>
        <v>100</v>
      </c>
      <c r="G28" s="3265"/>
      <c r="H28" s="3266">
        <f>SUMIF(92:92,G28,93:93)-SUMIF(92:92,C28,93:93)+100</f>
        <v>100</v>
      </c>
      <c r="I28" s="3265"/>
      <c r="J28" s="3266">
        <f>SUMIF(92:92,I28,93:93)-SUMIF(92:92,C28,93:93)+100</f>
        <v>100</v>
      </c>
      <c r="K28" s="3264"/>
      <c r="L28" s="3267"/>
      <c r="M28" s="3211"/>
      <c r="N28" s="3211"/>
      <c r="O28" s="3259"/>
      <c r="P28" s="3887"/>
      <c r="Q28" s="3278">
        <f t="shared" si="11"/>
        <v>111</v>
      </c>
      <c r="R28" s="3279" t="s">
        <v>3134</v>
      </c>
      <c r="S28" s="3280">
        <f t="shared" ref="S28:S46" si="12">F28</f>
        <v>100</v>
      </c>
      <c r="T28" s="3279" t="s">
        <v>3134</v>
      </c>
      <c r="U28" s="3280">
        <f t="shared" ref="U28:U46" si="13">H28</f>
        <v>100</v>
      </c>
      <c r="V28" s="3279" t="s">
        <v>3134</v>
      </c>
      <c r="W28" s="3280">
        <f t="shared" ref="W28:W46" si="14">J28</f>
        <v>100</v>
      </c>
      <c r="X28" s="3212"/>
      <c r="Y28" s="3887"/>
      <c r="Z28" s="3281">
        <f t="shared" ref="Z28:Z46" si="15">Q28</f>
        <v>111</v>
      </c>
      <c r="AA28" s="3282">
        <f t="shared" si="3"/>
        <v>1</v>
      </c>
      <c r="AB28" s="3282">
        <f t="shared" si="4"/>
        <v>1</v>
      </c>
      <c r="AC28" s="3282">
        <f t="shared" si="5"/>
        <v>1</v>
      </c>
    </row>
    <row r="29" spans="1:29" ht="15" hidden="1">
      <c r="A29" s="3283"/>
      <c r="B29" s="3316">
        <v>111</v>
      </c>
      <c r="C29" s="3265"/>
      <c r="D29" s="3266">
        <v>100</v>
      </c>
      <c r="E29" s="3265"/>
      <c r="F29" s="3307">
        <f>SUMIF(94:94,E29,95:95)-SUMIF(94:94,C29,95:95)+100</f>
        <v>100</v>
      </c>
      <c r="G29" s="3265"/>
      <c r="H29" s="3266">
        <f>SUMIF(94:94,G29,95:95)-SUMIF(94:94,C29,95:95)+100</f>
        <v>100</v>
      </c>
      <c r="I29" s="3265"/>
      <c r="J29" s="3266">
        <f>SUMIF(94:94,I29,95:95)-SUMIF(94:94,C29,95:95)+100</f>
        <v>100</v>
      </c>
      <c r="K29" s="3264"/>
      <c r="L29" s="3267"/>
      <c r="M29" s="3211"/>
      <c r="N29" s="3211"/>
      <c r="O29" s="3259"/>
      <c r="P29" s="3887"/>
      <c r="Q29" s="3278">
        <f t="shared" si="11"/>
        <v>111</v>
      </c>
      <c r="R29" s="3279" t="s">
        <v>3134</v>
      </c>
      <c r="S29" s="3280">
        <f t="shared" si="12"/>
        <v>100</v>
      </c>
      <c r="T29" s="3279" t="s">
        <v>3134</v>
      </c>
      <c r="U29" s="3280">
        <f t="shared" si="13"/>
        <v>100</v>
      </c>
      <c r="V29" s="3279" t="s">
        <v>3134</v>
      </c>
      <c r="W29" s="3280">
        <f t="shared" si="14"/>
        <v>100</v>
      </c>
      <c r="X29" s="3212"/>
      <c r="Y29" s="3887"/>
      <c r="Z29" s="3281">
        <f t="shared" si="15"/>
        <v>111</v>
      </c>
      <c r="AA29" s="3282">
        <f t="shared" si="3"/>
        <v>1</v>
      </c>
      <c r="AB29" s="3282">
        <f t="shared" si="4"/>
        <v>1</v>
      </c>
      <c r="AC29" s="3282">
        <f t="shared" si="5"/>
        <v>1</v>
      </c>
    </row>
    <row r="30" spans="1:29" ht="15" hidden="1">
      <c r="A30" s="3283"/>
      <c r="B30" s="3316">
        <v>111</v>
      </c>
      <c r="C30" s="3265"/>
      <c r="D30" s="3266">
        <v>100</v>
      </c>
      <c r="E30" s="3265"/>
      <c r="F30" s="3307">
        <f>SUMIF(96:96,E30,97:97)-SUMIF(96:96,C30,97:97)+100</f>
        <v>100</v>
      </c>
      <c r="G30" s="3265"/>
      <c r="H30" s="3266">
        <f>SUMIF(96:96,G30,97:97)-SUMIF(96:96,C30,97:97)+100</f>
        <v>100</v>
      </c>
      <c r="I30" s="3265"/>
      <c r="J30" s="3266">
        <f>SUMIF(96:96,I30,97:97)-SUMIF(96:96,C30,97:97)+100</f>
        <v>100</v>
      </c>
      <c r="K30" s="3264"/>
      <c r="L30" s="3267"/>
      <c r="M30" s="3211"/>
      <c r="N30" s="3211"/>
      <c r="O30" s="3259"/>
      <c r="P30" s="3887"/>
      <c r="Q30" s="3278">
        <f t="shared" si="11"/>
        <v>111</v>
      </c>
      <c r="R30" s="3279" t="s">
        <v>3134</v>
      </c>
      <c r="S30" s="3280">
        <f t="shared" si="12"/>
        <v>100</v>
      </c>
      <c r="T30" s="3279" t="s">
        <v>3134</v>
      </c>
      <c r="U30" s="3280">
        <f t="shared" si="13"/>
        <v>100</v>
      </c>
      <c r="V30" s="3279" t="s">
        <v>3134</v>
      </c>
      <c r="W30" s="3280">
        <f t="shared" si="14"/>
        <v>100</v>
      </c>
      <c r="X30" s="3212"/>
      <c r="Y30" s="3887"/>
      <c r="Z30" s="3281">
        <f t="shared" si="15"/>
        <v>111</v>
      </c>
      <c r="AA30" s="3282">
        <f t="shared" si="3"/>
        <v>1</v>
      </c>
      <c r="AB30" s="3282">
        <f t="shared" si="4"/>
        <v>1</v>
      </c>
      <c r="AC30" s="3282">
        <f t="shared" si="5"/>
        <v>1</v>
      </c>
    </row>
    <row r="31" spans="1:29" ht="15.75" hidden="1" thickBot="1">
      <c r="A31" s="3317"/>
      <c r="B31" s="3316">
        <v>111</v>
      </c>
      <c r="C31" s="3270"/>
      <c r="D31" s="3271">
        <v>100</v>
      </c>
      <c r="E31" s="3270"/>
      <c r="F31" s="3272">
        <f>SUMIF(98:98,E31,99:99)-SUMIF(98:98,C31,99:99)+100</f>
        <v>100</v>
      </c>
      <c r="G31" s="3270"/>
      <c r="H31" s="3271">
        <f>SUMIF(98:98,G31,99:99)-SUMIF(98:98,C31,99:99)+100</f>
        <v>100</v>
      </c>
      <c r="I31" s="3270"/>
      <c r="J31" s="3271">
        <f>SUMIF(98:98,I31,99:99)-SUMIF(98:98,C31,99:99)+100</f>
        <v>100</v>
      </c>
      <c r="K31" s="3264"/>
      <c r="L31" s="3267"/>
      <c r="M31" s="3211"/>
      <c r="N31" s="3211"/>
      <c r="O31" s="3259"/>
      <c r="P31" s="3887"/>
      <c r="Q31" s="3278">
        <f t="shared" si="11"/>
        <v>111</v>
      </c>
      <c r="R31" s="3279" t="s">
        <v>3134</v>
      </c>
      <c r="S31" s="3280">
        <f t="shared" si="12"/>
        <v>100</v>
      </c>
      <c r="T31" s="3279" t="s">
        <v>3134</v>
      </c>
      <c r="U31" s="3280">
        <f t="shared" si="13"/>
        <v>100</v>
      </c>
      <c r="V31" s="3279" t="s">
        <v>3134</v>
      </c>
      <c r="W31" s="3280">
        <f t="shared" si="14"/>
        <v>100</v>
      </c>
      <c r="X31" s="3212"/>
      <c r="Y31" s="3887"/>
      <c r="Z31" s="3281">
        <f t="shared" si="15"/>
        <v>111</v>
      </c>
      <c r="AA31" s="3282">
        <f t="shared" si="3"/>
        <v>1</v>
      </c>
      <c r="AB31" s="3282">
        <f t="shared" si="4"/>
        <v>1</v>
      </c>
      <c r="AC31" s="3282">
        <f t="shared" si="5"/>
        <v>1</v>
      </c>
    </row>
    <row r="32" spans="1:29" ht="15">
      <c r="A32" s="3318" t="s">
        <v>3158</v>
      </c>
      <c r="B32" s="3319" t="s">
        <v>3159</v>
      </c>
      <c r="C32" s="3320" t="s">
        <v>3160</v>
      </c>
      <c r="D32" s="3321">
        <v>100</v>
      </c>
      <c r="E32" s="3320" t="s">
        <v>3160</v>
      </c>
      <c r="F32" s="3307">
        <f>SUMIF(100:100,E32,101:101)-SUMIF(100:100,C32,101:101)+100</f>
        <v>100</v>
      </c>
      <c r="G32" s="3320" t="s">
        <v>3160</v>
      </c>
      <c r="H32" s="3321">
        <f>SUMIF(100:100,G32,101:101)-SUMIF(100:100,C32,101:101)+100</f>
        <v>100</v>
      </c>
      <c r="I32" s="3320" t="s">
        <v>3160</v>
      </c>
      <c r="J32" s="3266">
        <f>SUMIF(100:100,I32,101:101)-SUMIF(100:100,C32,101:101)+100</f>
        <v>100</v>
      </c>
      <c r="K32" s="3250">
        <v>2</v>
      </c>
      <c r="L32" s="3267"/>
      <c r="M32" s="3211"/>
      <c r="N32" s="3211"/>
      <c r="O32" s="3259"/>
      <c r="P32" s="3888" t="s">
        <v>3161</v>
      </c>
      <c r="Q32" s="3278" t="str">
        <f t="shared" si="11"/>
        <v>建筑类型</v>
      </c>
      <c r="R32" s="3279" t="s">
        <v>3134</v>
      </c>
      <c r="S32" s="3280">
        <f t="shared" si="12"/>
        <v>100</v>
      </c>
      <c r="T32" s="3279" t="s">
        <v>3134</v>
      </c>
      <c r="U32" s="3280">
        <f t="shared" si="13"/>
        <v>100</v>
      </c>
      <c r="V32" s="3279" t="s">
        <v>3134</v>
      </c>
      <c r="W32" s="3280">
        <f t="shared" si="14"/>
        <v>100</v>
      </c>
      <c r="X32" s="3212"/>
      <c r="Y32" s="3889" t="s">
        <v>3162</v>
      </c>
      <c r="Z32" s="3281" t="str">
        <f t="shared" si="15"/>
        <v>建筑类型</v>
      </c>
      <c r="AA32" s="3282">
        <f t="shared" si="3"/>
        <v>1</v>
      </c>
      <c r="AB32" s="3282">
        <f t="shared" si="4"/>
        <v>1</v>
      </c>
      <c r="AC32" s="3282">
        <f t="shared" si="5"/>
        <v>1</v>
      </c>
    </row>
    <row r="33" spans="1:29" s="3331" customFormat="1" ht="15">
      <c r="A33" s="3322"/>
      <c r="B33" s="3309" t="s">
        <v>3163</v>
      </c>
      <c r="C33" s="3323">
        <f>'数据-基础表'!A16</f>
        <v>76408.289999999994</v>
      </c>
      <c r="D33" s="3247">
        <v>100</v>
      </c>
      <c r="E33" s="3257">
        <v>170000</v>
      </c>
      <c r="F33" s="3249">
        <f>LOOKUP(E33,103:103,104:104)-LOOKUP(C33,103:103,104:104)+100</f>
        <v>99</v>
      </c>
      <c r="G33" s="3256">
        <v>424254</v>
      </c>
      <c r="H33" s="3247">
        <f>LOOKUP(G33,103:103,104:104)-LOOKUP(C33,103:103,104:104)+100</f>
        <v>97</v>
      </c>
      <c r="I33" s="3257">
        <v>210000</v>
      </c>
      <c r="J33" s="3247">
        <f>LOOKUP(I33,103:103,104:104)-LOOKUP(C33,103:103,104:104)+100</f>
        <v>98</v>
      </c>
      <c r="K33" s="3264"/>
      <c r="L33" s="3258"/>
      <c r="M33" s="3324"/>
      <c r="N33" s="3324"/>
      <c r="O33" s="3325"/>
      <c r="P33" s="3889"/>
      <c r="Q33" s="3326" t="str">
        <f t="shared" si="11"/>
        <v>项目建筑规模</v>
      </c>
      <c r="R33" s="3327" t="s">
        <v>3134</v>
      </c>
      <c r="S33" s="3328">
        <f t="shared" si="12"/>
        <v>99</v>
      </c>
      <c r="T33" s="3327" t="s">
        <v>3134</v>
      </c>
      <c r="U33" s="3328">
        <f t="shared" si="13"/>
        <v>97</v>
      </c>
      <c r="V33" s="3327" t="s">
        <v>3134</v>
      </c>
      <c r="W33" s="3328">
        <f t="shared" si="14"/>
        <v>98</v>
      </c>
      <c r="X33" s="3329"/>
      <c r="Y33" s="3889"/>
      <c r="Z33" s="3330" t="str">
        <f t="shared" si="15"/>
        <v>项目建筑规模</v>
      </c>
      <c r="AA33" s="3282">
        <f t="shared" si="3"/>
        <v>1.0101010101010102</v>
      </c>
      <c r="AB33" s="3282">
        <f t="shared" si="4"/>
        <v>1.0309278350515463</v>
      </c>
      <c r="AC33" s="3282">
        <f t="shared" si="5"/>
        <v>1.0204081632653061</v>
      </c>
    </row>
    <row r="34" spans="1:29" ht="15">
      <c r="A34" s="3332"/>
      <c r="B34" s="3309" t="s">
        <v>3164</v>
      </c>
      <c r="C34" s="3333" t="s">
        <v>3093</v>
      </c>
      <c r="D34" s="3266">
        <v>100</v>
      </c>
      <c r="E34" s="3333" t="s">
        <v>3093</v>
      </c>
      <c r="F34" s="3307">
        <f>SUMIF(105:105,E34,106:106)-SUMIF(105:105,C34,106:106)+100</f>
        <v>100</v>
      </c>
      <c r="G34" s="3333" t="s">
        <v>3093</v>
      </c>
      <c r="H34" s="3266">
        <f>SUMIF(105:105,G34,106:106)-SUMIF(105:105,C34,106:106)+100</f>
        <v>100</v>
      </c>
      <c r="I34" s="3333" t="s">
        <v>3093</v>
      </c>
      <c r="J34" s="3266">
        <f>SUMIF(105:105,I34,106:106)-SUMIF(105:105,C34,106:106)+100</f>
        <v>100</v>
      </c>
      <c r="K34" s="3250">
        <v>2</v>
      </c>
      <c r="L34" s="3267"/>
      <c r="M34" s="3211"/>
      <c r="N34" s="3211"/>
      <c r="O34" s="3259"/>
      <c r="P34" s="3889"/>
      <c r="Q34" s="3278" t="str">
        <f t="shared" si="11"/>
        <v>建筑结构</v>
      </c>
      <c r="R34" s="3279" t="s">
        <v>3134</v>
      </c>
      <c r="S34" s="3280">
        <f t="shared" si="12"/>
        <v>100</v>
      </c>
      <c r="T34" s="3279" t="s">
        <v>3134</v>
      </c>
      <c r="U34" s="3280">
        <f t="shared" si="13"/>
        <v>100</v>
      </c>
      <c r="V34" s="3279" t="s">
        <v>3134</v>
      </c>
      <c r="W34" s="3280">
        <f t="shared" si="14"/>
        <v>100</v>
      </c>
      <c r="X34" s="3212"/>
      <c r="Y34" s="3889"/>
      <c r="Z34" s="3281" t="str">
        <f t="shared" si="15"/>
        <v>建筑结构</v>
      </c>
      <c r="AA34" s="3282">
        <f t="shared" si="3"/>
        <v>1</v>
      </c>
      <c r="AB34" s="3282">
        <f t="shared" si="4"/>
        <v>1</v>
      </c>
      <c r="AC34" s="3282">
        <f t="shared" si="5"/>
        <v>1</v>
      </c>
    </row>
    <row r="35" spans="1:29" ht="15">
      <c r="A35" s="3332"/>
      <c r="B35" s="3309" t="s">
        <v>3165</v>
      </c>
      <c r="C35" s="3308" t="s">
        <v>3166</v>
      </c>
      <c r="D35" s="3266">
        <v>100</v>
      </c>
      <c r="E35" s="3308" t="s">
        <v>3166</v>
      </c>
      <c r="F35" s="3307">
        <f>SUMIF(107:107,E35,108:108)-SUMIF(107:107,C35,108:108)+100</f>
        <v>100</v>
      </c>
      <c r="G35" s="3308" t="s">
        <v>3166</v>
      </c>
      <c r="H35" s="3266">
        <f>SUMIF(107:107,G35,108:108)-SUMIF(107:107,C35,108:108)+100</f>
        <v>100</v>
      </c>
      <c r="I35" s="3308" t="s">
        <v>3166</v>
      </c>
      <c r="J35" s="3266">
        <f>SUMIF(107:107,I35,108:108)-SUMIF(107:107,C35,108:108)+100</f>
        <v>100</v>
      </c>
      <c r="K35" s="3250">
        <v>2</v>
      </c>
      <c r="L35" s="3267"/>
      <c r="M35" s="3211"/>
      <c r="N35" s="3211"/>
      <c r="O35" s="3259"/>
      <c r="P35" s="3889"/>
      <c r="Q35" s="3278" t="str">
        <f t="shared" si="11"/>
        <v>建筑品质</v>
      </c>
      <c r="R35" s="3279" t="s">
        <v>3134</v>
      </c>
      <c r="S35" s="3280">
        <f t="shared" si="12"/>
        <v>100</v>
      </c>
      <c r="T35" s="3279" t="s">
        <v>3134</v>
      </c>
      <c r="U35" s="3280">
        <f t="shared" si="13"/>
        <v>100</v>
      </c>
      <c r="V35" s="3279" t="s">
        <v>3134</v>
      </c>
      <c r="W35" s="3280">
        <f t="shared" si="14"/>
        <v>100</v>
      </c>
      <c r="X35" s="3212"/>
      <c r="Y35" s="3889"/>
      <c r="Z35" s="3281" t="str">
        <f t="shared" si="15"/>
        <v>建筑品质</v>
      </c>
      <c r="AA35" s="3282">
        <f t="shared" si="3"/>
        <v>1</v>
      </c>
      <c r="AB35" s="3282">
        <f t="shared" si="4"/>
        <v>1</v>
      </c>
      <c r="AC35" s="3282">
        <f t="shared" si="5"/>
        <v>1</v>
      </c>
    </row>
    <row r="36" spans="1:29" ht="15">
      <c r="A36" s="3332"/>
      <c r="B36" s="3309" t="s">
        <v>3167</v>
      </c>
      <c r="C36" s="3308" t="s">
        <v>3168</v>
      </c>
      <c r="D36" s="3266">
        <v>100</v>
      </c>
      <c r="E36" s="3308" t="s">
        <v>3168</v>
      </c>
      <c r="F36" s="3307">
        <f>SUMIF(109:109,E36,110:110)-SUMIF(109:109,C36,110:110)+100</f>
        <v>100</v>
      </c>
      <c r="G36" s="3308" t="s">
        <v>3168</v>
      </c>
      <c r="H36" s="3266">
        <f>SUMIF(109:109,G36,110:110)-SUMIF(109:109,C36,110:110)+100</f>
        <v>100</v>
      </c>
      <c r="I36" s="3308" t="s">
        <v>3168</v>
      </c>
      <c r="J36" s="3266">
        <f>SUMIF(109:109,I36,110:110)-SUMIF(109:109,C36,110:110)+100</f>
        <v>100</v>
      </c>
      <c r="K36" s="3250">
        <v>2</v>
      </c>
      <c r="L36" s="3267"/>
      <c r="M36" s="3211"/>
      <c r="N36" s="3211"/>
      <c r="O36" s="3259"/>
      <c r="P36" s="3889"/>
      <c r="Q36" s="3278" t="str">
        <f t="shared" si="11"/>
        <v>公共部分装修</v>
      </c>
      <c r="R36" s="3279" t="s">
        <v>3134</v>
      </c>
      <c r="S36" s="3280">
        <f t="shared" si="12"/>
        <v>100</v>
      </c>
      <c r="T36" s="3279" t="s">
        <v>3134</v>
      </c>
      <c r="U36" s="3280">
        <f t="shared" si="13"/>
        <v>100</v>
      </c>
      <c r="V36" s="3279" t="s">
        <v>3134</v>
      </c>
      <c r="W36" s="3280">
        <f t="shared" si="14"/>
        <v>100</v>
      </c>
      <c r="X36" s="3212"/>
      <c r="Y36" s="3889"/>
      <c r="Z36" s="3281" t="str">
        <f t="shared" si="15"/>
        <v>公共部分装修</v>
      </c>
      <c r="AA36" s="3282">
        <f t="shared" si="3"/>
        <v>1</v>
      </c>
      <c r="AB36" s="3282">
        <f t="shared" si="4"/>
        <v>1</v>
      </c>
      <c r="AC36" s="3282">
        <f t="shared" si="5"/>
        <v>1</v>
      </c>
    </row>
    <row r="37" spans="1:29" s="3233" customFormat="1" ht="15">
      <c r="A37" s="3334"/>
      <c r="B37" s="3309" t="s">
        <v>3169</v>
      </c>
      <c r="C37" s="3335">
        <v>1</v>
      </c>
      <c r="D37" s="3247">
        <v>100</v>
      </c>
      <c r="E37" s="3336">
        <v>1</v>
      </c>
      <c r="F37" s="3249">
        <f>LOOKUP(E37,112:112,113:113)-LOOKUP(C37,112:112,113:113)+100</f>
        <v>100</v>
      </c>
      <c r="G37" s="3337">
        <v>1</v>
      </c>
      <c r="H37" s="3247">
        <f>LOOKUP(G37,112:112,113:113)-LOOKUP(C37,112:112,113:113)+100</f>
        <v>100</v>
      </c>
      <c r="I37" s="3336">
        <v>1</v>
      </c>
      <c r="J37" s="3247">
        <f>LOOKUP(I37,112:112,113:113)-LOOKUP(C37,112:112,113:113)+100</f>
        <v>100</v>
      </c>
      <c r="K37" s="3250">
        <v>2</v>
      </c>
      <c r="L37" s="3227"/>
      <c r="M37" s="3228"/>
      <c r="N37" s="3228"/>
      <c r="O37" s="3242"/>
      <c r="P37" s="3889"/>
      <c r="Q37" s="3243" t="str">
        <f t="shared" si="11"/>
        <v>成新度</v>
      </c>
      <c r="R37" s="3229" t="s">
        <v>3138</v>
      </c>
      <c r="S37" s="3230">
        <f t="shared" si="12"/>
        <v>100</v>
      </c>
      <c r="T37" s="3229" t="s">
        <v>3138</v>
      </c>
      <c r="U37" s="3230">
        <f t="shared" si="13"/>
        <v>100</v>
      </c>
      <c r="V37" s="3229" t="s">
        <v>3138</v>
      </c>
      <c r="W37" s="3230">
        <f t="shared" si="14"/>
        <v>100</v>
      </c>
      <c r="X37" s="3231"/>
      <c r="Y37" s="3889"/>
      <c r="Z37" s="3244" t="str">
        <f t="shared" si="15"/>
        <v>成新度</v>
      </c>
      <c r="AA37" s="3232">
        <f t="shared" si="3"/>
        <v>1</v>
      </c>
      <c r="AB37" s="3232">
        <f t="shared" si="4"/>
        <v>1</v>
      </c>
      <c r="AC37" s="3232">
        <f t="shared" si="5"/>
        <v>1</v>
      </c>
    </row>
    <row r="38" spans="1:29" ht="15">
      <c r="A38" s="3332"/>
      <c r="B38" s="3309" t="s">
        <v>3170</v>
      </c>
      <c r="C38" s="3308" t="s">
        <v>3171</v>
      </c>
      <c r="D38" s="3266">
        <v>100</v>
      </c>
      <c r="E38" s="3308" t="s">
        <v>3171</v>
      </c>
      <c r="F38" s="3307">
        <f>SUMIF(114:114,E38,115:115)-SUMIF(114:114,C38,115:115)+100</f>
        <v>100</v>
      </c>
      <c r="G38" s="3308" t="s">
        <v>3171</v>
      </c>
      <c r="H38" s="3266">
        <f>SUMIF(114:114,G38,115:115)-SUMIF(114:114,C38,115:115)+100</f>
        <v>100</v>
      </c>
      <c r="I38" s="3308" t="s">
        <v>3171</v>
      </c>
      <c r="J38" s="3266">
        <f>SUMIF(114:114,I38,115:115)-SUMIF(114:114,C38,115:115)+100</f>
        <v>100</v>
      </c>
      <c r="K38" s="3250">
        <v>2</v>
      </c>
      <c r="L38" s="3267"/>
      <c r="M38" s="3211"/>
      <c r="N38" s="3211"/>
      <c r="O38" s="3259"/>
      <c r="P38" s="3889" t="s">
        <v>3172</v>
      </c>
      <c r="Q38" s="3278" t="str">
        <f t="shared" si="11"/>
        <v>物业管理</v>
      </c>
      <c r="R38" s="3279" t="s">
        <v>3138</v>
      </c>
      <c r="S38" s="3280">
        <f t="shared" si="12"/>
        <v>100</v>
      </c>
      <c r="T38" s="3279" t="s">
        <v>3138</v>
      </c>
      <c r="U38" s="3280">
        <f t="shared" si="13"/>
        <v>100</v>
      </c>
      <c r="V38" s="3279" t="s">
        <v>3138</v>
      </c>
      <c r="W38" s="3280">
        <f t="shared" si="14"/>
        <v>100</v>
      </c>
      <c r="X38" s="3212"/>
      <c r="Y38" s="3889" t="s">
        <v>3161</v>
      </c>
      <c r="Z38" s="3281" t="str">
        <f t="shared" si="15"/>
        <v>物业管理</v>
      </c>
      <c r="AA38" s="3282">
        <f t="shared" si="3"/>
        <v>1</v>
      </c>
      <c r="AB38" s="3282">
        <f t="shared" si="4"/>
        <v>1</v>
      </c>
      <c r="AC38" s="3282">
        <f t="shared" si="5"/>
        <v>1</v>
      </c>
    </row>
    <row r="39" spans="1:29" ht="15">
      <c r="A39" s="3332"/>
      <c r="B39" s="3304" t="s">
        <v>2557</v>
      </c>
      <c r="C39" s="3566" t="s">
        <v>3154</v>
      </c>
      <c r="D39" s="3266">
        <v>100</v>
      </c>
      <c r="E39" s="3308" t="s">
        <v>3154</v>
      </c>
      <c r="F39" s="3307">
        <f>SUMIF(116:116,E39,117:117)-SUMIF(116:116,C39,117:117)+100</f>
        <v>100</v>
      </c>
      <c r="G39" s="3308" t="s">
        <v>3154</v>
      </c>
      <c r="H39" s="3266">
        <f>SUMIF(116:116,G39,117:117)-SUMIF(116:116,C39,117:117)+100</f>
        <v>100</v>
      </c>
      <c r="I39" s="3308" t="s">
        <v>3154</v>
      </c>
      <c r="J39" s="3266">
        <f>SUMIF(116:116,I39,117:117)-SUMIF(116:116,C39,117:117)+100</f>
        <v>100</v>
      </c>
      <c r="K39" s="3250">
        <v>1</v>
      </c>
      <c r="L39" s="3267"/>
      <c r="M39" s="3211"/>
      <c r="N39" s="3211"/>
      <c r="O39" s="3259"/>
      <c r="P39" s="3889"/>
      <c r="Q39" s="3278" t="str">
        <f t="shared" si="11"/>
        <v>市政基础设施</v>
      </c>
      <c r="R39" s="3279" t="s">
        <v>3134</v>
      </c>
      <c r="S39" s="3280">
        <f t="shared" si="12"/>
        <v>100</v>
      </c>
      <c r="T39" s="3279" t="s">
        <v>3134</v>
      </c>
      <c r="U39" s="3280">
        <f t="shared" si="13"/>
        <v>100</v>
      </c>
      <c r="V39" s="3279" t="s">
        <v>3134</v>
      </c>
      <c r="W39" s="3280">
        <f t="shared" si="14"/>
        <v>100</v>
      </c>
      <c r="X39" s="3212"/>
      <c r="Y39" s="3889"/>
      <c r="Z39" s="3281" t="str">
        <f t="shared" si="15"/>
        <v>市政基础设施</v>
      </c>
      <c r="AA39" s="3282">
        <f t="shared" si="3"/>
        <v>1</v>
      </c>
      <c r="AB39" s="3282">
        <f t="shared" si="4"/>
        <v>1</v>
      </c>
      <c r="AC39" s="3282">
        <f t="shared" si="5"/>
        <v>1</v>
      </c>
    </row>
    <row r="40" spans="1:29" ht="15" hidden="1">
      <c r="A40" s="3332"/>
      <c r="B40" s="3309" t="s">
        <v>3173</v>
      </c>
      <c r="C40" s="3308"/>
      <c r="D40" s="3266">
        <v>100</v>
      </c>
      <c r="E40" s="3306"/>
      <c r="F40" s="3307">
        <f>SUMIF(118:118,E40,119:119)-SUMIF(118:118,C40,119:119)+100</f>
        <v>100</v>
      </c>
      <c r="G40" s="3308"/>
      <c r="H40" s="3266">
        <f>SUMIF(118:118,G40,119:119)-SUMIF(118:118,C40,119:119)+100</f>
        <v>100</v>
      </c>
      <c r="I40" s="3306"/>
      <c r="J40" s="3266">
        <f>SUMIF(118:118,I40,119:119)-SUMIF(118:118,C40,119:119)+100</f>
        <v>100</v>
      </c>
      <c r="K40" s="3250"/>
      <c r="L40" s="3267"/>
      <c r="M40" s="3211"/>
      <c r="N40" s="3211"/>
      <c r="O40" s="3259"/>
      <c r="P40" s="3889"/>
      <c r="Q40" s="3278" t="str">
        <f t="shared" si="11"/>
        <v>房型</v>
      </c>
      <c r="R40" s="3279" t="s">
        <v>3134</v>
      </c>
      <c r="S40" s="3280">
        <f t="shared" si="12"/>
        <v>100</v>
      </c>
      <c r="T40" s="3279" t="s">
        <v>3134</v>
      </c>
      <c r="U40" s="3280">
        <f t="shared" si="13"/>
        <v>100</v>
      </c>
      <c r="V40" s="3279" t="s">
        <v>3134</v>
      </c>
      <c r="W40" s="3280">
        <f t="shared" si="14"/>
        <v>100</v>
      </c>
      <c r="X40" s="3212"/>
      <c r="Y40" s="3889"/>
      <c r="Z40" s="3281" t="str">
        <f t="shared" si="15"/>
        <v>房型</v>
      </c>
      <c r="AA40" s="3282">
        <f t="shared" si="3"/>
        <v>1</v>
      </c>
      <c r="AB40" s="3282">
        <f t="shared" si="4"/>
        <v>1</v>
      </c>
      <c r="AC40" s="3282">
        <f t="shared" si="5"/>
        <v>1</v>
      </c>
    </row>
    <row r="41" spans="1:29" s="3331" customFormat="1" ht="28.5" hidden="1">
      <c r="A41" s="3322"/>
      <c r="B41" s="3309" t="s">
        <v>3174</v>
      </c>
      <c r="C41" s="3323"/>
      <c r="D41" s="3247">
        <v>100</v>
      </c>
      <c r="E41" s="3257"/>
      <c r="F41" s="3249">
        <f>SUMIF(120:120,E41,121:121)-SUMIF(120:120,C41,121:121)+100</f>
        <v>100</v>
      </c>
      <c r="G41" s="3256"/>
      <c r="H41" s="3247">
        <f>SUMIF(120:120,G41,121:121)-SUMIF(120:120,C41,121:121)+100</f>
        <v>100</v>
      </c>
      <c r="I41" s="3338"/>
      <c r="J41" s="3266">
        <f>SUMIF(120:120,I41,121:121)-SUMIF(120:120,C41,121:121)+100</f>
        <v>100</v>
      </c>
      <c r="K41" s="3264"/>
      <c r="L41" s="3258"/>
      <c r="M41" s="3324"/>
      <c r="N41" s="3324"/>
      <c r="O41" s="3325"/>
      <c r="P41" s="3889"/>
      <c r="Q41" s="3326" t="str">
        <f t="shared" si="11"/>
        <v>单套/主力户型建筑面积</v>
      </c>
      <c r="R41" s="3327" t="s">
        <v>3134</v>
      </c>
      <c r="S41" s="3328">
        <f t="shared" si="12"/>
        <v>100</v>
      </c>
      <c r="T41" s="3327" t="s">
        <v>3134</v>
      </c>
      <c r="U41" s="3328">
        <f t="shared" si="13"/>
        <v>100</v>
      </c>
      <c r="V41" s="3327" t="s">
        <v>3134</v>
      </c>
      <c r="W41" s="3328">
        <f t="shared" si="14"/>
        <v>100</v>
      </c>
      <c r="X41" s="3329"/>
      <c r="Y41" s="3889"/>
      <c r="Z41" s="3330" t="str">
        <f t="shared" si="15"/>
        <v>单套/主力户型建筑面积</v>
      </c>
      <c r="AA41" s="3282">
        <f t="shared" si="3"/>
        <v>1</v>
      </c>
      <c r="AB41" s="3282">
        <f t="shared" si="4"/>
        <v>1</v>
      </c>
      <c r="AC41" s="3282">
        <f t="shared" si="5"/>
        <v>1</v>
      </c>
    </row>
    <row r="42" spans="1:29" ht="15">
      <c r="A42" s="3332"/>
      <c r="B42" s="3309" t="s">
        <v>3175</v>
      </c>
      <c r="C42" s="3308" t="s">
        <v>3176</v>
      </c>
      <c r="D42" s="3266">
        <v>100</v>
      </c>
      <c r="E42" s="3308" t="s">
        <v>3176</v>
      </c>
      <c r="F42" s="3307">
        <f>SUMIF(122:122,E42,123:123)-SUMIF(122:122,C42,123:123)+100</f>
        <v>100</v>
      </c>
      <c r="G42" s="3308" t="s">
        <v>3176</v>
      </c>
      <c r="H42" s="3266">
        <f>SUMIF(122:122,G42,123:123)-SUMIF(122:122,C42,123:123)+100</f>
        <v>100</v>
      </c>
      <c r="I42" s="3308" t="s">
        <v>3176</v>
      </c>
      <c r="J42" s="3266">
        <f>SUMIF(122:122,I42,123:123)-SUMIF(122:122,C42,123:123)+100</f>
        <v>100</v>
      </c>
      <c r="K42" s="3250">
        <v>3</v>
      </c>
      <c r="L42" s="3267"/>
      <c r="M42" s="3211"/>
      <c r="N42" s="3211"/>
      <c r="O42" s="3259"/>
      <c r="P42" s="3889"/>
      <c r="Q42" s="3278" t="str">
        <f t="shared" si="11"/>
        <v>内部装修</v>
      </c>
      <c r="R42" s="3279" t="s">
        <v>3134</v>
      </c>
      <c r="S42" s="3280">
        <f t="shared" si="12"/>
        <v>100</v>
      </c>
      <c r="T42" s="3279" t="s">
        <v>3134</v>
      </c>
      <c r="U42" s="3280">
        <f t="shared" si="13"/>
        <v>100</v>
      </c>
      <c r="V42" s="3279" t="s">
        <v>3134</v>
      </c>
      <c r="W42" s="3280">
        <f t="shared" si="14"/>
        <v>100</v>
      </c>
      <c r="X42" s="3212"/>
      <c r="Y42" s="3889"/>
      <c r="Z42" s="3281" t="str">
        <f t="shared" si="15"/>
        <v>内部装修</v>
      </c>
      <c r="AA42" s="3282">
        <f t="shared" si="3"/>
        <v>1</v>
      </c>
      <c r="AB42" s="3282">
        <f t="shared" si="4"/>
        <v>1</v>
      </c>
      <c r="AC42" s="3282">
        <f t="shared" si="5"/>
        <v>1</v>
      </c>
    </row>
    <row r="43" spans="1:29" ht="27.75" thickBot="1">
      <c r="A43" s="3332"/>
      <c r="B43" s="3309" t="s">
        <v>3177</v>
      </c>
      <c r="C43" s="3308" t="s">
        <v>3150</v>
      </c>
      <c r="D43" s="3266">
        <v>100</v>
      </c>
      <c r="E43" s="3308" t="s">
        <v>3150</v>
      </c>
      <c r="F43" s="3307">
        <f>SUMIF(124:124,E43,125:125)-SUMIF(124:124,C43,125:125)+100</f>
        <v>100</v>
      </c>
      <c r="G43" s="3308" t="s">
        <v>3150</v>
      </c>
      <c r="H43" s="3266">
        <f>SUMIF(124:124,G43,125:125)-SUMIF(124:124,C43,125:125)+100</f>
        <v>100</v>
      </c>
      <c r="I43" s="3308" t="s">
        <v>3150</v>
      </c>
      <c r="J43" s="3266">
        <f>SUMIF(124:124,I43,125:125)-SUMIF(124:124,C43,125:125)+100</f>
        <v>100</v>
      </c>
      <c r="K43" s="3250">
        <v>2</v>
      </c>
      <c r="L43" s="3267"/>
      <c r="M43" s="3211"/>
      <c r="N43" s="3211"/>
      <c r="O43" s="3259"/>
      <c r="P43" s="3889"/>
      <c r="Q43" s="3278" t="str">
        <f t="shared" si="11"/>
        <v>内部装修维护情况</v>
      </c>
      <c r="R43" s="3279" t="s">
        <v>3144</v>
      </c>
      <c r="S43" s="3280">
        <f t="shared" si="12"/>
        <v>100</v>
      </c>
      <c r="T43" s="3279" t="s">
        <v>3144</v>
      </c>
      <c r="U43" s="3280">
        <f t="shared" si="13"/>
        <v>100</v>
      </c>
      <c r="V43" s="3279" t="s">
        <v>3144</v>
      </c>
      <c r="W43" s="3280">
        <f t="shared" si="14"/>
        <v>100</v>
      </c>
      <c r="X43" s="3212"/>
      <c r="Y43" s="3889"/>
      <c r="Z43" s="3281" t="str">
        <f t="shared" si="15"/>
        <v>内部装修维护情况</v>
      </c>
      <c r="AA43" s="3282">
        <f t="shared" si="3"/>
        <v>1</v>
      </c>
      <c r="AB43" s="3282">
        <f t="shared" si="4"/>
        <v>1</v>
      </c>
      <c r="AC43" s="3282">
        <f t="shared" si="5"/>
        <v>1</v>
      </c>
    </row>
    <row r="44" spans="1:29" s="3233" customFormat="1" ht="15" hidden="1">
      <c r="A44" s="3334"/>
      <c r="B44" s="3316">
        <v>111</v>
      </c>
      <c r="C44" s="3323"/>
      <c r="D44" s="3247">
        <v>100</v>
      </c>
      <c r="E44" s="3323"/>
      <c r="F44" s="3249">
        <f>SUMIF(126:126,E44,127:127)-SUMIF(126:126,C44,127:127)+100</f>
        <v>100</v>
      </c>
      <c r="G44" s="3323"/>
      <c r="H44" s="3247">
        <f>SUMIF(126:126,G44,127:127)-SUMIF(126:126,C44,127:127)+100</f>
        <v>100</v>
      </c>
      <c r="I44" s="3323">
        <v>1.7</v>
      </c>
      <c r="J44" s="3247">
        <f>SUMIF(126:126,I44,127:127)-SUMIF(126:126,C44,127:127)+100</f>
        <v>100</v>
      </c>
      <c r="K44" s="3264"/>
      <c r="L44" s="3227"/>
      <c r="M44" s="3228"/>
      <c r="N44" s="3228"/>
      <c r="O44" s="3242"/>
      <c r="P44" s="3889"/>
      <c r="Q44" s="3243">
        <f t="shared" si="11"/>
        <v>111</v>
      </c>
      <c r="R44" s="3229" t="s">
        <v>3144</v>
      </c>
      <c r="S44" s="3230">
        <f t="shared" si="12"/>
        <v>100</v>
      </c>
      <c r="T44" s="3229" t="s">
        <v>3144</v>
      </c>
      <c r="U44" s="3230">
        <f t="shared" si="13"/>
        <v>100</v>
      </c>
      <c r="V44" s="3229" t="s">
        <v>3144</v>
      </c>
      <c r="W44" s="3230">
        <f t="shared" si="14"/>
        <v>100</v>
      </c>
      <c r="X44" s="3231"/>
      <c r="Y44" s="3889"/>
      <c r="Z44" s="3244">
        <f t="shared" si="15"/>
        <v>111</v>
      </c>
      <c r="AA44" s="3232">
        <f t="shared" si="3"/>
        <v>1</v>
      </c>
      <c r="AB44" s="3232">
        <f t="shared" si="4"/>
        <v>1</v>
      </c>
      <c r="AC44" s="3232">
        <f t="shared" si="5"/>
        <v>1</v>
      </c>
    </row>
    <row r="45" spans="1:29" ht="15" hidden="1">
      <c r="A45" s="3332"/>
      <c r="B45" s="3316">
        <v>111</v>
      </c>
      <c r="C45" s="3265"/>
      <c r="D45" s="3266">
        <v>100</v>
      </c>
      <c r="E45" s="3265"/>
      <c r="F45" s="3307">
        <f>SUMIF(128:128,E45,129:129)-SUMIF(128:128,C45,129:129)+100</f>
        <v>100</v>
      </c>
      <c r="G45" s="3265"/>
      <c r="H45" s="3266">
        <f>SUMIF(128:128,G45,129:129)-SUMIF(128:128,C45,129:129)+100</f>
        <v>100</v>
      </c>
      <c r="I45" s="3265"/>
      <c r="J45" s="3266">
        <f>SUMIF(128:128,I45,129:129)-SUMIF(128:128,C45,129:129)+100</f>
        <v>100</v>
      </c>
      <c r="K45" s="3264"/>
      <c r="L45" s="3267"/>
      <c r="M45" s="3211"/>
      <c r="N45" s="3211"/>
      <c r="O45" s="3259"/>
      <c r="P45" s="3889"/>
      <c r="Q45" s="3278">
        <f t="shared" si="11"/>
        <v>111</v>
      </c>
      <c r="R45" s="3279" t="s">
        <v>3144</v>
      </c>
      <c r="S45" s="3280">
        <f t="shared" si="12"/>
        <v>100</v>
      </c>
      <c r="T45" s="3279" t="s">
        <v>3144</v>
      </c>
      <c r="U45" s="3280">
        <f t="shared" si="13"/>
        <v>100</v>
      </c>
      <c r="V45" s="3279" t="s">
        <v>3144</v>
      </c>
      <c r="W45" s="3280">
        <f t="shared" si="14"/>
        <v>100</v>
      </c>
      <c r="X45" s="3212"/>
      <c r="Y45" s="3889"/>
      <c r="Z45" s="3281">
        <f t="shared" si="15"/>
        <v>111</v>
      </c>
      <c r="AA45" s="3282">
        <f t="shared" si="3"/>
        <v>1</v>
      </c>
      <c r="AB45" s="3282">
        <f t="shared" si="4"/>
        <v>1</v>
      </c>
      <c r="AC45" s="3282">
        <f t="shared" si="5"/>
        <v>1</v>
      </c>
    </row>
    <row r="46" spans="1:29" ht="15.75" hidden="1" thickBot="1">
      <c r="A46" s="3339"/>
      <c r="B46" s="3340">
        <v>111</v>
      </c>
      <c r="C46" s="3270"/>
      <c r="D46" s="3271">
        <v>100</v>
      </c>
      <c r="E46" s="3270"/>
      <c r="F46" s="3272">
        <f>SUMIF(130:130,E46,131:131)-SUMIF(130:130,C46,131:131)+100</f>
        <v>100</v>
      </c>
      <c r="G46" s="3270"/>
      <c r="H46" s="3271">
        <f>SUMIF(130:130,G46,131:131)-SUMIF(130:130,C46,131:131)+100</f>
        <v>100</v>
      </c>
      <c r="I46" s="3270"/>
      <c r="J46" s="3271">
        <f>SUMIF(130:130,I46,131:131)-SUMIF(130:130,C46,131:131)+100</f>
        <v>100</v>
      </c>
      <c r="K46" s="3264"/>
      <c r="L46" s="3267"/>
      <c r="M46" s="3211"/>
      <c r="N46" s="3211"/>
      <c r="O46" s="3259"/>
      <c r="P46" s="3890"/>
      <c r="Q46" s="3278">
        <f t="shared" si="11"/>
        <v>111</v>
      </c>
      <c r="R46" s="3279" t="s">
        <v>3144</v>
      </c>
      <c r="S46" s="3280">
        <f t="shared" si="12"/>
        <v>100</v>
      </c>
      <c r="T46" s="3279" t="s">
        <v>3144</v>
      </c>
      <c r="U46" s="3280">
        <f t="shared" si="13"/>
        <v>100</v>
      </c>
      <c r="V46" s="3279" t="s">
        <v>3144</v>
      </c>
      <c r="W46" s="3280">
        <f t="shared" si="14"/>
        <v>100</v>
      </c>
      <c r="X46" s="3212"/>
      <c r="Y46" s="3890"/>
      <c r="Z46" s="3281">
        <f t="shared" si="15"/>
        <v>111</v>
      </c>
      <c r="AA46" s="3282">
        <f t="shared" si="3"/>
        <v>1</v>
      </c>
      <c r="AB46" s="3282">
        <f t="shared" si="4"/>
        <v>1</v>
      </c>
      <c r="AC46" s="3282">
        <f t="shared" si="5"/>
        <v>1</v>
      </c>
    </row>
    <row r="47" spans="1:29" ht="15">
      <c r="A47" s="3341" t="s">
        <v>3178</v>
      </c>
      <c r="B47" s="3342"/>
      <c r="C47" s="3343" t="s">
        <v>1765</v>
      </c>
      <c r="D47" s="3344"/>
      <c r="E47" s="3345">
        <f>ROUND(8600*C50,0)</f>
        <v>8600</v>
      </c>
      <c r="F47" s="3346"/>
      <c r="G47" s="3347">
        <v>10000</v>
      </c>
      <c r="H47" s="3348"/>
      <c r="I47" s="3345">
        <f>ROUND(8700*C50,0)</f>
        <v>8700</v>
      </c>
      <c r="J47" s="3348"/>
      <c r="K47" s="3349"/>
      <c r="L47" s="3350"/>
      <c r="M47" s="3351"/>
      <c r="N47" s="3211"/>
      <c r="O47" s="3351"/>
      <c r="P47" s="3884" t="str">
        <f>A47</f>
        <v>成交单价（元/平方米）</v>
      </c>
      <c r="Q47" s="3884"/>
      <c r="R47" s="3891">
        <f>E47</f>
        <v>8600</v>
      </c>
      <c r="S47" s="3891"/>
      <c r="T47" s="3891">
        <f>G47</f>
        <v>10000</v>
      </c>
      <c r="U47" s="3891"/>
      <c r="V47" s="3891">
        <f>I47</f>
        <v>8700</v>
      </c>
      <c r="W47" s="3891"/>
      <c r="X47" s="3352"/>
      <c r="Y47" s="3353"/>
      <c r="Z47" s="3352"/>
      <c r="AA47" s="3352"/>
      <c r="AB47" s="3352"/>
      <c r="AC47" s="3352"/>
    </row>
    <row r="48" spans="1:29" ht="15.75" thickBot="1">
      <c r="A48" s="3354" t="s">
        <v>3179</v>
      </c>
      <c r="B48" s="3355"/>
      <c r="C48" s="3356">
        <f>R49</f>
        <v>9257</v>
      </c>
      <c r="D48" s="3357"/>
      <c r="E48" s="3358">
        <f>R48</f>
        <v>8687</v>
      </c>
      <c r="F48" s="3358"/>
      <c r="G48" s="3356">
        <f>T48</f>
        <v>10207</v>
      </c>
      <c r="H48" s="3357"/>
      <c r="I48" s="3358">
        <f>V48</f>
        <v>8878</v>
      </c>
      <c r="J48" s="3357"/>
      <c r="K48" s="3359"/>
      <c r="L48" s="3350"/>
      <c r="M48" s="3351"/>
      <c r="N48" s="3351"/>
      <c r="O48" s="3351"/>
      <c r="P48" s="3884" t="str">
        <f>A48</f>
        <v>比较价格（元/平方米）</v>
      </c>
      <c r="Q48" s="3884"/>
      <c r="R48" s="3891">
        <f>IF(F1="售价",ROUND(PRODUCT(R47,AA7:AA46),0),ROUND(PRODUCT(R47,AA7:AA46),1))</f>
        <v>8687</v>
      </c>
      <c r="S48" s="3891"/>
      <c r="T48" s="3891">
        <f>IF(F1="售价",ROUND(PRODUCT(T47,AB7:AB46),0),ROUND(PRODUCT(T47,AB7:AB46),1))</f>
        <v>10207</v>
      </c>
      <c r="U48" s="3891"/>
      <c r="V48" s="3891">
        <f>IF(F1="售价",ROUND(PRODUCT(V47,AC7:AC46),0),ROUND(PRODUCT(V47,AC7:AC46),1))</f>
        <v>8878</v>
      </c>
      <c r="W48" s="3891"/>
      <c r="X48" s="3352"/>
      <c r="Y48" s="3352"/>
      <c r="Z48" s="3352"/>
      <c r="AA48" s="3352"/>
      <c r="AB48" s="3352"/>
      <c r="AC48" s="3352"/>
    </row>
    <row r="49" spans="1:29" ht="15.75" thickBot="1">
      <c r="A49" s="3360" t="s">
        <v>3180</v>
      </c>
      <c r="B49" s="3361"/>
      <c r="C49" s="3362">
        <f>R49</f>
        <v>9257</v>
      </c>
      <c r="D49" s="3362"/>
      <c r="E49" s="3362"/>
      <c r="F49" s="3362"/>
      <c r="G49" s="3362"/>
      <c r="H49" s="3362"/>
      <c r="I49" s="3362"/>
      <c r="J49" s="3362"/>
      <c r="K49" s="3363"/>
      <c r="L49" s="3350"/>
      <c r="M49" s="3351"/>
      <c r="N49" s="3351"/>
      <c r="O49" s="3351"/>
      <c r="P49" s="3892" t="str">
        <f>A49</f>
        <v>估价对象XX用房的比较价格（楼面单价，元/平方米）</v>
      </c>
      <c r="Q49" s="3893"/>
      <c r="R49" s="3894">
        <f>IF(F1="售价",ROUND(AVERAGE(R48:V48),0),ROUND(AVERAGE(R48:V48),1))</f>
        <v>9257</v>
      </c>
      <c r="S49" s="3894"/>
      <c r="T49" s="3894"/>
      <c r="U49" s="3894"/>
      <c r="V49" s="3894"/>
      <c r="W49" s="3894"/>
      <c r="X49" s="3352"/>
      <c r="Y49" s="3352"/>
      <c r="Z49" s="3352"/>
      <c r="AA49" s="3352"/>
      <c r="AB49" s="3352"/>
      <c r="AC49" s="3352"/>
    </row>
    <row r="50" spans="1:29">
      <c r="A50" s="3351"/>
      <c r="B50" s="3351"/>
      <c r="C50" s="3351">
        <v>1</v>
      </c>
      <c r="D50" s="3351"/>
      <c r="E50" s="3351"/>
      <c r="F50" s="3351"/>
      <c r="G50" s="3364"/>
      <c r="H50" s="3351"/>
      <c r="I50" s="3351"/>
      <c r="J50" s="3351"/>
      <c r="K50" s="3365"/>
      <c r="L50" s="3366"/>
      <c r="M50" s="3351"/>
      <c r="N50" s="3351"/>
      <c r="O50" s="3351"/>
      <c r="P50" s="3351"/>
      <c r="Q50" s="3351"/>
      <c r="R50" s="3351"/>
      <c r="S50" s="3351"/>
      <c r="T50" s="3351"/>
      <c r="U50" s="3351"/>
      <c r="V50" s="3351"/>
      <c r="W50" s="3351"/>
      <c r="X50" s="3351"/>
      <c r="Y50" s="3351"/>
      <c r="Z50" s="3351"/>
      <c r="AA50" s="3351"/>
      <c r="AB50" s="3351"/>
      <c r="AC50" s="3351"/>
    </row>
    <row r="51" spans="1:29">
      <c r="A51" s="3351"/>
      <c r="B51" s="3351"/>
      <c r="C51" s="3351"/>
      <c r="D51" s="3351"/>
      <c r="E51" s="3351"/>
      <c r="F51" s="3351"/>
      <c r="G51" s="3351"/>
      <c r="H51" s="3351"/>
      <c r="I51" s="3351"/>
      <c r="J51" s="3351"/>
      <c r="K51" s="3365"/>
      <c r="L51" s="3366"/>
      <c r="M51" s="3351"/>
      <c r="N51" s="3351"/>
      <c r="O51" s="3351"/>
      <c r="P51" s="3351"/>
      <c r="Q51" s="3351"/>
      <c r="R51" s="3351"/>
      <c r="S51" s="3351"/>
      <c r="T51" s="3351"/>
      <c r="U51" s="3351"/>
      <c r="V51" s="3351"/>
      <c r="W51" s="3351"/>
      <c r="X51" s="3351"/>
      <c r="Y51" s="3351"/>
      <c r="Z51" s="3351"/>
      <c r="AA51" s="3351"/>
      <c r="AB51" s="3351"/>
      <c r="AC51" s="3351"/>
    </row>
    <row r="52" spans="1:29" ht="13.5" customHeight="1">
      <c r="A52" s="3351"/>
      <c r="B52" s="3351"/>
      <c r="C52" s="3367" t="s">
        <v>3181</v>
      </c>
      <c r="D52" s="3368"/>
      <c r="E52" s="3369">
        <f>IF(E47&lt;E48,E48/E47-1,E47/E48-1)</f>
        <v>1.0116279069767531E-2</v>
      </c>
      <c r="F52" s="3370" t="str">
        <f>IF(OR(E52&gt;=0.3,E52&lt;=-0.3),"超过30%","")</f>
        <v/>
      </c>
      <c r="G52" s="3369">
        <f>IF(G47&lt;G48,G48/G47-1,G47/G48-1)</f>
        <v>2.0699999999999941E-2</v>
      </c>
      <c r="H52" s="3370" t="str">
        <f>IF(OR(G52&gt;=0.3,G52&lt;=-0.3),"超过30%","")</f>
        <v/>
      </c>
      <c r="I52" s="3369">
        <f>IF(I47&lt;I48,I48/I47-1,I47/I48-1)</f>
        <v>2.0459770114942488E-2</v>
      </c>
      <c r="J52" s="3370" t="str">
        <f>IF(OR(I52&gt;=0.3,I52&lt;=-0.3),"超过30%","")</f>
        <v/>
      </c>
      <c r="K52" s="3365"/>
      <c r="L52" s="3366"/>
      <c r="M52" s="3351"/>
      <c r="N52" s="3351"/>
      <c r="O52" s="3351"/>
      <c r="P52" s="3351"/>
      <c r="Q52" s="3351"/>
      <c r="R52" s="3351"/>
      <c r="S52" s="3351"/>
      <c r="T52" s="3351"/>
      <c r="U52" s="3351"/>
      <c r="V52" s="3351"/>
      <c r="W52" s="3351"/>
      <c r="X52" s="3351"/>
      <c r="Y52" s="3351"/>
      <c r="Z52" s="3351"/>
      <c r="AA52" s="3351"/>
      <c r="AB52" s="3351"/>
      <c r="AC52" s="3351"/>
    </row>
    <row r="53" spans="1:29" ht="13.5" customHeight="1">
      <c r="A53" s="3351"/>
      <c r="B53" s="3351"/>
      <c r="C53" s="3367" t="s">
        <v>3182</v>
      </c>
      <c r="D53" s="3371"/>
      <c r="E53" s="3369">
        <f>IF(E48&lt;G48,G48/E48-1,E48/G48-1)</f>
        <v>0.17497409922873253</v>
      </c>
      <c r="F53" s="3370" t="str">
        <f>IF(OR(E53&gt;=0.2,E53&lt;=-0.2),"超过20%","")</f>
        <v/>
      </c>
      <c r="G53" s="3369">
        <f>IF(G48&lt;I48,I48/G48-1,G48/I48-1)</f>
        <v>0.149695877449876</v>
      </c>
      <c r="H53" s="3370" t="str">
        <f>IF(OR(G53&gt;=0.2,G53&lt;=-0.2),"超过20%","")</f>
        <v/>
      </c>
      <c r="I53" s="3369">
        <f>IF(I48&lt;E48,E48/I48-1,I48/E48-1)</f>
        <v>2.1986876942557743E-2</v>
      </c>
      <c r="J53" s="3370" t="str">
        <f>IF(OR(I53&gt;=0.2,I53&lt;=-0.2),"超过20%","")</f>
        <v/>
      </c>
      <c r="K53" s="3365"/>
      <c r="L53" s="3366"/>
      <c r="M53" s="3351"/>
      <c r="N53" s="3351"/>
      <c r="O53" s="3351"/>
      <c r="P53" s="3351"/>
      <c r="Q53" s="3351"/>
      <c r="R53" s="3351"/>
      <c r="S53" s="3351"/>
      <c r="T53" s="3351"/>
      <c r="U53" s="3351"/>
      <c r="V53" s="3351"/>
      <c r="W53" s="3351"/>
      <c r="X53" s="3351"/>
      <c r="Y53" s="3351"/>
      <c r="Z53" s="3351"/>
      <c r="AA53" s="3351"/>
      <c r="AB53" s="3351"/>
      <c r="AC53" s="3351"/>
    </row>
    <row r="54" spans="1:29" s="3375" customFormat="1" ht="13.5" customHeight="1">
      <c r="A54" s="3372"/>
      <c r="B54" s="3372"/>
      <c r="C54" s="3367" t="s">
        <v>3183</v>
      </c>
      <c r="D54" s="3371"/>
      <c r="E54" s="3369">
        <f>IF(E47&lt;G47,G47/E47-1,E47/G47-1)</f>
        <v>0.16279069767441867</v>
      </c>
      <c r="F54" s="3370" t="str">
        <f>IF(OR(E54&gt;=0.3,E54&lt;=-0.3),"超过30%","")</f>
        <v/>
      </c>
      <c r="G54" s="3369">
        <f>IF(G47&lt;I47,I47/G47-1,G47/I47-1)</f>
        <v>0.14942528735632177</v>
      </c>
      <c r="H54" s="3370" t="str">
        <f>IF(OR(G54&gt;=0.3,G54&lt;=-0.3),"超过30%","")</f>
        <v/>
      </c>
      <c r="I54" s="3369">
        <f>IF(I47&lt;E47,E47/I47-1,I47/E47-1)</f>
        <v>1.1627906976744207E-2</v>
      </c>
      <c r="J54" s="3370" t="str">
        <f>IF(OR(I54&gt;=0.3,I54&lt;=-0.3),"超过30%","")</f>
        <v/>
      </c>
      <c r="K54" s="3373"/>
      <c r="L54" s="3374"/>
      <c r="M54" s="3372"/>
      <c r="N54" s="3372"/>
      <c r="O54" s="3372"/>
      <c r="P54" s="3372"/>
      <c r="Q54" s="3372"/>
      <c r="R54" s="3372"/>
      <c r="S54" s="3372"/>
      <c r="T54" s="3372"/>
      <c r="U54" s="3372"/>
      <c r="V54" s="3372"/>
      <c r="W54" s="3372"/>
      <c r="X54" s="3372"/>
      <c r="Y54" s="3372"/>
      <c r="Z54" s="3372"/>
      <c r="AA54" s="3372"/>
      <c r="AB54" s="3372"/>
      <c r="AC54" s="3372"/>
    </row>
    <row r="55" spans="1:29" s="3375" customFormat="1">
      <c r="A55" s="3372"/>
      <c r="B55" s="3376"/>
      <c r="C55" s="3377"/>
      <c r="D55" s="3372"/>
      <c r="E55" s="3372"/>
      <c r="F55" s="3372"/>
      <c r="G55" s="3372"/>
      <c r="H55" s="3372"/>
      <c r="I55" s="3372"/>
      <c r="J55" s="3372"/>
      <c r="K55" s="3373"/>
      <c r="L55" s="3374"/>
      <c r="M55" s="3372"/>
      <c r="N55" s="3372"/>
      <c r="O55" s="3372"/>
      <c r="P55" s="3372"/>
      <c r="Q55" s="3372"/>
      <c r="R55" s="3372"/>
      <c r="S55" s="3372"/>
      <c r="T55" s="3372"/>
      <c r="U55" s="3372"/>
      <c r="V55" s="3372"/>
      <c r="W55" s="3372"/>
      <c r="X55" s="3372"/>
      <c r="Y55" s="3372"/>
      <c r="Z55" s="3372"/>
      <c r="AA55" s="3372"/>
      <c r="AB55" s="3372"/>
      <c r="AC55" s="3372"/>
    </row>
    <row r="56" spans="1:29">
      <c r="A56" s="3351"/>
      <c r="B56" s="3376"/>
      <c r="C56" s="3377"/>
      <c r="D56" s="3376"/>
      <c r="E56" s="3376"/>
      <c r="F56" s="3376"/>
      <c r="G56" s="3376"/>
      <c r="H56" s="3376"/>
      <c r="I56" s="3376"/>
      <c r="J56" s="3376"/>
      <c r="K56" s="3376"/>
      <c r="L56" s="3376"/>
      <c r="M56" s="3376"/>
      <c r="N56" s="3376"/>
      <c r="O56" s="3376"/>
      <c r="P56" s="3351"/>
      <c r="Q56" s="3351"/>
      <c r="R56" s="3351"/>
      <c r="S56" s="3351"/>
      <c r="T56" s="3351"/>
      <c r="U56" s="3351"/>
      <c r="V56" s="3351"/>
      <c r="W56" s="3351"/>
      <c r="X56" s="3351"/>
      <c r="Y56" s="3351"/>
      <c r="Z56" s="3351"/>
      <c r="AA56" s="3351"/>
      <c r="AB56" s="3351"/>
      <c r="AC56" s="3351"/>
    </row>
    <row r="57" spans="1:29" ht="21.75" thickBot="1">
      <c r="A57" s="3378" t="s">
        <v>3184</v>
      </c>
      <c r="B57" s="3352"/>
      <c r="C57" s="3379"/>
      <c r="D57" s="3379"/>
      <c r="E57" s="3379"/>
      <c r="F57" s="3380"/>
      <c r="G57" s="3380"/>
      <c r="H57" s="3379"/>
      <c r="I57" s="3379"/>
      <c r="J57" s="3379"/>
      <c r="K57" s="3381"/>
      <c r="L57" s="3382"/>
      <c r="M57" s="3379"/>
      <c r="N57" s="3379"/>
      <c r="O57" s="3379"/>
      <c r="P57" s="3383"/>
      <c r="Q57" s="3384"/>
      <c r="R57" s="3351"/>
      <c r="S57" s="3351"/>
      <c r="T57" s="3351"/>
      <c r="U57" s="3351"/>
      <c r="V57" s="3351"/>
      <c r="W57" s="3351"/>
      <c r="X57" s="3351"/>
      <c r="Y57" s="3351"/>
      <c r="Z57" s="3351"/>
      <c r="AA57" s="3351"/>
      <c r="AB57" s="3351"/>
      <c r="AC57" s="3351"/>
    </row>
    <row r="58" spans="1:29" s="3390" customFormat="1" ht="15">
      <c r="A58" s="3385" t="s">
        <v>3185</v>
      </c>
      <c r="B58" s="3386"/>
      <c r="C58" s="3387" t="str">
        <f>YEAR(C7)&amp;"-"&amp;MONTH(C7)</f>
        <v>2019-7</v>
      </c>
      <c r="D58" s="3387">
        <f>EDATE(C58,-1)</f>
        <v>43617</v>
      </c>
      <c r="E58" s="3387">
        <f t="shared" ref="E58:O58" si="16">EDATE(D58,-1)</f>
        <v>43586</v>
      </c>
      <c r="F58" s="3387">
        <f t="shared" si="16"/>
        <v>43556</v>
      </c>
      <c r="G58" s="3387">
        <f t="shared" si="16"/>
        <v>43525</v>
      </c>
      <c r="H58" s="3387">
        <f t="shared" si="16"/>
        <v>43497</v>
      </c>
      <c r="I58" s="3387">
        <f t="shared" si="16"/>
        <v>43466</v>
      </c>
      <c r="J58" s="3387">
        <f t="shared" si="16"/>
        <v>43435</v>
      </c>
      <c r="K58" s="3387">
        <f t="shared" si="16"/>
        <v>43405</v>
      </c>
      <c r="L58" s="3387">
        <f t="shared" si="16"/>
        <v>43374</v>
      </c>
      <c r="M58" s="3387">
        <f t="shared" si="16"/>
        <v>43344</v>
      </c>
      <c r="N58" s="3387">
        <f t="shared" si="16"/>
        <v>43313</v>
      </c>
      <c r="O58" s="3387">
        <f t="shared" si="16"/>
        <v>43282</v>
      </c>
      <c r="P58" s="3388"/>
      <c r="Q58" s="3389"/>
      <c r="R58" s="3389"/>
      <c r="S58" s="3389"/>
      <c r="T58" s="3389"/>
      <c r="U58" s="3389"/>
      <c r="V58" s="3389"/>
      <c r="W58" s="3389"/>
      <c r="X58" s="3389"/>
      <c r="Y58" s="3389"/>
      <c r="Z58" s="3389"/>
      <c r="AA58" s="3389"/>
      <c r="AB58" s="3389"/>
      <c r="AC58" s="3389"/>
    </row>
    <row r="59" spans="1:29" s="3233" customFormat="1" ht="15">
      <c r="A59" s="3391"/>
      <c r="B59" s="3392"/>
      <c r="C59" s="3393">
        <v>100</v>
      </c>
      <c r="D59" s="3394"/>
      <c r="E59" s="3394"/>
      <c r="F59" s="3394"/>
      <c r="G59" s="3394"/>
      <c r="H59" s="3394"/>
      <c r="I59" s="3394"/>
      <c r="J59" s="3394"/>
      <c r="K59" s="3394"/>
      <c r="L59" s="3394"/>
      <c r="M59" s="3394"/>
      <c r="N59" s="3394"/>
      <c r="O59" s="3394"/>
      <c r="P59" s="3384"/>
      <c r="Q59" s="3395"/>
      <c r="R59" s="3395"/>
      <c r="S59" s="3395"/>
      <c r="T59" s="3395"/>
      <c r="U59" s="3395"/>
      <c r="V59" s="3395"/>
      <c r="W59" s="3395"/>
      <c r="X59" s="3395"/>
      <c r="Y59" s="3395"/>
      <c r="Z59" s="3395"/>
      <c r="AA59" s="3395"/>
      <c r="AB59" s="3395"/>
      <c r="AC59" s="3395"/>
    </row>
    <row r="60" spans="1:29" s="3233" customFormat="1" ht="15.75" thickBot="1">
      <c r="A60" s="3396" t="s">
        <v>3186</v>
      </c>
      <c r="B60" s="3397"/>
      <c r="C60" s="3398"/>
      <c r="D60" s="3399"/>
      <c r="E60" s="3399"/>
      <c r="F60" s="3399"/>
      <c r="G60" s="3399"/>
      <c r="H60" s="3399"/>
      <c r="I60" s="3399"/>
      <c r="J60" s="3399"/>
      <c r="K60" s="3399"/>
      <c r="L60" s="3399"/>
      <c r="M60" s="3400"/>
      <c r="N60" s="3399"/>
      <c r="O60" s="3401"/>
      <c r="P60" s="3384"/>
      <c r="Q60" s="3384"/>
      <c r="R60" s="3395"/>
      <c r="S60" s="3395"/>
      <c r="T60" s="3395"/>
      <c r="U60" s="3395"/>
      <c r="V60" s="3395"/>
      <c r="W60" s="3395"/>
      <c r="X60" s="3395"/>
      <c r="Y60" s="3395"/>
      <c r="Z60" s="3395"/>
      <c r="AA60" s="3395"/>
      <c r="AB60" s="3395"/>
      <c r="AC60" s="3395"/>
    </row>
    <row r="61" spans="1:29" s="3233" customFormat="1" ht="15">
      <c r="A61" s="3402" t="s">
        <v>3135</v>
      </c>
      <c r="B61" s="3392"/>
      <c r="C61" s="3403" t="s">
        <v>3187</v>
      </c>
      <c r="D61" s="3404"/>
      <c r="E61" s="3404"/>
      <c r="F61" s="3404"/>
      <c r="G61" s="3404"/>
      <c r="H61" s="3404"/>
      <c r="I61" s="3404"/>
      <c r="J61" s="3404"/>
      <c r="K61" s="3404"/>
      <c r="L61" s="3405"/>
      <c r="M61" s="3406"/>
      <c r="N61" s="3407"/>
      <c r="O61" s="3407"/>
      <c r="P61" s="3408"/>
      <c r="Q61" s="3384"/>
      <c r="R61" s="3395"/>
      <c r="S61" s="3395"/>
      <c r="T61" s="3395"/>
      <c r="U61" s="3395"/>
      <c r="V61" s="3395"/>
      <c r="W61" s="3395"/>
      <c r="X61" s="3395"/>
      <c r="Y61" s="3395"/>
      <c r="Z61" s="3395"/>
      <c r="AA61" s="3395"/>
      <c r="AB61" s="3395"/>
      <c r="AC61" s="3395"/>
    </row>
    <row r="62" spans="1:29" s="3233" customFormat="1" ht="15.75" thickBot="1">
      <c r="A62" s="3402"/>
      <c r="B62" s="3392"/>
      <c r="C62" s="3409">
        <v>100</v>
      </c>
      <c r="D62" s="3394"/>
      <c r="E62" s="3394"/>
      <c r="F62" s="3394"/>
      <c r="G62" s="3394"/>
      <c r="H62" s="3394"/>
      <c r="I62" s="3394"/>
      <c r="J62" s="3394"/>
      <c r="K62" s="3394"/>
      <c r="L62" s="3394"/>
      <c r="M62" s="3410"/>
      <c r="N62" s="3407"/>
      <c r="O62" s="3407"/>
      <c r="P62" s="3384"/>
      <c r="Q62" s="3384"/>
      <c r="R62" s="3395"/>
      <c r="S62" s="3395"/>
      <c r="T62" s="3395"/>
      <c r="U62" s="3395"/>
      <c r="V62" s="3395"/>
      <c r="W62" s="3395"/>
      <c r="X62" s="3395"/>
      <c r="Y62" s="3395"/>
      <c r="Z62" s="3395"/>
      <c r="AA62" s="3395"/>
      <c r="AB62" s="3395"/>
      <c r="AC62" s="3395"/>
    </row>
    <row r="63" spans="1:29">
      <c r="A63" s="3411" t="s">
        <v>3188</v>
      </c>
      <c r="B63" s="3412" t="s">
        <v>3189</v>
      </c>
      <c r="C63" s="3413" t="str">
        <f>C9</f>
        <v>住宅</v>
      </c>
      <c r="D63" s="3414"/>
      <c r="E63" s="3414"/>
      <c r="F63" s="3414"/>
      <c r="G63" s="3414"/>
      <c r="H63" s="3414"/>
      <c r="I63" s="3414"/>
      <c r="J63" s="3414"/>
      <c r="K63" s="3415"/>
      <c r="L63" s="3416"/>
      <c r="M63" s="3417"/>
      <c r="N63" s="3418"/>
      <c r="O63" s="3418"/>
      <c r="P63" s="3419"/>
      <c r="Q63" s="3384"/>
      <c r="R63" s="3351"/>
      <c r="S63" s="3351"/>
      <c r="T63" s="3351"/>
      <c r="U63" s="3351"/>
      <c r="V63" s="3351"/>
      <c r="W63" s="3351"/>
      <c r="X63" s="3351"/>
      <c r="Y63" s="3351"/>
      <c r="Z63" s="3351"/>
      <c r="AA63" s="3351"/>
      <c r="AB63" s="3351"/>
      <c r="AC63" s="3351"/>
    </row>
    <row r="64" spans="1:29" ht="15.75" thickBot="1">
      <c r="A64" s="3420"/>
      <c r="B64" s="3421"/>
      <c r="C64" s="3422"/>
      <c r="D64" s="3422"/>
      <c r="E64" s="3423"/>
      <c r="F64" s="3423"/>
      <c r="G64" s="3423"/>
      <c r="H64" s="3423"/>
      <c r="I64" s="3423"/>
      <c r="J64" s="3423"/>
      <c r="K64" s="3423"/>
      <c r="L64" s="3423"/>
      <c r="M64" s="3424"/>
      <c r="N64" s="3425"/>
      <c r="O64" s="3425"/>
      <c r="P64" s="3419"/>
      <c r="Q64" s="3384"/>
      <c r="R64" s="3351"/>
      <c r="S64" s="3351"/>
      <c r="T64" s="3351"/>
      <c r="U64" s="3351"/>
      <c r="V64" s="3351"/>
      <c r="W64" s="3351"/>
      <c r="X64" s="3351"/>
      <c r="Y64" s="3351"/>
      <c r="Z64" s="3351"/>
      <c r="AA64" s="3351"/>
      <c r="AB64" s="3351"/>
      <c r="AC64" s="3351"/>
    </row>
    <row r="65" spans="1:29" ht="27.75" thickTop="1">
      <c r="A65" s="3420"/>
      <c r="B65" s="3426" t="s">
        <v>3190</v>
      </c>
      <c r="C65" s="3427" t="s">
        <v>3191</v>
      </c>
      <c r="D65" s="3427" t="s">
        <v>3192</v>
      </c>
      <c r="E65" s="3427" t="s">
        <v>3193</v>
      </c>
      <c r="F65" s="3427" t="s">
        <v>3194</v>
      </c>
      <c r="G65" s="3427" t="s">
        <v>3195</v>
      </c>
      <c r="H65" s="3427" t="s">
        <v>3196</v>
      </c>
      <c r="I65" s="3427" t="s">
        <v>3197</v>
      </c>
      <c r="J65" s="3427"/>
      <c r="K65" s="3428"/>
      <c r="L65" s="3429"/>
      <c r="M65" s="3430"/>
      <c r="N65" s="3418"/>
      <c r="O65" s="3418"/>
      <c r="P65" s="3419"/>
      <c r="Q65" s="3384"/>
      <c r="R65" s="3351"/>
      <c r="S65" s="3351"/>
      <c r="T65" s="3351"/>
      <c r="U65" s="3351"/>
      <c r="V65" s="3351"/>
      <c r="W65" s="3351"/>
      <c r="X65" s="3351"/>
      <c r="Y65" s="3351"/>
      <c r="Z65" s="3351"/>
      <c r="AA65" s="3351"/>
      <c r="AB65" s="3351"/>
      <c r="AC65" s="3351"/>
    </row>
    <row r="66" spans="1:29" ht="15.75" thickBot="1">
      <c r="A66" s="3420"/>
      <c r="B66" s="3431"/>
      <c r="C66" s="3432">
        <v>100</v>
      </c>
      <c r="D66" s="3432">
        <f t="shared" ref="D66:I66" si="17">C66-$K10</f>
        <v>98</v>
      </c>
      <c r="E66" s="3432">
        <f t="shared" si="17"/>
        <v>96</v>
      </c>
      <c r="F66" s="3432">
        <f t="shared" si="17"/>
        <v>94</v>
      </c>
      <c r="G66" s="3432">
        <f t="shared" si="17"/>
        <v>92</v>
      </c>
      <c r="H66" s="3432">
        <f t="shared" si="17"/>
        <v>90</v>
      </c>
      <c r="I66" s="3432">
        <f t="shared" si="17"/>
        <v>88</v>
      </c>
      <c r="J66" s="3432"/>
      <c r="K66" s="3432"/>
      <c r="L66" s="3432"/>
      <c r="M66" s="3433"/>
      <c r="N66" s="3425"/>
      <c r="O66" s="3425"/>
      <c r="P66" s="3419"/>
      <c r="Q66" s="3384"/>
      <c r="R66" s="3351"/>
      <c r="S66" s="3351"/>
      <c r="T66" s="3351"/>
      <c r="U66" s="3351"/>
      <c r="V66" s="3351"/>
      <c r="W66" s="3351"/>
      <c r="X66" s="3351"/>
      <c r="Y66" s="3351"/>
      <c r="Z66" s="3351"/>
      <c r="AA66" s="3351"/>
      <c r="AB66" s="3351"/>
      <c r="AC66" s="3351"/>
    </row>
    <row r="67" spans="1:29" ht="15.75" thickTop="1">
      <c r="A67" s="3420"/>
      <c r="B67" s="3434" t="s">
        <v>3198</v>
      </c>
      <c r="C67" s="3435" t="str">
        <f>C68&amp;"（含）"&amp;"-"&amp;D68</f>
        <v>0（含）-1</v>
      </c>
      <c r="D67" s="3435" t="str">
        <f t="shared" ref="D67:L67" si="18">D68&amp;"（含）"&amp;"-"&amp;E68</f>
        <v>1（含）-2</v>
      </c>
      <c r="E67" s="3435" t="str">
        <f t="shared" si="18"/>
        <v>2（含）-3</v>
      </c>
      <c r="F67" s="3435" t="str">
        <f t="shared" si="18"/>
        <v>3（含）-4</v>
      </c>
      <c r="G67" s="3435" t="str">
        <f t="shared" si="18"/>
        <v>4（含）-</v>
      </c>
      <c r="H67" s="3435" t="str">
        <f t="shared" si="18"/>
        <v>（含）-</v>
      </c>
      <c r="I67" s="3435" t="str">
        <f t="shared" si="18"/>
        <v>（含）-</v>
      </c>
      <c r="J67" s="3435" t="str">
        <f t="shared" si="18"/>
        <v>（含）-</v>
      </c>
      <c r="K67" s="3435" t="str">
        <f t="shared" si="18"/>
        <v>（含）-</v>
      </c>
      <c r="L67" s="3435" t="str">
        <f t="shared" si="18"/>
        <v>（含）-</v>
      </c>
      <c r="M67" s="3286" t="str">
        <f>M68&amp;"（含）"&amp;"-"&amp;P68</f>
        <v>（含）-</v>
      </c>
      <c r="N67" s="3425"/>
      <c r="O67" s="3425"/>
      <c r="P67" s="3419"/>
      <c r="Q67" s="3384"/>
      <c r="R67" s="3351"/>
      <c r="S67" s="3351"/>
      <c r="T67" s="3351"/>
      <c r="U67" s="3351"/>
      <c r="V67" s="3351"/>
      <c r="W67" s="3351"/>
      <c r="X67" s="3351"/>
      <c r="Y67" s="3351"/>
      <c r="Z67" s="3351"/>
      <c r="AA67" s="3351"/>
      <c r="AB67" s="3351"/>
      <c r="AC67" s="3351"/>
    </row>
    <row r="68" spans="1:29" ht="15">
      <c r="A68" s="3420"/>
      <c r="B68" s="3436"/>
      <c r="C68" s="3437">
        <v>0</v>
      </c>
      <c r="D68" s="3437">
        <v>1</v>
      </c>
      <c r="E68" s="3437">
        <v>2</v>
      </c>
      <c r="F68" s="3437">
        <v>3</v>
      </c>
      <c r="G68" s="3437">
        <v>4</v>
      </c>
      <c r="H68" s="3437"/>
      <c r="I68" s="3437"/>
      <c r="J68" s="3437"/>
      <c r="K68" s="3438"/>
      <c r="L68" s="3439"/>
      <c r="M68" s="3440"/>
      <c r="N68" s="3418"/>
      <c r="O68" s="3418"/>
      <c r="P68" s="3419"/>
      <c r="Q68" s="3384"/>
      <c r="R68" s="3351"/>
      <c r="S68" s="3351"/>
      <c r="T68" s="3351"/>
      <c r="U68" s="3351"/>
      <c r="V68" s="3351"/>
      <c r="W68" s="3351"/>
      <c r="X68" s="3351"/>
      <c r="Y68" s="3351"/>
      <c r="Z68" s="3351"/>
      <c r="AA68" s="3351"/>
      <c r="AB68" s="3351"/>
      <c r="AC68" s="3351"/>
    </row>
    <row r="69" spans="1:29" ht="15.75" thickBot="1">
      <c r="A69" s="3420"/>
      <c r="B69" s="3421"/>
      <c r="C69" s="3432">
        <v>100</v>
      </c>
      <c r="D69" s="3432">
        <f t="shared" ref="D69:M69" si="19">C69-$K11</f>
        <v>99</v>
      </c>
      <c r="E69" s="3432">
        <f t="shared" si="19"/>
        <v>98</v>
      </c>
      <c r="F69" s="3432">
        <f t="shared" si="19"/>
        <v>97</v>
      </c>
      <c r="G69" s="3432">
        <f t="shared" si="19"/>
        <v>96</v>
      </c>
      <c r="H69" s="3432">
        <f t="shared" si="19"/>
        <v>95</v>
      </c>
      <c r="I69" s="3432">
        <f t="shared" si="19"/>
        <v>94</v>
      </c>
      <c r="J69" s="3432">
        <f t="shared" si="19"/>
        <v>93</v>
      </c>
      <c r="K69" s="3432">
        <f t="shared" si="19"/>
        <v>92</v>
      </c>
      <c r="L69" s="3432">
        <f t="shared" si="19"/>
        <v>91</v>
      </c>
      <c r="M69" s="3433">
        <f t="shared" si="19"/>
        <v>90</v>
      </c>
      <c r="N69" s="3425"/>
      <c r="O69" s="3425"/>
      <c r="P69" s="3419"/>
      <c r="Q69" s="3384"/>
      <c r="R69" s="3351"/>
      <c r="S69" s="3351"/>
      <c r="T69" s="3351"/>
      <c r="U69" s="3351"/>
      <c r="V69" s="3351"/>
      <c r="W69" s="3351"/>
      <c r="X69" s="3351"/>
      <c r="Y69" s="3351"/>
      <c r="Z69" s="3351"/>
      <c r="AA69" s="3351"/>
      <c r="AB69" s="3351"/>
      <c r="AC69" s="3351"/>
    </row>
    <row r="70" spans="1:29" s="3331" customFormat="1" ht="15.75" thickTop="1">
      <c r="A70" s="3441"/>
      <c r="B70" s="3426">
        <f>B12</f>
        <v>111</v>
      </c>
      <c r="C70" s="3442"/>
      <c r="D70" s="3442"/>
      <c r="E70" s="3442"/>
      <c r="F70" s="3442"/>
      <c r="G70" s="3442"/>
      <c r="H70" s="3443"/>
      <c r="I70" s="3443"/>
      <c r="J70" s="3443"/>
      <c r="K70" s="3443"/>
      <c r="L70" s="3444"/>
      <c r="M70" s="3445"/>
      <c r="N70" s="3446"/>
      <c r="O70" s="3446"/>
      <c r="P70" s="3447"/>
      <c r="Q70" s="3448"/>
      <c r="R70" s="3449"/>
      <c r="S70" s="3449"/>
      <c r="T70" s="3449"/>
      <c r="U70" s="3449"/>
      <c r="V70" s="3449"/>
      <c r="W70" s="3449"/>
      <c r="X70" s="3449"/>
      <c r="Y70" s="3449"/>
      <c r="Z70" s="3449"/>
      <c r="AA70" s="3449"/>
      <c r="AB70" s="3449"/>
      <c r="AC70" s="3449"/>
    </row>
    <row r="71" spans="1:29" s="3331" customFormat="1" ht="15.75" thickBot="1">
      <c r="A71" s="3441"/>
      <c r="B71" s="3431"/>
      <c r="C71" s="3450"/>
      <c r="D71" s="3422"/>
      <c r="E71" s="3422"/>
      <c r="F71" s="3422"/>
      <c r="G71" s="3422"/>
      <c r="H71" s="3422"/>
      <c r="I71" s="3422"/>
      <c r="J71" s="3422"/>
      <c r="K71" s="3422"/>
      <c r="L71" s="3422"/>
      <c r="M71" s="3451"/>
      <c r="N71" s="3425"/>
      <c r="O71" s="3425"/>
      <c r="P71" s="3447"/>
      <c r="Q71" s="3448"/>
      <c r="R71" s="3449"/>
      <c r="S71" s="3449"/>
      <c r="T71" s="3449"/>
      <c r="U71" s="3449"/>
      <c r="V71" s="3449"/>
      <c r="W71" s="3449"/>
      <c r="X71" s="3449"/>
      <c r="Y71" s="3449"/>
      <c r="Z71" s="3449"/>
      <c r="AA71" s="3449"/>
      <c r="AB71" s="3449"/>
      <c r="AC71" s="3449"/>
    </row>
    <row r="72" spans="1:29" s="3331" customFormat="1" ht="15.75" thickTop="1">
      <c r="A72" s="3441"/>
      <c r="B72" s="3426">
        <f>B13</f>
        <v>111</v>
      </c>
      <c r="C72" s="3442"/>
      <c r="D72" s="3442"/>
      <c r="E72" s="3442"/>
      <c r="F72" s="3442"/>
      <c r="G72" s="3442"/>
      <c r="H72" s="3443"/>
      <c r="I72" s="3443"/>
      <c r="J72" s="3443"/>
      <c r="K72" s="3443"/>
      <c r="L72" s="3444"/>
      <c r="M72" s="3445"/>
      <c r="N72" s="3446"/>
      <c r="O72" s="3446"/>
      <c r="P72" s="3324"/>
      <c r="Q72" s="3452"/>
      <c r="R72" s="3449"/>
      <c r="S72" s="3449"/>
      <c r="T72" s="3449"/>
      <c r="U72" s="3449"/>
      <c r="V72" s="3449"/>
      <c r="W72" s="3449"/>
      <c r="X72" s="3449"/>
      <c r="Y72" s="3449"/>
      <c r="Z72" s="3449"/>
      <c r="AA72" s="3449"/>
      <c r="AB72" s="3449"/>
      <c r="AC72" s="3449"/>
    </row>
    <row r="73" spans="1:29" s="3331" customFormat="1" ht="15.75" thickBot="1">
      <c r="A73" s="3441"/>
      <c r="B73" s="3431"/>
      <c r="C73" s="3450"/>
      <c r="D73" s="3450"/>
      <c r="E73" s="3450"/>
      <c r="F73" s="3450"/>
      <c r="G73" s="3450"/>
      <c r="H73" s="3453"/>
      <c r="I73" s="3453"/>
      <c r="J73" s="3453"/>
      <c r="K73" s="3453"/>
      <c r="L73" s="3453"/>
      <c r="M73" s="3454"/>
      <c r="N73" s="3446"/>
      <c r="O73" s="3446"/>
      <c r="P73" s="3447"/>
      <c r="Q73" s="3448"/>
      <c r="R73" s="3449"/>
      <c r="S73" s="3449"/>
      <c r="T73" s="3449"/>
      <c r="U73" s="3449"/>
      <c r="V73" s="3449"/>
      <c r="W73" s="3449"/>
      <c r="X73" s="3449"/>
      <c r="Y73" s="3449"/>
      <c r="Z73" s="3449"/>
      <c r="AA73" s="3449"/>
      <c r="AB73" s="3449"/>
      <c r="AC73" s="3449"/>
    </row>
    <row r="74" spans="1:29" s="3331" customFormat="1" ht="15.75" thickTop="1">
      <c r="A74" s="3441"/>
      <c r="B74" s="3434">
        <f>B14</f>
        <v>111</v>
      </c>
      <c r="C74" s="3442"/>
      <c r="D74" s="3442"/>
      <c r="E74" s="3442"/>
      <c r="F74" s="3442"/>
      <c r="G74" s="3404"/>
      <c r="H74" s="3455"/>
      <c r="I74" s="3455"/>
      <c r="J74" s="3455"/>
      <c r="K74" s="3455"/>
      <c r="L74" s="3456"/>
      <c r="M74" s="3457"/>
      <c r="N74" s="3446"/>
      <c r="O74" s="3446"/>
      <c r="P74" s="3458"/>
      <c r="Q74" s="3448"/>
      <c r="R74" s="3449"/>
      <c r="S74" s="3449"/>
      <c r="T74" s="3449"/>
      <c r="U74" s="3449"/>
      <c r="V74" s="3449"/>
      <c r="W74" s="3449"/>
      <c r="X74" s="3449"/>
      <c r="Y74" s="3449"/>
      <c r="Z74" s="3449"/>
      <c r="AA74" s="3449"/>
      <c r="AB74" s="3449"/>
      <c r="AC74" s="3449"/>
    </row>
    <row r="75" spans="1:29" s="3331" customFormat="1" ht="15.75" thickBot="1">
      <c r="A75" s="3459"/>
      <c r="B75" s="3460"/>
      <c r="C75" s="3461"/>
      <c r="D75" s="3461"/>
      <c r="E75" s="3461"/>
      <c r="F75" s="3461"/>
      <c r="G75" s="3461"/>
      <c r="H75" s="3462"/>
      <c r="I75" s="3462"/>
      <c r="J75" s="3462"/>
      <c r="K75" s="3462"/>
      <c r="L75" s="3462"/>
      <c r="M75" s="3463"/>
      <c r="N75" s="3446"/>
      <c r="O75" s="3446"/>
      <c r="P75" s="3447"/>
      <c r="Q75" s="3448"/>
      <c r="R75" s="3449"/>
      <c r="S75" s="3449"/>
      <c r="T75" s="3449"/>
      <c r="U75" s="3449"/>
      <c r="V75" s="3449"/>
      <c r="W75" s="3449"/>
      <c r="X75" s="3449"/>
      <c r="Y75" s="3449"/>
      <c r="Z75" s="3449"/>
      <c r="AA75" s="3449"/>
      <c r="AB75" s="3449"/>
      <c r="AC75" s="3449"/>
    </row>
    <row r="76" spans="1:29">
      <c r="A76" s="3411" t="s">
        <v>3199</v>
      </c>
      <c r="B76" s="3412" t="s">
        <v>3200</v>
      </c>
      <c r="C76" s="3464" t="s">
        <v>3201</v>
      </c>
      <c r="D76" s="3464" t="s">
        <v>3202</v>
      </c>
      <c r="E76" s="3464" t="s">
        <v>3203</v>
      </c>
      <c r="F76" s="3464" t="s">
        <v>3204</v>
      </c>
      <c r="G76" s="3464" t="s">
        <v>3205</v>
      </c>
      <c r="H76" s="3413"/>
      <c r="I76" s="3413"/>
      <c r="J76" s="3413"/>
      <c r="K76" s="3465"/>
      <c r="L76" s="3466"/>
      <c r="M76" s="3467"/>
      <c r="N76" s="3418"/>
      <c r="O76" s="3418"/>
      <c r="P76" s="3468"/>
      <c r="Q76" s="3384"/>
      <c r="R76" s="3351"/>
      <c r="S76" s="3351"/>
      <c r="T76" s="3351"/>
      <c r="U76" s="3351"/>
      <c r="V76" s="3351"/>
      <c r="W76" s="3351"/>
      <c r="X76" s="3351"/>
      <c r="Y76" s="3351"/>
      <c r="Z76" s="3351"/>
      <c r="AA76" s="3351"/>
      <c r="AB76" s="3351"/>
      <c r="AC76" s="3351"/>
    </row>
    <row r="77" spans="1:29" ht="15.75" thickBot="1">
      <c r="A77" s="3420"/>
      <c r="B77" s="3431"/>
      <c r="C77" s="3432">
        <v>100</v>
      </c>
      <c r="D77" s="3432">
        <f>C77-$K15</f>
        <v>95</v>
      </c>
      <c r="E77" s="3432">
        <f>D77-$K15</f>
        <v>90</v>
      </c>
      <c r="F77" s="3432">
        <f>E77-$K15</f>
        <v>85</v>
      </c>
      <c r="G77" s="3432">
        <f>F77-$K15</f>
        <v>80</v>
      </c>
      <c r="H77" s="3432"/>
      <c r="I77" s="3432"/>
      <c r="J77" s="3432"/>
      <c r="K77" s="3432"/>
      <c r="L77" s="3432"/>
      <c r="M77" s="3433"/>
      <c r="N77" s="3425"/>
      <c r="O77" s="3425"/>
      <c r="P77" s="3419"/>
      <c r="Q77" s="3384"/>
      <c r="R77" s="3351"/>
      <c r="S77" s="3351"/>
      <c r="T77" s="3351"/>
      <c r="U77" s="3351"/>
      <c r="V77" s="3351"/>
      <c r="W77" s="3351"/>
      <c r="X77" s="3351"/>
      <c r="Y77" s="3351"/>
      <c r="Z77" s="3351"/>
      <c r="AA77" s="3351"/>
      <c r="AB77" s="3351"/>
      <c r="AC77" s="3351"/>
    </row>
    <row r="78" spans="1:29" ht="15.75" thickTop="1">
      <c r="A78" s="3420"/>
      <c r="B78" s="3426" t="s">
        <v>3206</v>
      </c>
      <c r="C78" s="3469" t="s">
        <v>3201</v>
      </c>
      <c r="D78" s="3469" t="s">
        <v>3202</v>
      </c>
      <c r="E78" s="3469" t="s">
        <v>3203</v>
      </c>
      <c r="F78" s="3469" t="s">
        <v>3204</v>
      </c>
      <c r="G78" s="3469" t="s">
        <v>3205</v>
      </c>
      <c r="H78" s="3427"/>
      <c r="I78" s="3427"/>
      <c r="J78" s="3427"/>
      <c r="K78" s="3428"/>
      <c r="L78" s="3429"/>
      <c r="M78" s="3430"/>
      <c r="N78" s="3418"/>
      <c r="O78" s="3418"/>
      <c r="P78" s="3419"/>
      <c r="Q78" s="3384"/>
      <c r="R78" s="3351"/>
      <c r="S78" s="3351"/>
      <c r="T78" s="3351"/>
      <c r="U78" s="3351"/>
      <c r="V78" s="3351"/>
      <c r="W78" s="3351"/>
      <c r="X78" s="3351"/>
      <c r="Y78" s="3351"/>
      <c r="Z78" s="3351"/>
      <c r="AA78" s="3351"/>
      <c r="AB78" s="3351"/>
      <c r="AC78" s="3351"/>
    </row>
    <row r="79" spans="1:29" ht="15.75" thickBot="1">
      <c r="A79" s="3420"/>
      <c r="B79" s="3431"/>
      <c r="C79" s="3432">
        <v>100</v>
      </c>
      <c r="D79" s="3432">
        <f>C79-$K17</f>
        <v>98</v>
      </c>
      <c r="E79" s="3432">
        <f>D79-$K17</f>
        <v>96</v>
      </c>
      <c r="F79" s="3432">
        <f>E79-$K17</f>
        <v>94</v>
      </c>
      <c r="G79" s="3432">
        <f>F79-$K17</f>
        <v>92</v>
      </c>
      <c r="H79" s="3432"/>
      <c r="I79" s="3432"/>
      <c r="J79" s="3432"/>
      <c r="K79" s="3432"/>
      <c r="L79" s="3432"/>
      <c r="M79" s="3433"/>
      <c r="N79" s="3425"/>
      <c r="O79" s="3425"/>
      <c r="P79" s="3419"/>
      <c r="Q79" s="3384"/>
      <c r="R79" s="3351"/>
      <c r="S79" s="3351"/>
      <c r="T79" s="3351"/>
      <c r="U79" s="3351"/>
      <c r="V79" s="3351"/>
      <c r="W79" s="3351"/>
      <c r="X79" s="3351"/>
      <c r="Y79" s="3351"/>
      <c r="Z79" s="3351"/>
      <c r="AA79" s="3351"/>
      <c r="AB79" s="3351"/>
      <c r="AC79" s="3351"/>
    </row>
    <row r="80" spans="1:29" ht="15.75" thickTop="1">
      <c r="A80" s="3420"/>
      <c r="B80" s="3470" t="s">
        <v>3152</v>
      </c>
      <c r="C80" s="3469" t="s">
        <v>3201</v>
      </c>
      <c r="D80" s="3469" t="s">
        <v>3202</v>
      </c>
      <c r="E80" s="3469" t="s">
        <v>3203</v>
      </c>
      <c r="F80" s="3469" t="s">
        <v>3204</v>
      </c>
      <c r="G80" s="3469" t="s">
        <v>3205</v>
      </c>
      <c r="H80" s="3427"/>
      <c r="I80" s="3427"/>
      <c r="J80" s="3427"/>
      <c r="K80" s="3428"/>
      <c r="L80" s="3429"/>
      <c r="M80" s="3430"/>
      <c r="N80" s="3418"/>
      <c r="O80" s="3418"/>
      <c r="P80" s="3419"/>
      <c r="Q80" s="3384"/>
      <c r="R80" s="3351"/>
      <c r="S80" s="3351"/>
      <c r="T80" s="3351"/>
      <c r="U80" s="3351"/>
      <c r="V80" s="3351"/>
      <c r="W80" s="3351"/>
      <c r="X80" s="3351"/>
      <c r="Y80" s="3351"/>
      <c r="Z80" s="3351"/>
      <c r="AA80" s="3351"/>
      <c r="AB80" s="3351"/>
      <c r="AC80" s="3351"/>
    </row>
    <row r="81" spans="1:29" ht="15.75" thickBot="1">
      <c r="A81" s="3420"/>
      <c r="B81" s="3431"/>
      <c r="C81" s="3432">
        <v>100</v>
      </c>
      <c r="D81" s="3432">
        <f>C81-$K19</f>
        <v>98</v>
      </c>
      <c r="E81" s="3432">
        <f>D81-$K19</f>
        <v>96</v>
      </c>
      <c r="F81" s="3432">
        <f>E81-$K19</f>
        <v>94</v>
      </c>
      <c r="G81" s="3432">
        <f>F81-$K19</f>
        <v>92</v>
      </c>
      <c r="H81" s="3432"/>
      <c r="I81" s="3432"/>
      <c r="J81" s="3432"/>
      <c r="K81" s="3432"/>
      <c r="L81" s="3432"/>
      <c r="M81" s="3433"/>
      <c r="N81" s="3425"/>
      <c r="O81" s="3425"/>
      <c r="P81" s="3419"/>
      <c r="Q81" s="3384"/>
      <c r="R81" s="3351"/>
      <c r="S81" s="3351"/>
      <c r="T81" s="3351"/>
      <c r="U81" s="3351"/>
      <c r="V81" s="3351"/>
      <c r="W81" s="3351"/>
      <c r="X81" s="3351"/>
      <c r="Y81" s="3351"/>
      <c r="Z81" s="3351"/>
      <c r="AA81" s="3351"/>
      <c r="AB81" s="3351"/>
      <c r="AC81" s="3351"/>
    </row>
    <row r="82" spans="1:29" ht="15.75" thickTop="1">
      <c r="A82" s="3420"/>
      <c r="B82" s="3471" t="s">
        <v>3153</v>
      </c>
      <c r="C82" s="3472" t="s">
        <v>3207</v>
      </c>
      <c r="D82" s="3472" t="s">
        <v>3208</v>
      </c>
      <c r="E82" s="3472" t="s">
        <v>1983</v>
      </c>
      <c r="F82" s="3472" t="s">
        <v>3209</v>
      </c>
      <c r="G82" s="3472" t="s">
        <v>3210</v>
      </c>
      <c r="H82" s="3427"/>
      <c r="I82" s="3427"/>
      <c r="J82" s="3427"/>
      <c r="K82" s="3427"/>
      <c r="L82" s="3427"/>
      <c r="M82" s="3473"/>
      <c r="N82" s="3425"/>
      <c r="O82" s="3425"/>
      <c r="P82" s="3419"/>
      <c r="Q82" s="3384"/>
      <c r="R82" s="3351"/>
      <c r="S82" s="3351"/>
      <c r="T82" s="3351"/>
      <c r="U82" s="3351"/>
      <c r="V82" s="3351"/>
      <c r="W82" s="3351"/>
      <c r="X82" s="3351"/>
      <c r="Y82" s="3351"/>
      <c r="Z82" s="3351"/>
      <c r="AA82" s="3351"/>
      <c r="AB82" s="3351"/>
      <c r="AC82" s="3351"/>
    </row>
    <row r="83" spans="1:29" ht="15.75" thickBot="1">
      <c r="A83" s="3420"/>
      <c r="B83" s="3434"/>
      <c r="C83" s="3432">
        <v>100</v>
      </c>
      <c r="D83" s="3432">
        <f>C83-$K21</f>
        <v>99</v>
      </c>
      <c r="E83" s="3432">
        <f>D83-$K21</f>
        <v>98</v>
      </c>
      <c r="F83" s="3432">
        <f>E83-$K21</f>
        <v>97</v>
      </c>
      <c r="G83" s="3432">
        <f>F83-$K21</f>
        <v>96</v>
      </c>
      <c r="H83" s="3474"/>
      <c r="I83" s="3474"/>
      <c r="J83" s="3474"/>
      <c r="K83" s="3474"/>
      <c r="L83" s="3474"/>
      <c r="M83" s="3288"/>
      <c r="N83" s="3425"/>
      <c r="O83" s="3425"/>
      <c r="P83" s="3419"/>
      <c r="Q83" s="3384"/>
      <c r="R83" s="3351"/>
      <c r="S83" s="3351"/>
      <c r="T83" s="3351"/>
      <c r="U83" s="3351"/>
      <c r="V83" s="3351"/>
      <c r="W83" s="3351"/>
      <c r="X83" s="3351"/>
      <c r="Y83" s="3351"/>
      <c r="Z83" s="3351"/>
      <c r="AA83" s="3351"/>
      <c r="AB83" s="3351"/>
      <c r="AC83" s="3351"/>
    </row>
    <row r="84" spans="1:29" ht="15.75" thickTop="1">
      <c r="A84" s="3420"/>
      <c r="B84" s="3426" t="s">
        <v>3211</v>
      </c>
      <c r="C84" s="3469" t="s">
        <v>3212</v>
      </c>
      <c r="D84" s="3469" t="s">
        <v>3213</v>
      </c>
      <c r="E84" s="3469" t="s">
        <v>3214</v>
      </c>
      <c r="F84" s="3469" t="s">
        <v>3215</v>
      </c>
      <c r="G84" s="3469" t="s">
        <v>3216</v>
      </c>
      <c r="H84" s="3427"/>
      <c r="I84" s="3427"/>
      <c r="J84" s="3427"/>
      <c r="K84" s="3428"/>
      <c r="L84" s="3429"/>
      <c r="M84" s="3430"/>
      <c r="N84" s="3418"/>
      <c r="O84" s="3418"/>
      <c r="P84" s="3419"/>
      <c r="Q84" s="3384"/>
      <c r="R84" s="3351"/>
      <c r="S84" s="3351"/>
      <c r="T84" s="3351"/>
      <c r="U84" s="3351"/>
      <c r="V84" s="3351"/>
      <c r="W84" s="3351"/>
      <c r="X84" s="3351"/>
      <c r="Y84" s="3351"/>
      <c r="Z84" s="3351"/>
      <c r="AA84" s="3351"/>
      <c r="AB84" s="3351"/>
      <c r="AC84" s="3351"/>
    </row>
    <row r="85" spans="1:29" ht="15.75" thickBot="1">
      <c r="A85" s="3420"/>
      <c r="B85" s="3431"/>
      <c r="C85" s="3432">
        <v>100</v>
      </c>
      <c r="D85" s="3432">
        <f>C85-$K23</f>
        <v>99</v>
      </c>
      <c r="E85" s="3432">
        <f>D85-$K23</f>
        <v>98</v>
      </c>
      <c r="F85" s="3432">
        <f>E85-$K23</f>
        <v>97</v>
      </c>
      <c r="G85" s="3432">
        <f>F85-$K23</f>
        <v>96</v>
      </c>
      <c r="H85" s="3432"/>
      <c r="I85" s="3432"/>
      <c r="J85" s="3432"/>
      <c r="K85" s="3432"/>
      <c r="L85" s="3432"/>
      <c r="M85" s="3433"/>
      <c r="N85" s="3425"/>
      <c r="O85" s="3425"/>
      <c r="P85" s="3419"/>
      <c r="Q85" s="3384"/>
      <c r="R85" s="3351"/>
      <c r="S85" s="3351"/>
      <c r="T85" s="3351"/>
      <c r="U85" s="3351"/>
      <c r="V85" s="3351"/>
      <c r="W85" s="3351"/>
      <c r="X85" s="3351"/>
      <c r="Y85" s="3351"/>
      <c r="Z85" s="3351"/>
      <c r="AA85" s="3351"/>
      <c r="AB85" s="3351"/>
      <c r="AC85" s="3351"/>
    </row>
    <row r="86" spans="1:29" s="3233" customFormat="1" ht="15.75" thickTop="1">
      <c r="A86" s="3475"/>
      <c r="B86" s="3470" t="s">
        <v>3217</v>
      </c>
      <c r="C86" s="3442"/>
      <c r="D86" s="3442"/>
      <c r="E86" s="3442"/>
      <c r="F86" s="3442"/>
      <c r="G86" s="3442"/>
      <c r="H86" s="3442"/>
      <c r="I86" s="3442"/>
      <c r="J86" s="3442"/>
      <c r="K86" s="3442"/>
      <c r="L86" s="3476"/>
      <c r="M86" s="3477"/>
      <c r="N86" s="3407"/>
      <c r="O86" s="3407"/>
      <c r="P86" s="3419"/>
      <c r="Q86" s="3384"/>
      <c r="R86" s="3395"/>
      <c r="S86" s="3395"/>
      <c r="T86" s="3395"/>
      <c r="U86" s="3395"/>
      <c r="V86" s="3395"/>
      <c r="W86" s="3395"/>
      <c r="X86" s="3395"/>
      <c r="Y86" s="3395"/>
      <c r="Z86" s="3395"/>
      <c r="AA86" s="3395"/>
      <c r="AB86" s="3395"/>
      <c r="AC86" s="3395"/>
    </row>
    <row r="87" spans="1:29" s="3233" customFormat="1" ht="15.75" thickBot="1">
      <c r="A87" s="3475"/>
      <c r="B87" s="3431"/>
      <c r="C87" s="3478">
        <v>100</v>
      </c>
      <c r="D87" s="3432">
        <f>$C$87-($C$86-D86)*$K$25</f>
        <v>100</v>
      </c>
      <c r="E87" s="3432">
        <f t="shared" ref="E87:M87" si="20">$C$87-($C$86-E86)*$K$25</f>
        <v>100</v>
      </c>
      <c r="F87" s="3432">
        <f t="shared" si="20"/>
        <v>100</v>
      </c>
      <c r="G87" s="3432">
        <f t="shared" si="20"/>
        <v>100</v>
      </c>
      <c r="H87" s="3432">
        <f t="shared" si="20"/>
        <v>100</v>
      </c>
      <c r="I87" s="3432">
        <f t="shared" si="20"/>
        <v>100</v>
      </c>
      <c r="J87" s="3432">
        <f t="shared" si="20"/>
        <v>100</v>
      </c>
      <c r="K87" s="3432">
        <f t="shared" si="20"/>
        <v>100</v>
      </c>
      <c r="L87" s="3432">
        <f t="shared" si="20"/>
        <v>100</v>
      </c>
      <c r="M87" s="3432">
        <f t="shared" si="20"/>
        <v>100</v>
      </c>
      <c r="N87" s="3425"/>
      <c r="O87" s="3425"/>
      <c r="P87" s="3419"/>
      <c r="Q87" s="3384"/>
      <c r="R87" s="3395"/>
      <c r="S87" s="3395"/>
      <c r="T87" s="3395"/>
      <c r="U87" s="3395"/>
      <c r="V87" s="3395"/>
      <c r="W87" s="3395"/>
      <c r="X87" s="3395"/>
      <c r="Y87" s="3395"/>
      <c r="Z87" s="3395"/>
      <c r="AA87" s="3395"/>
      <c r="AB87" s="3395"/>
      <c r="AC87" s="3395"/>
    </row>
    <row r="88" spans="1:29" s="3233" customFormat="1" ht="15.75" thickTop="1">
      <c r="A88" s="3475"/>
      <c r="B88" s="3426" t="s">
        <v>3218</v>
      </c>
      <c r="C88" s="3442"/>
      <c r="D88" s="3442"/>
      <c r="E88" s="3442"/>
      <c r="F88" s="3479"/>
      <c r="G88" s="3442"/>
      <c r="H88" s="3442"/>
      <c r="I88" s="3442"/>
      <c r="J88" s="3442"/>
      <c r="K88" s="3442"/>
      <c r="L88" s="3442"/>
      <c r="M88" s="3477"/>
      <c r="N88" s="3407"/>
      <c r="O88" s="3407"/>
      <c r="P88" s="3419"/>
      <c r="Q88" s="3384"/>
      <c r="R88" s="3395"/>
      <c r="S88" s="3395"/>
      <c r="T88" s="3395"/>
      <c r="U88" s="3395"/>
      <c r="V88" s="3395"/>
      <c r="W88" s="3395"/>
      <c r="X88" s="3395"/>
      <c r="Y88" s="3395"/>
      <c r="Z88" s="3395"/>
      <c r="AA88" s="3395"/>
      <c r="AB88" s="3395"/>
      <c r="AC88" s="3395"/>
    </row>
    <row r="89" spans="1:29" s="3233" customFormat="1" ht="15.75" thickBot="1">
      <c r="A89" s="3475"/>
      <c r="B89" s="3431"/>
      <c r="C89" s="3478">
        <v>100</v>
      </c>
      <c r="D89" s="3432">
        <f t="shared" ref="D89:M89" si="21">C89-$K26</f>
        <v>100</v>
      </c>
      <c r="E89" s="3432">
        <f t="shared" si="21"/>
        <v>100</v>
      </c>
      <c r="F89" s="3432">
        <f t="shared" si="21"/>
        <v>100</v>
      </c>
      <c r="G89" s="3432">
        <f t="shared" si="21"/>
        <v>100</v>
      </c>
      <c r="H89" s="3432">
        <f t="shared" si="21"/>
        <v>100</v>
      </c>
      <c r="I89" s="3432">
        <f t="shared" si="21"/>
        <v>100</v>
      </c>
      <c r="J89" s="3432">
        <f t="shared" si="21"/>
        <v>100</v>
      </c>
      <c r="K89" s="3432">
        <f t="shared" si="21"/>
        <v>100</v>
      </c>
      <c r="L89" s="3432">
        <f t="shared" si="21"/>
        <v>100</v>
      </c>
      <c r="M89" s="3432">
        <f t="shared" si="21"/>
        <v>100</v>
      </c>
      <c r="N89" s="3425"/>
      <c r="O89" s="3425"/>
      <c r="P89" s="3419"/>
      <c r="Q89" s="3384"/>
      <c r="R89" s="3395"/>
      <c r="S89" s="3395"/>
      <c r="T89" s="3395"/>
      <c r="U89" s="3395"/>
      <c r="V89" s="3395"/>
      <c r="W89" s="3395"/>
      <c r="X89" s="3395"/>
      <c r="Y89" s="3395"/>
      <c r="Z89" s="3395"/>
      <c r="AA89" s="3395"/>
      <c r="AB89" s="3395"/>
      <c r="AC89" s="3395"/>
    </row>
    <row r="90" spans="1:29" s="3331" customFormat="1" ht="15.75" thickTop="1">
      <c r="A90" s="3441"/>
      <c r="B90" s="3426" t="str">
        <f>B27</f>
        <v>道路级别</v>
      </c>
      <c r="C90" s="3442"/>
      <c r="D90" s="3442"/>
      <c r="E90" s="3442"/>
      <c r="F90" s="3442"/>
      <c r="G90" s="3442"/>
      <c r="H90" s="3443"/>
      <c r="I90" s="3443"/>
      <c r="J90" s="3443"/>
      <c r="K90" s="3443"/>
      <c r="L90" s="3444"/>
      <c r="M90" s="3445"/>
      <c r="N90" s="3446"/>
      <c r="O90" s="3446"/>
      <c r="P90" s="3447"/>
      <c r="Q90" s="3448"/>
      <c r="R90" s="3449"/>
      <c r="S90" s="3449"/>
      <c r="T90" s="3449"/>
      <c r="U90" s="3449"/>
      <c r="V90" s="3449"/>
      <c r="W90" s="3449"/>
      <c r="X90" s="3449"/>
      <c r="Y90" s="3449"/>
      <c r="Z90" s="3449"/>
      <c r="AA90" s="3449"/>
      <c r="AB90" s="3449"/>
      <c r="AC90" s="3449"/>
    </row>
    <row r="91" spans="1:29" s="3331" customFormat="1" ht="15.75" thickBot="1">
      <c r="A91" s="3441"/>
      <c r="B91" s="3431"/>
      <c r="C91" s="3450"/>
      <c r="D91" s="3450"/>
      <c r="E91" s="3450"/>
      <c r="F91" s="3450"/>
      <c r="G91" s="3450"/>
      <c r="H91" s="3453"/>
      <c r="I91" s="3453"/>
      <c r="J91" s="3453"/>
      <c r="K91" s="3453"/>
      <c r="L91" s="3453"/>
      <c r="M91" s="3454"/>
      <c r="N91" s="3446"/>
      <c r="O91" s="3446"/>
      <c r="P91" s="3447"/>
      <c r="Q91" s="3448"/>
      <c r="R91" s="3449"/>
      <c r="S91" s="3449"/>
      <c r="T91" s="3449"/>
      <c r="U91" s="3449"/>
      <c r="V91" s="3449"/>
      <c r="W91" s="3449"/>
      <c r="X91" s="3449"/>
      <c r="Y91" s="3449"/>
      <c r="Z91" s="3449"/>
      <c r="AA91" s="3449"/>
      <c r="AB91" s="3449"/>
      <c r="AC91" s="3449"/>
    </row>
    <row r="92" spans="1:29" ht="15.75" thickTop="1">
      <c r="A92" s="3420"/>
      <c r="B92" s="3426">
        <f>B28</f>
        <v>111</v>
      </c>
      <c r="C92" s="3442"/>
      <c r="D92" s="3442"/>
      <c r="E92" s="3442"/>
      <c r="F92" s="3442"/>
      <c r="G92" s="3480"/>
      <c r="H92" s="3480"/>
      <c r="I92" s="3480"/>
      <c r="J92" s="3480"/>
      <c r="K92" s="3481"/>
      <c r="L92" s="3482"/>
      <c r="M92" s="3483"/>
      <c r="N92" s="3418"/>
      <c r="O92" s="3418"/>
      <c r="P92" s="3419"/>
      <c r="Q92" s="3384"/>
      <c r="R92" s="3351"/>
      <c r="S92" s="3351"/>
      <c r="T92" s="3351"/>
      <c r="U92" s="3351"/>
      <c r="V92" s="3351"/>
      <c r="W92" s="3351"/>
      <c r="X92" s="3351"/>
      <c r="Y92" s="3351"/>
      <c r="Z92" s="3351"/>
      <c r="AA92" s="3351"/>
      <c r="AB92" s="3351"/>
      <c r="AC92" s="3351"/>
    </row>
    <row r="93" spans="1:29" ht="15.75" thickBot="1">
      <c r="A93" s="3420"/>
      <c r="B93" s="3431"/>
      <c r="C93" s="3450"/>
      <c r="D93" s="3422"/>
      <c r="E93" s="3422"/>
      <c r="F93" s="3422"/>
      <c r="G93" s="3422"/>
      <c r="H93" s="3422"/>
      <c r="I93" s="3422"/>
      <c r="J93" s="3422"/>
      <c r="K93" s="3422"/>
      <c r="L93" s="3422"/>
      <c r="M93" s="3451"/>
      <c r="N93" s="3425"/>
      <c r="O93" s="3425"/>
      <c r="P93" s="3419"/>
      <c r="Q93" s="3384"/>
      <c r="R93" s="3351"/>
      <c r="S93" s="3351"/>
      <c r="T93" s="3351"/>
      <c r="U93" s="3351"/>
      <c r="V93" s="3351"/>
      <c r="W93" s="3351"/>
      <c r="X93" s="3351"/>
      <c r="Y93" s="3351"/>
      <c r="Z93" s="3351"/>
      <c r="AA93" s="3351"/>
      <c r="AB93" s="3351"/>
      <c r="AC93" s="3351"/>
    </row>
    <row r="94" spans="1:29" ht="15.75" thickTop="1">
      <c r="A94" s="3420"/>
      <c r="B94" s="3426">
        <f>B29</f>
        <v>111</v>
      </c>
      <c r="C94" s="3442"/>
      <c r="D94" s="3442"/>
      <c r="E94" s="3442"/>
      <c r="F94" s="3442"/>
      <c r="G94" s="3480"/>
      <c r="H94" s="3480"/>
      <c r="I94" s="3480"/>
      <c r="J94" s="3480"/>
      <c r="K94" s="3481"/>
      <c r="L94" s="3482"/>
      <c r="M94" s="3483"/>
      <c r="N94" s="3418"/>
      <c r="O94" s="3418"/>
      <c r="P94" s="3419"/>
      <c r="Q94" s="3384"/>
      <c r="R94" s="3351"/>
      <c r="S94" s="3351"/>
      <c r="T94" s="3351"/>
      <c r="U94" s="3351"/>
      <c r="V94" s="3351"/>
      <c r="W94" s="3351"/>
      <c r="X94" s="3351"/>
      <c r="Y94" s="3351"/>
      <c r="Z94" s="3351"/>
      <c r="AA94" s="3351"/>
      <c r="AB94" s="3351"/>
      <c r="AC94" s="3351"/>
    </row>
    <row r="95" spans="1:29" ht="15.75" thickBot="1">
      <c r="A95" s="3420"/>
      <c r="B95" s="3431"/>
      <c r="C95" s="3450"/>
      <c r="D95" s="3450"/>
      <c r="E95" s="3450"/>
      <c r="F95" s="3450"/>
      <c r="G95" s="3422"/>
      <c r="H95" s="3422"/>
      <c r="I95" s="3422"/>
      <c r="J95" s="3422"/>
      <c r="K95" s="3422"/>
      <c r="L95" s="3422"/>
      <c r="M95" s="3451"/>
      <c r="N95" s="3425"/>
      <c r="O95" s="3425"/>
      <c r="P95" s="3419"/>
      <c r="Q95" s="3384"/>
      <c r="R95" s="3351"/>
      <c r="S95" s="3351"/>
      <c r="T95" s="3351"/>
      <c r="U95" s="3351"/>
      <c r="V95" s="3351"/>
      <c r="W95" s="3351"/>
      <c r="X95" s="3351"/>
      <c r="Y95" s="3351"/>
      <c r="Z95" s="3351"/>
      <c r="AA95" s="3351"/>
      <c r="AB95" s="3351"/>
      <c r="AC95" s="3351"/>
    </row>
    <row r="96" spans="1:29" ht="15.75" thickTop="1">
      <c r="A96" s="3420"/>
      <c r="B96" s="3426">
        <f>B30</f>
        <v>111</v>
      </c>
      <c r="C96" s="3442"/>
      <c r="D96" s="3442"/>
      <c r="E96" s="3442"/>
      <c r="F96" s="3442"/>
      <c r="G96" s="3480"/>
      <c r="H96" s="3480"/>
      <c r="I96" s="3480"/>
      <c r="J96" s="3480"/>
      <c r="K96" s="3481"/>
      <c r="L96" s="3482"/>
      <c r="M96" s="3483"/>
      <c r="N96" s="3418"/>
      <c r="O96" s="3418"/>
      <c r="P96" s="3419"/>
      <c r="Q96" s="3384"/>
      <c r="R96" s="3351"/>
      <c r="S96" s="3351"/>
      <c r="T96" s="3351"/>
      <c r="U96" s="3351"/>
      <c r="V96" s="3351"/>
      <c r="W96" s="3351"/>
      <c r="X96" s="3351"/>
      <c r="Y96" s="3351"/>
      <c r="Z96" s="3351"/>
      <c r="AA96" s="3351"/>
      <c r="AB96" s="3351"/>
      <c r="AC96" s="3351"/>
    </row>
    <row r="97" spans="1:29" ht="15.75" thickBot="1">
      <c r="A97" s="3420"/>
      <c r="B97" s="3431"/>
      <c r="C97" s="3461"/>
      <c r="D97" s="3461"/>
      <c r="E97" s="3461"/>
      <c r="F97" s="3461"/>
      <c r="G97" s="3422"/>
      <c r="H97" s="3422"/>
      <c r="I97" s="3422"/>
      <c r="J97" s="3422"/>
      <c r="K97" s="3422"/>
      <c r="L97" s="3422"/>
      <c r="M97" s="3451"/>
      <c r="N97" s="3425"/>
      <c r="O97" s="3425"/>
      <c r="P97" s="3419"/>
      <c r="Q97" s="3384"/>
      <c r="R97" s="3351"/>
      <c r="S97" s="3351"/>
      <c r="T97" s="3351"/>
      <c r="U97" s="3351"/>
      <c r="V97" s="3351"/>
      <c r="W97" s="3351"/>
      <c r="X97" s="3351"/>
      <c r="Y97" s="3351"/>
      <c r="Z97" s="3351"/>
      <c r="AA97" s="3351"/>
      <c r="AB97" s="3351"/>
      <c r="AC97" s="3351"/>
    </row>
    <row r="98" spans="1:29" ht="15.75" thickTop="1">
      <c r="A98" s="3420"/>
      <c r="B98" s="3434">
        <f>B31</f>
        <v>111</v>
      </c>
      <c r="C98" s="3484"/>
      <c r="D98" s="3484"/>
      <c r="E98" s="3484"/>
      <c r="F98" s="3484"/>
      <c r="G98" s="3484"/>
      <c r="H98" s="3484"/>
      <c r="I98" s="3484"/>
      <c r="J98" s="3484"/>
      <c r="K98" s="3485"/>
      <c r="L98" s="3486"/>
      <c r="M98" s="3487"/>
      <c r="N98" s="3418"/>
      <c r="O98" s="3418"/>
      <c r="P98" s="3419"/>
      <c r="Q98" s="3384"/>
      <c r="R98" s="3351"/>
      <c r="S98" s="3351"/>
      <c r="T98" s="3351"/>
      <c r="U98" s="3351"/>
      <c r="V98" s="3351"/>
      <c r="W98" s="3351"/>
      <c r="X98" s="3351"/>
      <c r="Y98" s="3351"/>
      <c r="Z98" s="3351"/>
      <c r="AA98" s="3351"/>
      <c r="AB98" s="3351"/>
      <c r="AC98" s="3351"/>
    </row>
    <row r="99" spans="1:29" ht="15.75" thickBot="1">
      <c r="A99" s="3488"/>
      <c r="B99" s="3460"/>
      <c r="C99" s="3489"/>
      <c r="D99" s="3489"/>
      <c r="E99" s="3489"/>
      <c r="F99" s="3489"/>
      <c r="G99" s="3489"/>
      <c r="H99" s="3489"/>
      <c r="I99" s="3489"/>
      <c r="J99" s="3489"/>
      <c r="K99" s="3489"/>
      <c r="L99" s="3489"/>
      <c r="M99" s="3490"/>
      <c r="N99" s="3425"/>
      <c r="O99" s="3425"/>
      <c r="P99" s="3419"/>
      <c r="Q99" s="3384"/>
      <c r="R99" s="3351"/>
      <c r="S99" s="3351"/>
      <c r="T99" s="3351"/>
      <c r="U99" s="3351"/>
      <c r="V99" s="3351"/>
      <c r="W99" s="3351"/>
      <c r="X99" s="3351"/>
      <c r="Y99" s="3351"/>
      <c r="Z99" s="3351"/>
      <c r="AA99" s="3351"/>
      <c r="AB99" s="3351"/>
      <c r="AC99" s="3351"/>
    </row>
    <row r="100" spans="1:29">
      <c r="A100" s="3411" t="s">
        <v>3219</v>
      </c>
      <c r="B100" s="3412" t="s">
        <v>3220</v>
      </c>
      <c r="C100" s="3491" t="s">
        <v>3350</v>
      </c>
      <c r="D100" s="3491" t="s">
        <v>3351</v>
      </c>
      <c r="E100" s="3414"/>
      <c r="F100" s="3414"/>
      <c r="G100" s="3414"/>
      <c r="H100" s="3414"/>
      <c r="I100" s="3414"/>
      <c r="J100" s="3414"/>
      <c r="K100" s="3415"/>
      <c r="L100" s="3416"/>
      <c r="M100" s="3417"/>
      <c r="N100" s="3418"/>
      <c r="O100" s="3418"/>
      <c r="P100" s="3419"/>
      <c r="Q100" s="3384"/>
      <c r="R100" s="3351"/>
      <c r="S100" s="3351"/>
      <c r="T100" s="3351"/>
      <c r="U100" s="3351"/>
      <c r="V100" s="3351"/>
      <c r="W100" s="3351"/>
      <c r="X100" s="3351"/>
      <c r="Y100" s="3351"/>
      <c r="Z100" s="3351"/>
      <c r="AA100" s="3351"/>
      <c r="AB100" s="3351"/>
      <c r="AC100" s="3351"/>
    </row>
    <row r="101" spans="1:29" ht="15.75" thickBot="1">
      <c r="A101" s="3420"/>
      <c r="B101" s="3431"/>
      <c r="C101" s="3432">
        <v>100</v>
      </c>
      <c r="D101" s="3432">
        <f t="shared" ref="D101:M101" si="22">C101-$K32</f>
        <v>98</v>
      </c>
      <c r="E101" s="3432">
        <f t="shared" si="22"/>
        <v>96</v>
      </c>
      <c r="F101" s="3432">
        <f t="shared" si="22"/>
        <v>94</v>
      </c>
      <c r="G101" s="3432">
        <f t="shared" si="22"/>
        <v>92</v>
      </c>
      <c r="H101" s="3432">
        <f t="shared" si="22"/>
        <v>90</v>
      </c>
      <c r="I101" s="3432">
        <f t="shared" si="22"/>
        <v>88</v>
      </c>
      <c r="J101" s="3432">
        <f t="shared" si="22"/>
        <v>86</v>
      </c>
      <c r="K101" s="3432">
        <f t="shared" si="22"/>
        <v>84</v>
      </c>
      <c r="L101" s="3432">
        <f t="shared" si="22"/>
        <v>82</v>
      </c>
      <c r="M101" s="3432">
        <f t="shared" si="22"/>
        <v>80</v>
      </c>
      <c r="N101" s="3425"/>
      <c r="O101" s="3425"/>
      <c r="P101" s="3419"/>
      <c r="Q101" s="3384"/>
      <c r="R101" s="3351"/>
      <c r="S101" s="3351"/>
      <c r="T101" s="3351"/>
      <c r="U101" s="3351"/>
      <c r="V101" s="3351"/>
      <c r="W101" s="3351"/>
      <c r="X101" s="3351"/>
      <c r="Y101" s="3351"/>
      <c r="Z101" s="3351"/>
      <c r="AA101" s="3351"/>
      <c r="AB101" s="3351"/>
      <c r="AC101" s="3351"/>
    </row>
    <row r="102" spans="1:29" ht="29.25" thickTop="1">
      <c r="A102" s="3420"/>
      <c r="B102" s="3426" t="s">
        <v>3222</v>
      </c>
      <c r="C102" s="3469" t="str">
        <f>C103&amp;"(含)"&amp;"-"&amp;D103</f>
        <v>0(含)-100000</v>
      </c>
      <c r="D102" s="3469" t="str">
        <f t="shared" ref="D102:L102" si="23">D103&amp;"(含)"&amp;"-"&amp;E103</f>
        <v>100000(含)-200000</v>
      </c>
      <c r="E102" s="3469" t="str">
        <f t="shared" si="23"/>
        <v>200000(含)-300000</v>
      </c>
      <c r="F102" s="3469" t="str">
        <f t="shared" si="23"/>
        <v>300000(含)-</v>
      </c>
      <c r="G102" s="3469" t="str">
        <f t="shared" si="23"/>
        <v>(含)-</v>
      </c>
      <c r="H102" s="3469" t="str">
        <f t="shared" si="23"/>
        <v>(含)-</v>
      </c>
      <c r="I102" s="3469" t="str">
        <f t="shared" si="23"/>
        <v>(含)-</v>
      </c>
      <c r="J102" s="3469" t="str">
        <f t="shared" si="23"/>
        <v>(含)-</v>
      </c>
      <c r="K102" s="3469" t="str">
        <f t="shared" si="23"/>
        <v>(含)-</v>
      </c>
      <c r="L102" s="3469" t="str">
        <f t="shared" si="23"/>
        <v>(含)-</v>
      </c>
      <c r="M102" s="3469" t="str">
        <f>M103&amp;"(含)"&amp;"-"&amp;P103</f>
        <v>(含)-</v>
      </c>
      <c r="N102" s="3407"/>
      <c r="O102" s="3407"/>
      <c r="P102" s="3419"/>
      <c r="Q102" s="3384"/>
      <c r="R102" s="3351"/>
      <c r="S102" s="3351"/>
      <c r="T102" s="3351"/>
      <c r="U102" s="3351"/>
      <c r="V102" s="3351"/>
      <c r="W102" s="3351"/>
      <c r="X102" s="3351"/>
      <c r="Y102" s="3351"/>
      <c r="Z102" s="3351"/>
      <c r="AA102" s="3351"/>
      <c r="AB102" s="3351"/>
      <c r="AC102" s="3351"/>
    </row>
    <row r="103" spans="1:29" s="3331" customFormat="1">
      <c r="A103" s="3492"/>
      <c r="B103" s="3493"/>
      <c r="C103" s="3494">
        <v>0</v>
      </c>
      <c r="D103" s="3494">
        <v>100000</v>
      </c>
      <c r="E103" s="3494">
        <v>200000</v>
      </c>
      <c r="F103" s="3494">
        <v>300000</v>
      </c>
      <c r="G103" s="3494"/>
      <c r="H103" s="3494"/>
      <c r="I103" s="3494"/>
      <c r="J103" s="3495"/>
      <c r="K103" s="3495"/>
      <c r="L103" s="3496"/>
      <c r="M103" s="3497"/>
      <c r="N103" s="3446"/>
      <c r="O103" s="3446"/>
      <c r="P103" s="3447"/>
      <c r="Q103" s="3448"/>
      <c r="R103" s="3449"/>
      <c r="S103" s="3449"/>
      <c r="T103" s="3449"/>
      <c r="U103" s="3449"/>
      <c r="V103" s="3449"/>
      <c r="W103" s="3449"/>
      <c r="X103" s="3449"/>
      <c r="Y103" s="3449"/>
      <c r="Z103" s="3449"/>
      <c r="AA103" s="3449"/>
      <c r="AB103" s="3449"/>
      <c r="AC103" s="3449"/>
    </row>
    <row r="104" spans="1:29" s="3331" customFormat="1" ht="15.75" thickBot="1">
      <c r="A104" s="3441"/>
      <c r="B104" s="3431"/>
      <c r="C104" s="3450">
        <v>100</v>
      </c>
      <c r="D104" s="3422">
        <v>99</v>
      </c>
      <c r="E104" s="3422">
        <v>98</v>
      </c>
      <c r="F104" s="3422">
        <v>97</v>
      </c>
      <c r="G104" s="3422"/>
      <c r="H104" s="3422"/>
      <c r="I104" s="3422"/>
      <c r="J104" s="3422"/>
      <c r="K104" s="3422"/>
      <c r="L104" s="3422"/>
      <c r="M104" s="3422"/>
      <c r="N104" s="3425"/>
      <c r="O104" s="3425"/>
      <c r="P104" s="3447"/>
      <c r="Q104" s="3448"/>
      <c r="R104" s="3449"/>
      <c r="S104" s="3449"/>
      <c r="T104" s="3449"/>
      <c r="U104" s="3449"/>
      <c r="V104" s="3449"/>
      <c r="W104" s="3449"/>
      <c r="X104" s="3449"/>
      <c r="Y104" s="3449"/>
      <c r="Z104" s="3449"/>
      <c r="AA104" s="3449"/>
      <c r="AB104" s="3449"/>
      <c r="AC104" s="3449"/>
    </row>
    <row r="105" spans="1:29" ht="15" thickTop="1">
      <c r="A105" s="3498"/>
      <c r="B105" s="3426" t="s">
        <v>3223</v>
      </c>
      <c r="C105" s="3499" t="s">
        <v>2372</v>
      </c>
      <c r="D105" s="3442"/>
      <c r="E105" s="3480"/>
      <c r="F105" s="3480"/>
      <c r="G105" s="3480"/>
      <c r="H105" s="3480"/>
      <c r="I105" s="3480"/>
      <c r="J105" s="3480"/>
      <c r="K105" s="3481"/>
      <c r="L105" s="3482"/>
      <c r="M105" s="3483"/>
      <c r="N105" s="3418"/>
      <c r="O105" s="3418"/>
      <c r="P105" s="3419"/>
      <c r="Q105" s="3384"/>
      <c r="R105" s="3351"/>
      <c r="S105" s="3351"/>
      <c r="T105" s="3351"/>
      <c r="U105" s="3351"/>
      <c r="V105" s="3351"/>
      <c r="W105" s="3351"/>
      <c r="X105" s="3351"/>
      <c r="Y105" s="3351"/>
      <c r="Z105" s="3351"/>
      <c r="AA105" s="3351"/>
      <c r="AB105" s="3351"/>
      <c r="AC105" s="3351"/>
    </row>
    <row r="106" spans="1:29" ht="15.75" thickBot="1">
      <c r="A106" s="3420"/>
      <c r="B106" s="3431"/>
      <c r="C106" s="3432">
        <v>100</v>
      </c>
      <c r="D106" s="3432">
        <f t="shared" ref="D106:M106" si="24">C106-$K34</f>
        <v>98</v>
      </c>
      <c r="E106" s="3432">
        <f t="shared" si="24"/>
        <v>96</v>
      </c>
      <c r="F106" s="3432">
        <f t="shared" si="24"/>
        <v>94</v>
      </c>
      <c r="G106" s="3432">
        <f t="shared" si="24"/>
        <v>92</v>
      </c>
      <c r="H106" s="3432">
        <f t="shared" si="24"/>
        <v>90</v>
      </c>
      <c r="I106" s="3432">
        <f t="shared" si="24"/>
        <v>88</v>
      </c>
      <c r="J106" s="3432">
        <f t="shared" si="24"/>
        <v>86</v>
      </c>
      <c r="K106" s="3432">
        <f t="shared" si="24"/>
        <v>84</v>
      </c>
      <c r="L106" s="3432">
        <f t="shared" si="24"/>
        <v>82</v>
      </c>
      <c r="M106" s="3432">
        <f t="shared" si="24"/>
        <v>80</v>
      </c>
      <c r="N106" s="3425"/>
      <c r="O106" s="3425"/>
      <c r="P106" s="3419"/>
      <c r="Q106" s="3384"/>
      <c r="R106" s="3351"/>
      <c r="S106" s="3351"/>
      <c r="T106" s="3351"/>
      <c r="U106" s="3351"/>
      <c r="V106" s="3351"/>
      <c r="W106" s="3351"/>
      <c r="X106" s="3351"/>
      <c r="Y106" s="3351"/>
      <c r="Z106" s="3351"/>
      <c r="AA106" s="3351"/>
      <c r="AB106" s="3351"/>
      <c r="AC106" s="3351"/>
    </row>
    <row r="107" spans="1:29" ht="15" thickTop="1">
      <c r="A107" s="3498"/>
      <c r="B107" s="3426" t="s">
        <v>3224</v>
      </c>
      <c r="C107" s="3500" t="s">
        <v>3225</v>
      </c>
      <c r="D107" s="3500" t="s">
        <v>3226</v>
      </c>
      <c r="E107" s="3480"/>
      <c r="F107" s="3480"/>
      <c r="G107" s="3480"/>
      <c r="H107" s="3480"/>
      <c r="I107" s="3480"/>
      <c r="J107" s="3480"/>
      <c r="K107" s="3481"/>
      <c r="L107" s="3482"/>
      <c r="M107" s="3483"/>
      <c r="N107" s="3418"/>
      <c r="O107" s="3418"/>
      <c r="P107" s="3419"/>
      <c r="Q107" s="3384"/>
      <c r="R107" s="3351"/>
      <c r="S107" s="3351"/>
      <c r="T107" s="3351"/>
      <c r="U107" s="3351"/>
      <c r="V107" s="3351"/>
      <c r="W107" s="3351"/>
      <c r="X107" s="3351"/>
      <c r="Y107" s="3351"/>
      <c r="Z107" s="3351"/>
      <c r="AA107" s="3351"/>
      <c r="AB107" s="3351"/>
      <c r="AC107" s="3351"/>
    </row>
    <row r="108" spans="1:29" ht="15.75" thickBot="1">
      <c r="A108" s="3420"/>
      <c r="B108" s="3431"/>
      <c r="C108" s="3432">
        <v>100</v>
      </c>
      <c r="D108" s="3432">
        <f t="shared" ref="D108:M108" si="25">C108-$K35</f>
        <v>98</v>
      </c>
      <c r="E108" s="3432">
        <f t="shared" si="25"/>
        <v>96</v>
      </c>
      <c r="F108" s="3432">
        <f t="shared" si="25"/>
        <v>94</v>
      </c>
      <c r="G108" s="3432">
        <f t="shared" si="25"/>
        <v>92</v>
      </c>
      <c r="H108" s="3432">
        <f t="shared" si="25"/>
        <v>90</v>
      </c>
      <c r="I108" s="3432">
        <f t="shared" si="25"/>
        <v>88</v>
      </c>
      <c r="J108" s="3432">
        <f t="shared" si="25"/>
        <v>86</v>
      </c>
      <c r="K108" s="3432">
        <f t="shared" si="25"/>
        <v>84</v>
      </c>
      <c r="L108" s="3432">
        <f t="shared" si="25"/>
        <v>82</v>
      </c>
      <c r="M108" s="3432">
        <f t="shared" si="25"/>
        <v>80</v>
      </c>
      <c r="N108" s="3425"/>
      <c r="O108" s="3425"/>
      <c r="P108" s="3419"/>
      <c r="Q108" s="3384"/>
      <c r="R108" s="3351"/>
      <c r="S108" s="3351"/>
      <c r="T108" s="3351"/>
      <c r="U108" s="3351"/>
      <c r="V108" s="3351"/>
      <c r="W108" s="3351"/>
      <c r="X108" s="3351"/>
      <c r="Y108" s="3351"/>
      <c r="Z108" s="3351"/>
      <c r="AA108" s="3351"/>
      <c r="AB108" s="3351"/>
      <c r="AC108" s="3351"/>
    </row>
    <row r="109" spans="1:29" ht="15" thickTop="1">
      <c r="A109" s="3498"/>
      <c r="B109" s="3426" t="s">
        <v>3227</v>
      </c>
      <c r="C109" s="3499" t="s">
        <v>3228</v>
      </c>
      <c r="D109" s="3499" t="s">
        <v>3229</v>
      </c>
      <c r="E109" s="3499" t="s">
        <v>3230</v>
      </c>
      <c r="F109" s="3480"/>
      <c r="G109" s="3480"/>
      <c r="H109" s="3480"/>
      <c r="I109" s="3480"/>
      <c r="J109" s="3480"/>
      <c r="K109" s="3481"/>
      <c r="L109" s="3482"/>
      <c r="M109" s="3483"/>
      <c r="N109" s="3418"/>
      <c r="O109" s="3418"/>
      <c r="P109" s="3419"/>
      <c r="Q109" s="3384"/>
      <c r="R109" s="3351"/>
      <c r="S109" s="3351"/>
      <c r="T109" s="3351"/>
      <c r="U109" s="3351"/>
      <c r="V109" s="3351"/>
      <c r="W109" s="3351"/>
      <c r="X109" s="3351"/>
      <c r="Y109" s="3351"/>
      <c r="Z109" s="3351"/>
      <c r="AA109" s="3351"/>
      <c r="AB109" s="3351"/>
      <c r="AC109" s="3351"/>
    </row>
    <row r="110" spans="1:29" ht="15.75" thickBot="1">
      <c r="A110" s="3420"/>
      <c r="B110" s="3431"/>
      <c r="C110" s="3432">
        <v>100</v>
      </c>
      <c r="D110" s="3432">
        <f t="shared" ref="D110:M110" si="26">C110-$K36</f>
        <v>98</v>
      </c>
      <c r="E110" s="3432">
        <f t="shared" si="26"/>
        <v>96</v>
      </c>
      <c r="F110" s="3432">
        <f t="shared" si="26"/>
        <v>94</v>
      </c>
      <c r="G110" s="3432">
        <f t="shared" si="26"/>
        <v>92</v>
      </c>
      <c r="H110" s="3432">
        <f t="shared" si="26"/>
        <v>90</v>
      </c>
      <c r="I110" s="3432">
        <f t="shared" si="26"/>
        <v>88</v>
      </c>
      <c r="J110" s="3432">
        <f t="shared" si="26"/>
        <v>86</v>
      </c>
      <c r="K110" s="3432">
        <f t="shared" si="26"/>
        <v>84</v>
      </c>
      <c r="L110" s="3432">
        <f t="shared" si="26"/>
        <v>82</v>
      </c>
      <c r="M110" s="3432">
        <f t="shared" si="26"/>
        <v>80</v>
      </c>
      <c r="N110" s="3425"/>
      <c r="O110" s="3425"/>
      <c r="P110" s="3419"/>
      <c r="Q110" s="3384"/>
      <c r="R110" s="3351"/>
      <c r="S110" s="3351"/>
      <c r="T110" s="3351"/>
      <c r="U110" s="3351"/>
      <c r="V110" s="3351"/>
      <c r="W110" s="3351"/>
      <c r="X110" s="3351"/>
      <c r="Y110" s="3351"/>
      <c r="Z110" s="3351"/>
      <c r="AA110" s="3351"/>
      <c r="AB110" s="3351"/>
      <c r="AC110" s="3351"/>
    </row>
    <row r="111" spans="1:29" s="3331" customFormat="1" ht="15" thickTop="1">
      <c r="A111" s="3492"/>
      <c r="B111" s="3426" t="s">
        <v>3231</v>
      </c>
      <c r="C111" s="3469" t="str">
        <f>C112&amp;"(含)"&amp;"-"&amp;D112</f>
        <v>0.5(含)-0.6</v>
      </c>
      <c r="D111" s="3469" t="str">
        <f>D112&amp;"(含)"&amp;"-"&amp;E112</f>
        <v>0.6(含)-0.7</v>
      </c>
      <c r="E111" s="3469" t="str">
        <f>E112&amp;"(含)"&amp;"-"&amp;F112</f>
        <v>0.7(含)-0.8</v>
      </c>
      <c r="F111" s="3469" t="str">
        <f>F112&amp;"(含)"&amp;"-"&amp;G112</f>
        <v>0.8(含)-0.9</v>
      </c>
      <c r="G111" s="3469" t="str">
        <f>G112&amp;"(含)"&amp;"-"&amp;ROUND(H112,0)</f>
        <v>0.9(含)-1</v>
      </c>
      <c r="H111" s="3469" t="str">
        <f>ROUND(H112,0)&amp;"(含)"&amp;"-"&amp;I112</f>
        <v>1(含)-</v>
      </c>
      <c r="I111" s="3469"/>
      <c r="J111" s="3501"/>
      <c r="K111" s="3501"/>
      <c r="L111" s="3502"/>
      <c r="M111" s="3503"/>
      <c r="N111" s="3446"/>
      <c r="O111" s="3446"/>
      <c r="P111" s="3447"/>
      <c r="Q111" s="3448"/>
      <c r="R111" s="3449"/>
      <c r="S111" s="3449"/>
      <c r="T111" s="3449"/>
      <c r="U111" s="3449"/>
      <c r="V111" s="3449"/>
      <c r="W111" s="3449"/>
      <c r="X111" s="3449"/>
      <c r="Y111" s="3449"/>
      <c r="Z111" s="3449"/>
      <c r="AA111" s="3449"/>
      <c r="AB111" s="3449"/>
      <c r="AC111" s="3449"/>
    </row>
    <row r="112" spans="1:29" s="3331" customFormat="1">
      <c r="A112" s="3492"/>
      <c r="B112" s="3434"/>
      <c r="C112" s="3504">
        <v>0.5</v>
      </c>
      <c r="D112" s="3504">
        <v>0.6</v>
      </c>
      <c r="E112" s="3504">
        <v>0.7</v>
      </c>
      <c r="F112" s="3504">
        <v>0.8</v>
      </c>
      <c r="G112" s="3504">
        <v>0.9</v>
      </c>
      <c r="H112" s="3504">
        <v>1.0001</v>
      </c>
      <c r="I112" s="3504"/>
      <c r="J112" s="3505"/>
      <c r="K112" s="3505"/>
      <c r="L112" s="3506"/>
      <c r="M112" s="3507"/>
      <c r="N112" s="3446"/>
      <c r="O112" s="3446"/>
      <c r="P112" s="3447"/>
      <c r="Q112" s="3448"/>
      <c r="R112" s="3449"/>
      <c r="S112" s="3449"/>
      <c r="T112" s="3449"/>
      <c r="U112" s="3449"/>
      <c r="V112" s="3449"/>
      <c r="W112" s="3449"/>
      <c r="X112" s="3449"/>
      <c r="Y112" s="3449"/>
      <c r="Z112" s="3449"/>
      <c r="AA112" s="3449"/>
      <c r="AB112" s="3449"/>
      <c r="AC112" s="3449"/>
    </row>
    <row r="113" spans="1:29" s="3331" customFormat="1" ht="15.75" thickBot="1">
      <c r="A113" s="3441"/>
      <c r="B113" s="3431"/>
      <c r="C113" s="3478">
        <v>100</v>
      </c>
      <c r="D113" s="3432">
        <f>C113+$K37</f>
        <v>102</v>
      </c>
      <c r="E113" s="3432">
        <f>D113+$K37</f>
        <v>104</v>
      </c>
      <c r="F113" s="3432">
        <f>E113+$K37</f>
        <v>106</v>
      </c>
      <c r="G113" s="3432">
        <f>F113+$K37</f>
        <v>108</v>
      </c>
      <c r="H113" s="3432">
        <f>G113+$K37</f>
        <v>110</v>
      </c>
      <c r="I113" s="3478"/>
      <c r="J113" s="3508"/>
      <c r="K113" s="3508"/>
      <c r="L113" s="3508"/>
      <c r="M113" s="3509"/>
      <c r="N113" s="3446"/>
      <c r="O113" s="3446"/>
      <c r="P113" s="3447"/>
      <c r="Q113" s="3448"/>
      <c r="R113" s="3449"/>
      <c r="S113" s="3449"/>
      <c r="T113" s="3449"/>
      <c r="U113" s="3449"/>
      <c r="V113" s="3449"/>
      <c r="W113" s="3449"/>
      <c r="X113" s="3449"/>
      <c r="Y113" s="3449"/>
      <c r="Z113" s="3449"/>
      <c r="AA113" s="3449"/>
      <c r="AB113" s="3449"/>
      <c r="AC113" s="3449"/>
    </row>
    <row r="114" spans="1:29" ht="15" thickTop="1">
      <c r="A114" s="3498"/>
      <c r="B114" s="3426" t="s">
        <v>3232</v>
      </c>
      <c r="C114" s="3499" t="s">
        <v>3233</v>
      </c>
      <c r="D114" s="3499" t="s">
        <v>3234</v>
      </c>
      <c r="E114" s="3480"/>
      <c r="F114" s="3480"/>
      <c r="G114" s="3480"/>
      <c r="H114" s="3480"/>
      <c r="I114" s="3480"/>
      <c r="J114" s="3480"/>
      <c r="K114" s="3481"/>
      <c r="L114" s="3482"/>
      <c r="M114" s="3483"/>
      <c r="N114" s="3418"/>
      <c r="O114" s="3418"/>
      <c r="P114" s="3419"/>
      <c r="Q114" s="3384"/>
      <c r="R114" s="3351"/>
      <c r="S114" s="3351"/>
      <c r="T114" s="3351"/>
      <c r="U114" s="3351"/>
      <c r="V114" s="3351"/>
      <c r="W114" s="3351"/>
      <c r="X114" s="3351"/>
      <c r="Y114" s="3351"/>
      <c r="Z114" s="3351"/>
      <c r="AA114" s="3351"/>
      <c r="AB114" s="3351"/>
      <c r="AC114" s="3351"/>
    </row>
    <row r="115" spans="1:29" ht="15.75" thickBot="1">
      <c r="A115" s="3420"/>
      <c r="B115" s="3431"/>
      <c r="C115" s="3432">
        <v>100</v>
      </c>
      <c r="D115" s="3432">
        <f t="shared" ref="D115:M115" si="27">C115-$K38</f>
        <v>98</v>
      </c>
      <c r="E115" s="3432">
        <f t="shared" si="27"/>
        <v>96</v>
      </c>
      <c r="F115" s="3432">
        <f t="shared" si="27"/>
        <v>94</v>
      </c>
      <c r="G115" s="3432">
        <f t="shared" si="27"/>
        <v>92</v>
      </c>
      <c r="H115" s="3432">
        <f t="shared" si="27"/>
        <v>90</v>
      </c>
      <c r="I115" s="3432">
        <f t="shared" si="27"/>
        <v>88</v>
      </c>
      <c r="J115" s="3432">
        <f t="shared" si="27"/>
        <v>86</v>
      </c>
      <c r="K115" s="3432">
        <f t="shared" si="27"/>
        <v>84</v>
      </c>
      <c r="L115" s="3432">
        <f t="shared" si="27"/>
        <v>82</v>
      </c>
      <c r="M115" s="3432">
        <f t="shared" si="27"/>
        <v>80</v>
      </c>
      <c r="N115" s="3425"/>
      <c r="O115" s="3425"/>
      <c r="P115" s="3419"/>
      <c r="Q115" s="3384"/>
      <c r="R115" s="3351"/>
      <c r="S115" s="3351"/>
      <c r="T115" s="3351"/>
      <c r="U115" s="3351"/>
      <c r="V115" s="3351"/>
      <c r="W115" s="3351"/>
      <c r="X115" s="3351"/>
      <c r="Y115" s="3351"/>
      <c r="Z115" s="3351"/>
      <c r="AA115" s="3351"/>
      <c r="AB115" s="3351"/>
      <c r="AC115" s="3351"/>
    </row>
    <row r="116" spans="1:29" ht="15" thickTop="1">
      <c r="A116" s="3498"/>
      <c r="B116" s="3470" t="s">
        <v>3235</v>
      </c>
      <c r="C116" s="3499" t="s">
        <v>3207</v>
      </c>
      <c r="D116" s="3499" t="s">
        <v>3208</v>
      </c>
      <c r="E116" s="3499" t="s">
        <v>3278</v>
      </c>
      <c r="F116" s="3442"/>
      <c r="G116" s="3442"/>
      <c r="H116" s="3480"/>
      <c r="I116" s="3480"/>
      <c r="J116" s="3480"/>
      <c r="K116" s="3481"/>
      <c r="L116" s="3482"/>
      <c r="M116" s="3483"/>
      <c r="N116" s="3418"/>
      <c r="O116" s="3418"/>
      <c r="P116" s="3419"/>
      <c r="Q116" s="3384"/>
      <c r="R116" s="3351"/>
      <c r="S116" s="3351"/>
      <c r="T116" s="3351"/>
      <c r="U116" s="3351"/>
      <c r="V116" s="3351"/>
      <c r="W116" s="3351"/>
      <c r="X116" s="3351"/>
      <c r="Y116" s="3351"/>
      <c r="Z116" s="3351"/>
      <c r="AA116" s="3351"/>
      <c r="AB116" s="3351"/>
      <c r="AC116" s="3351"/>
    </row>
    <row r="117" spans="1:29" ht="15.75" thickBot="1">
      <c r="A117" s="3420"/>
      <c r="B117" s="3431"/>
      <c r="C117" s="3432">
        <v>100</v>
      </c>
      <c r="D117" s="3432">
        <f>C117-$K39</f>
        <v>99</v>
      </c>
      <c r="E117" s="3432">
        <f>D117-$K39</f>
        <v>98</v>
      </c>
      <c r="F117" s="3432">
        <f>E117-$K39</f>
        <v>97</v>
      </c>
      <c r="G117" s="3432">
        <f>F117-$K39</f>
        <v>96</v>
      </c>
      <c r="H117" s="3432"/>
      <c r="I117" s="3432"/>
      <c r="J117" s="3432"/>
      <c r="K117" s="3432"/>
      <c r="L117" s="3432"/>
      <c r="M117" s="3433"/>
      <c r="N117" s="3425"/>
      <c r="O117" s="3425"/>
      <c r="P117" s="3419"/>
      <c r="Q117" s="3384"/>
      <c r="R117" s="3351"/>
      <c r="S117" s="3351"/>
      <c r="T117" s="3351"/>
      <c r="U117" s="3351"/>
      <c r="V117" s="3351"/>
      <c r="W117" s="3351"/>
      <c r="X117" s="3351"/>
      <c r="Y117" s="3351"/>
      <c r="Z117" s="3351"/>
      <c r="AA117" s="3351"/>
      <c r="AB117" s="3351"/>
      <c r="AC117" s="3351"/>
    </row>
    <row r="118" spans="1:29" ht="15" thickTop="1">
      <c r="A118" s="3498"/>
      <c r="B118" s="3426" t="s">
        <v>3236</v>
      </c>
      <c r="C118" s="3480"/>
      <c r="D118" s="3480"/>
      <c r="E118" s="3480"/>
      <c r="F118" s="3480"/>
      <c r="G118" s="3480"/>
      <c r="H118" s="3480"/>
      <c r="I118" s="3480"/>
      <c r="J118" s="3480"/>
      <c r="K118" s="3481"/>
      <c r="L118" s="3482"/>
      <c r="M118" s="3483"/>
      <c r="N118" s="3418"/>
      <c r="O118" s="3418"/>
      <c r="P118" s="3419"/>
      <c r="Q118" s="3384"/>
      <c r="R118" s="3351"/>
      <c r="S118" s="3351"/>
      <c r="T118" s="3351"/>
      <c r="U118" s="3351"/>
      <c r="V118" s="3351"/>
      <c r="W118" s="3351"/>
      <c r="X118" s="3351"/>
      <c r="Y118" s="3351"/>
      <c r="Z118" s="3351"/>
      <c r="AA118" s="3351"/>
      <c r="AB118" s="3351"/>
      <c r="AC118" s="3351"/>
    </row>
    <row r="119" spans="1:29" ht="15.75" thickBot="1">
      <c r="A119" s="3420"/>
      <c r="B119" s="3431"/>
      <c r="C119" s="3432">
        <v>100</v>
      </c>
      <c r="D119" s="3432">
        <f t="shared" ref="D119:M119" si="28">C119-$K40</f>
        <v>100</v>
      </c>
      <c r="E119" s="3432">
        <f t="shared" si="28"/>
        <v>100</v>
      </c>
      <c r="F119" s="3432">
        <f t="shared" si="28"/>
        <v>100</v>
      </c>
      <c r="G119" s="3432">
        <f t="shared" si="28"/>
        <v>100</v>
      </c>
      <c r="H119" s="3432">
        <f t="shared" si="28"/>
        <v>100</v>
      </c>
      <c r="I119" s="3432">
        <f t="shared" si="28"/>
        <v>100</v>
      </c>
      <c r="J119" s="3432">
        <f t="shared" si="28"/>
        <v>100</v>
      </c>
      <c r="K119" s="3432">
        <f t="shared" si="28"/>
        <v>100</v>
      </c>
      <c r="L119" s="3432">
        <f t="shared" si="28"/>
        <v>100</v>
      </c>
      <c r="M119" s="3432">
        <f t="shared" si="28"/>
        <v>100</v>
      </c>
      <c r="N119" s="3425"/>
      <c r="O119" s="3425"/>
      <c r="P119" s="3419"/>
      <c r="Q119" s="3384"/>
      <c r="R119" s="3351"/>
      <c r="S119" s="3351"/>
      <c r="T119" s="3351"/>
      <c r="U119" s="3351"/>
      <c r="V119" s="3351"/>
      <c r="W119" s="3351"/>
      <c r="X119" s="3351"/>
      <c r="Y119" s="3351"/>
      <c r="Z119" s="3351"/>
      <c r="AA119" s="3351"/>
      <c r="AB119" s="3351"/>
      <c r="AC119" s="3351"/>
    </row>
    <row r="120" spans="1:29" s="3331" customFormat="1" ht="28.5" thickTop="1">
      <c r="A120" s="3492"/>
      <c r="B120" s="3426" t="s">
        <v>3174</v>
      </c>
      <c r="C120" s="3442"/>
      <c r="D120" s="3442"/>
      <c r="E120" s="3442"/>
      <c r="F120" s="3442"/>
      <c r="G120" s="3442"/>
      <c r="H120" s="3442"/>
      <c r="I120" s="3442"/>
      <c r="J120" s="3442"/>
      <c r="K120" s="3442"/>
      <c r="L120" s="3476"/>
      <c r="M120" s="3477"/>
      <c r="N120" s="3446"/>
      <c r="O120" s="3446"/>
      <c r="P120" s="3447"/>
      <c r="Q120" s="3448"/>
      <c r="R120" s="3449"/>
      <c r="S120" s="3449"/>
      <c r="T120" s="3449"/>
      <c r="U120" s="3449"/>
      <c r="V120" s="3449"/>
      <c r="W120" s="3449"/>
      <c r="X120" s="3449"/>
      <c r="Y120" s="3449"/>
      <c r="Z120" s="3449"/>
      <c r="AA120" s="3449"/>
      <c r="AB120" s="3449"/>
      <c r="AC120" s="3449"/>
    </row>
    <row r="121" spans="1:29" s="3331" customFormat="1" ht="15.75" thickBot="1">
      <c r="A121" s="3441"/>
      <c r="B121" s="3421"/>
      <c r="C121" s="3450"/>
      <c r="D121" s="3422"/>
      <c r="E121" s="3422"/>
      <c r="F121" s="3422"/>
      <c r="G121" s="3422"/>
      <c r="H121" s="3422"/>
      <c r="I121" s="3422"/>
      <c r="J121" s="3422"/>
      <c r="K121" s="3422"/>
      <c r="L121" s="3422"/>
      <c r="M121" s="3422"/>
      <c r="N121" s="3446"/>
      <c r="O121" s="3446"/>
      <c r="P121" s="3447"/>
      <c r="Q121" s="3448"/>
      <c r="R121" s="3449"/>
      <c r="S121" s="3449"/>
      <c r="T121" s="3449"/>
      <c r="U121" s="3449"/>
      <c r="V121" s="3449"/>
      <c r="W121" s="3449"/>
      <c r="X121" s="3449"/>
      <c r="Y121" s="3449"/>
      <c r="Z121" s="3449"/>
      <c r="AA121" s="3449"/>
      <c r="AB121" s="3449"/>
      <c r="AC121" s="3449"/>
    </row>
    <row r="122" spans="1:29" ht="15" thickTop="1">
      <c r="A122" s="3498"/>
      <c r="B122" s="3426" t="s">
        <v>3237</v>
      </c>
      <c r="C122" s="3499" t="s">
        <v>3238</v>
      </c>
      <c r="D122" s="3499" t="s">
        <v>3239</v>
      </c>
      <c r="E122" s="3499" t="s">
        <v>3240</v>
      </c>
      <c r="F122" s="3480"/>
      <c r="G122" s="3480"/>
      <c r="H122" s="3480"/>
      <c r="I122" s="3480"/>
      <c r="J122" s="3480"/>
      <c r="K122" s="3481"/>
      <c r="L122" s="3482"/>
      <c r="M122" s="3483"/>
      <c r="N122" s="3418"/>
      <c r="O122" s="3418"/>
      <c r="P122" s="3419"/>
      <c r="Q122" s="3384"/>
      <c r="R122" s="3351"/>
      <c r="S122" s="3351"/>
      <c r="T122" s="3351"/>
      <c r="U122" s="3351"/>
      <c r="V122" s="3351"/>
      <c r="W122" s="3351"/>
      <c r="X122" s="3351"/>
      <c r="Y122" s="3351"/>
      <c r="Z122" s="3351"/>
      <c r="AA122" s="3351"/>
      <c r="AB122" s="3351"/>
      <c r="AC122" s="3351"/>
    </row>
    <row r="123" spans="1:29" ht="15.75" thickBot="1">
      <c r="A123" s="3420"/>
      <c r="B123" s="3431"/>
      <c r="C123" s="3432">
        <v>100</v>
      </c>
      <c r="D123" s="3432">
        <f t="shared" ref="D123:M123" si="29">C123-$K42</f>
        <v>97</v>
      </c>
      <c r="E123" s="3432">
        <f t="shared" si="29"/>
        <v>94</v>
      </c>
      <c r="F123" s="3432">
        <f t="shared" si="29"/>
        <v>91</v>
      </c>
      <c r="G123" s="3432">
        <f t="shared" si="29"/>
        <v>88</v>
      </c>
      <c r="H123" s="3432">
        <f t="shared" si="29"/>
        <v>85</v>
      </c>
      <c r="I123" s="3432">
        <f t="shared" si="29"/>
        <v>82</v>
      </c>
      <c r="J123" s="3432">
        <f t="shared" si="29"/>
        <v>79</v>
      </c>
      <c r="K123" s="3432">
        <f t="shared" si="29"/>
        <v>76</v>
      </c>
      <c r="L123" s="3432">
        <f t="shared" si="29"/>
        <v>73</v>
      </c>
      <c r="M123" s="3432">
        <f t="shared" si="29"/>
        <v>70</v>
      </c>
      <c r="N123" s="3425"/>
      <c r="O123" s="3425"/>
      <c r="P123" s="3419"/>
      <c r="Q123" s="3384"/>
      <c r="R123" s="3351"/>
      <c r="S123" s="3351"/>
      <c r="T123" s="3351"/>
      <c r="U123" s="3351"/>
      <c r="V123" s="3351"/>
      <c r="W123" s="3351"/>
      <c r="X123" s="3351"/>
      <c r="Y123" s="3351"/>
      <c r="Z123" s="3351"/>
      <c r="AA123" s="3351"/>
      <c r="AB123" s="3351"/>
      <c r="AC123" s="3351"/>
    </row>
    <row r="124" spans="1:29" ht="27.75" thickTop="1">
      <c r="A124" s="3498"/>
      <c r="B124" s="3426" t="s">
        <v>3241</v>
      </c>
      <c r="C124" s="3469" t="s">
        <v>3201</v>
      </c>
      <c r="D124" s="3469" t="s">
        <v>3202</v>
      </c>
      <c r="E124" s="3469" t="s">
        <v>3203</v>
      </c>
      <c r="F124" s="3469" t="s">
        <v>3204</v>
      </c>
      <c r="G124" s="3469" t="s">
        <v>3205</v>
      </c>
      <c r="H124" s="3427"/>
      <c r="I124" s="3427"/>
      <c r="J124" s="3427"/>
      <c r="K124" s="3428"/>
      <c r="L124" s="3429"/>
      <c r="M124" s="3430"/>
      <c r="N124" s="3418"/>
      <c r="O124" s="3418"/>
      <c r="P124" s="3447"/>
      <c r="Q124" s="3384"/>
      <c r="R124" s="3351"/>
      <c r="S124" s="3351"/>
      <c r="T124" s="3351"/>
      <c r="U124" s="3351"/>
      <c r="V124" s="3351"/>
      <c r="W124" s="3351"/>
      <c r="X124" s="3351"/>
      <c r="Y124" s="3351"/>
      <c r="Z124" s="3351"/>
      <c r="AA124" s="3351"/>
      <c r="AB124" s="3351"/>
      <c r="AC124" s="3351"/>
    </row>
    <row r="125" spans="1:29" ht="15.75" thickBot="1">
      <c r="A125" s="3420"/>
      <c r="B125" s="3431"/>
      <c r="C125" s="3432">
        <v>100</v>
      </c>
      <c r="D125" s="3432">
        <f>C125-$K43</f>
        <v>98</v>
      </c>
      <c r="E125" s="3432">
        <f>D125-$K43</f>
        <v>96</v>
      </c>
      <c r="F125" s="3432">
        <f>E125-$K43</f>
        <v>94</v>
      </c>
      <c r="G125" s="3432">
        <f>F125-$K43</f>
        <v>92</v>
      </c>
      <c r="H125" s="3432"/>
      <c r="I125" s="3432"/>
      <c r="J125" s="3432"/>
      <c r="K125" s="3432"/>
      <c r="L125" s="3432"/>
      <c r="M125" s="3433"/>
      <c r="N125" s="3425"/>
      <c r="O125" s="3425"/>
      <c r="P125" s="3419"/>
      <c r="Q125" s="3384"/>
      <c r="R125" s="3351"/>
      <c r="S125" s="3351"/>
      <c r="T125" s="3351"/>
      <c r="U125" s="3351"/>
      <c r="V125" s="3351"/>
      <c r="W125" s="3351"/>
      <c r="X125" s="3351"/>
      <c r="Y125" s="3351"/>
      <c r="Z125" s="3351"/>
      <c r="AA125" s="3351"/>
      <c r="AB125" s="3351"/>
      <c r="AC125" s="3351"/>
    </row>
    <row r="126" spans="1:29" s="3331" customFormat="1" ht="15" thickTop="1">
      <c r="A126" s="3492"/>
      <c r="B126" s="3426">
        <f>B44</f>
        <v>111</v>
      </c>
      <c r="C126" s="3442"/>
      <c r="D126" s="3442"/>
      <c r="E126" s="3442"/>
      <c r="F126" s="3442"/>
      <c r="G126" s="3442"/>
      <c r="H126" s="3443"/>
      <c r="I126" s="3443"/>
      <c r="J126" s="3443"/>
      <c r="K126" s="3443"/>
      <c r="L126" s="3444"/>
      <c r="M126" s="3445"/>
      <c r="N126" s="3446"/>
      <c r="O126" s="3446"/>
      <c r="P126" s="3447"/>
      <c r="Q126" s="3448"/>
      <c r="R126" s="3449"/>
      <c r="S126" s="3449"/>
      <c r="T126" s="3449"/>
      <c r="U126" s="3449"/>
      <c r="V126" s="3449"/>
      <c r="W126" s="3449"/>
      <c r="X126" s="3449"/>
      <c r="Y126" s="3449"/>
      <c r="Z126" s="3449"/>
      <c r="AA126" s="3449"/>
      <c r="AB126" s="3449"/>
      <c r="AC126" s="3449"/>
    </row>
    <row r="127" spans="1:29" s="3331" customFormat="1" ht="15.75" thickBot="1">
      <c r="A127" s="3441"/>
      <c r="B127" s="3431"/>
      <c r="C127" s="3450"/>
      <c r="D127" s="3422"/>
      <c r="E127" s="3422"/>
      <c r="F127" s="3422"/>
      <c r="G127" s="3450"/>
      <c r="H127" s="3453"/>
      <c r="I127" s="3453"/>
      <c r="J127" s="3453"/>
      <c r="K127" s="3453"/>
      <c r="L127" s="3453"/>
      <c r="M127" s="3454"/>
      <c r="N127" s="3446"/>
      <c r="O127" s="3446"/>
      <c r="P127" s="3447"/>
      <c r="Q127" s="3448"/>
      <c r="R127" s="3449"/>
      <c r="S127" s="3449"/>
      <c r="T127" s="3449"/>
      <c r="U127" s="3449"/>
      <c r="V127" s="3449"/>
      <c r="W127" s="3449"/>
      <c r="X127" s="3449"/>
      <c r="Y127" s="3449"/>
      <c r="Z127" s="3449"/>
      <c r="AA127" s="3449"/>
      <c r="AB127" s="3449"/>
      <c r="AC127" s="3449"/>
    </row>
    <row r="128" spans="1:29" ht="15" thickTop="1">
      <c r="A128" s="3498"/>
      <c r="B128" s="3426">
        <f>B45</f>
        <v>111</v>
      </c>
      <c r="C128" s="3442"/>
      <c r="D128" s="3442"/>
      <c r="E128" s="3442"/>
      <c r="F128" s="3442"/>
      <c r="G128" s="3480"/>
      <c r="H128" s="3480"/>
      <c r="I128" s="3480"/>
      <c r="J128" s="3480"/>
      <c r="K128" s="3481"/>
      <c r="L128" s="3482"/>
      <c r="M128" s="3483"/>
      <c r="N128" s="3418"/>
      <c r="O128" s="3418"/>
      <c r="P128" s="3419"/>
      <c r="Q128" s="3384"/>
      <c r="R128" s="3351"/>
      <c r="S128" s="3351"/>
      <c r="T128" s="3351"/>
      <c r="U128" s="3351"/>
      <c r="V128" s="3351"/>
      <c r="W128" s="3351"/>
      <c r="X128" s="3351"/>
      <c r="Y128" s="3351"/>
      <c r="Z128" s="3351"/>
      <c r="AA128" s="3351"/>
      <c r="AB128" s="3351"/>
      <c r="AC128" s="3351"/>
    </row>
    <row r="129" spans="1:29" ht="15.75" thickBot="1">
      <c r="A129" s="3420"/>
      <c r="B129" s="3431"/>
      <c r="C129" s="3450"/>
      <c r="D129" s="3450"/>
      <c r="E129" s="3450"/>
      <c r="F129" s="3450"/>
      <c r="G129" s="3422"/>
      <c r="H129" s="3422"/>
      <c r="I129" s="3422"/>
      <c r="J129" s="3422"/>
      <c r="K129" s="3422"/>
      <c r="L129" s="3422"/>
      <c r="M129" s="3451"/>
      <c r="N129" s="3425"/>
      <c r="O129" s="3425"/>
      <c r="P129" s="3419"/>
      <c r="Q129" s="3384"/>
      <c r="R129" s="3351"/>
      <c r="S129" s="3351"/>
      <c r="T129" s="3351"/>
      <c r="U129" s="3351"/>
      <c r="V129" s="3351"/>
      <c r="W129" s="3351"/>
      <c r="X129" s="3351"/>
      <c r="Y129" s="3351"/>
      <c r="Z129" s="3351"/>
      <c r="AA129" s="3351"/>
      <c r="AB129" s="3351"/>
      <c r="AC129" s="3351"/>
    </row>
    <row r="130" spans="1:29" ht="15" thickTop="1">
      <c r="A130" s="3498"/>
      <c r="B130" s="3434">
        <f>B46</f>
        <v>111</v>
      </c>
      <c r="C130" s="3442"/>
      <c r="D130" s="3442"/>
      <c r="E130" s="3442"/>
      <c r="F130" s="3442"/>
      <c r="G130" s="3484"/>
      <c r="H130" s="3484"/>
      <c r="I130" s="3484"/>
      <c r="J130" s="3484"/>
      <c r="K130" s="3404"/>
      <c r="L130" s="3405"/>
      <c r="M130" s="3487"/>
      <c r="N130" s="3418"/>
      <c r="O130" s="3418"/>
      <c r="P130" s="3419"/>
      <c r="Q130" s="3384"/>
      <c r="R130" s="3351"/>
      <c r="S130" s="3351"/>
      <c r="T130" s="3351"/>
      <c r="U130" s="3351"/>
      <c r="V130" s="3351"/>
      <c r="W130" s="3351"/>
      <c r="X130" s="3351"/>
      <c r="Y130" s="3351"/>
      <c r="Z130" s="3351"/>
      <c r="AA130" s="3351"/>
      <c r="AB130" s="3351"/>
      <c r="AC130" s="3351"/>
    </row>
    <row r="131" spans="1:29" ht="15.75" thickBot="1">
      <c r="A131" s="3488"/>
      <c r="B131" s="3460"/>
      <c r="C131" s="3461"/>
      <c r="D131" s="3461"/>
      <c r="E131" s="3461"/>
      <c r="F131" s="3461"/>
      <c r="G131" s="3489"/>
      <c r="H131" s="3489"/>
      <c r="I131" s="3489"/>
      <c r="J131" s="3489"/>
      <c r="K131" s="3489"/>
      <c r="L131" s="3489"/>
      <c r="M131" s="3490"/>
      <c r="N131" s="3425"/>
      <c r="O131" s="3425"/>
      <c r="P131" s="3419"/>
      <c r="Q131" s="3384"/>
      <c r="R131" s="3351"/>
      <c r="S131" s="3351"/>
      <c r="T131" s="3351"/>
      <c r="U131" s="3351"/>
      <c r="V131" s="3351"/>
      <c r="W131" s="3351"/>
      <c r="X131" s="3351"/>
      <c r="Y131" s="3351"/>
      <c r="Z131" s="3351"/>
      <c r="AA131" s="3351"/>
      <c r="AB131" s="3351"/>
      <c r="AC131" s="3351"/>
    </row>
    <row r="132" spans="1:29">
      <c r="A132" s="3510"/>
      <c r="B132" s="3510"/>
      <c r="C132" s="3510"/>
      <c r="D132" s="3510"/>
      <c r="E132" s="3510"/>
      <c r="F132" s="3510"/>
      <c r="G132" s="3510"/>
      <c r="H132" s="3510"/>
      <c r="I132" s="3510"/>
      <c r="J132" s="3510"/>
      <c r="K132" s="3511"/>
      <c r="L132" s="3512"/>
      <c r="M132" s="3510"/>
      <c r="N132" s="3510"/>
      <c r="O132" s="3510"/>
      <c r="P132" s="3510"/>
      <c r="Q132" s="3510"/>
      <c r="R132" s="3510"/>
      <c r="S132" s="3510"/>
      <c r="T132" s="3510"/>
      <c r="U132" s="3510"/>
      <c r="V132" s="3510"/>
      <c r="W132" s="3510"/>
      <c r="X132" s="3510"/>
      <c r="Y132" s="3510"/>
      <c r="Z132" s="3510"/>
      <c r="AA132" s="3510"/>
      <c r="AB132" s="3510"/>
      <c r="AC132" s="3510"/>
    </row>
    <row r="133" spans="1:29">
      <c r="A133" s="3510"/>
      <c r="B133" s="3510"/>
      <c r="C133" s="3510"/>
      <c r="D133" s="3510"/>
      <c r="E133" s="3510"/>
      <c r="F133" s="3510"/>
      <c r="G133" s="3510"/>
      <c r="H133" s="3510"/>
      <c r="I133" s="3510"/>
      <c r="J133" s="3510"/>
      <c r="K133" s="3511"/>
      <c r="L133" s="3512"/>
      <c r="M133" s="3510"/>
      <c r="N133" s="3510"/>
      <c r="O133" s="3510"/>
      <c r="P133" s="3510"/>
      <c r="Q133" s="3510"/>
      <c r="R133" s="3510"/>
      <c r="S133" s="3510"/>
      <c r="T133" s="3510"/>
      <c r="U133" s="3510"/>
      <c r="V133" s="3510"/>
      <c r="W133" s="3510"/>
      <c r="X133" s="3510"/>
      <c r="Y133" s="3510"/>
      <c r="Z133" s="3510"/>
      <c r="AA133" s="3510"/>
      <c r="AB133" s="3510"/>
      <c r="AC133" s="3510"/>
    </row>
    <row r="134" spans="1:29">
      <c r="A134" s="3510"/>
      <c r="B134" s="3510"/>
      <c r="C134" s="3510"/>
      <c r="D134" s="3510"/>
      <c r="E134" s="3510"/>
      <c r="F134" s="3510"/>
      <c r="G134" s="3510"/>
      <c r="H134" s="3510"/>
      <c r="I134" s="3510"/>
      <c r="J134" s="3510"/>
      <c r="K134" s="3511"/>
      <c r="L134" s="3512"/>
      <c r="M134" s="3510"/>
      <c r="N134" s="3510"/>
      <c r="O134" s="3510"/>
      <c r="P134" s="3510"/>
      <c r="Q134" s="3510"/>
      <c r="R134" s="3510"/>
      <c r="S134" s="3510"/>
      <c r="T134" s="3510"/>
      <c r="U134" s="3510"/>
      <c r="V134" s="3510"/>
      <c r="W134" s="3510"/>
      <c r="X134" s="3510"/>
      <c r="Y134" s="3510"/>
      <c r="Z134" s="3510"/>
      <c r="AA134" s="3510"/>
      <c r="AB134" s="3510"/>
      <c r="AC134" s="3510"/>
    </row>
    <row r="135" spans="1:29">
      <c r="A135" s="3510"/>
      <c r="B135" s="3510"/>
      <c r="C135" s="3510"/>
      <c r="D135" s="3510"/>
      <c r="E135" s="3510"/>
      <c r="F135" s="3510"/>
      <c r="G135" s="3510"/>
      <c r="H135" s="3510"/>
      <c r="I135" s="3510"/>
      <c r="J135" s="3510"/>
      <c r="K135" s="3511"/>
      <c r="L135" s="3512"/>
      <c r="M135" s="3510"/>
      <c r="N135" s="3510"/>
      <c r="O135" s="3510"/>
      <c r="P135" s="3510"/>
      <c r="Q135" s="3510"/>
      <c r="R135" s="3510"/>
      <c r="S135" s="3510"/>
      <c r="T135" s="3510"/>
      <c r="U135" s="3510"/>
      <c r="V135" s="3510"/>
      <c r="W135" s="3510"/>
      <c r="X135" s="3510"/>
      <c r="Y135" s="3510"/>
      <c r="Z135" s="3510"/>
      <c r="AA135" s="3510"/>
      <c r="AB135" s="3510"/>
      <c r="AC135" s="3510"/>
    </row>
    <row r="136" spans="1:29" ht="15" thickBot="1">
      <c r="A136" s="3510"/>
      <c r="B136" s="3513" t="s">
        <v>3242</v>
      </c>
      <c r="C136" s="3514"/>
      <c r="D136" s="3514"/>
      <c r="E136" s="3514"/>
      <c r="F136" s="3514"/>
      <c r="G136" s="3514"/>
      <c r="H136" s="3514"/>
      <c r="I136" s="3514"/>
      <c r="J136" s="3514"/>
      <c r="K136" s="3515"/>
      <c r="L136" s="3512"/>
      <c r="M136" s="3510"/>
      <c r="N136" s="3510"/>
      <c r="O136" s="3510"/>
      <c r="P136" s="3510"/>
      <c r="Q136" s="3510"/>
      <c r="R136" s="3510"/>
      <c r="S136" s="3510"/>
      <c r="T136" s="3510"/>
      <c r="U136" s="3510"/>
      <c r="V136" s="3510"/>
      <c r="W136" s="3510"/>
      <c r="X136" s="3510"/>
      <c r="Y136" s="3510"/>
      <c r="Z136" s="3510"/>
      <c r="AA136" s="3510"/>
      <c r="AB136" s="3510"/>
      <c r="AC136" s="3510"/>
    </row>
    <row r="137" spans="1:29">
      <c r="A137" s="3510"/>
      <c r="B137" s="3516" t="s">
        <v>3243</v>
      </c>
      <c r="C137" s="3517"/>
      <c r="D137" s="3517"/>
      <c r="E137" s="3517"/>
      <c r="F137" s="3517"/>
      <c r="G137" s="3518"/>
      <c r="H137" s="3519"/>
      <c r="I137" s="3520" t="s">
        <v>3221</v>
      </c>
      <c r="J137" s="3517"/>
      <c r="K137" s="3521"/>
      <c r="L137" s="3512"/>
      <c r="M137" s="3510"/>
      <c r="N137" s="3510"/>
      <c r="O137" s="3510"/>
      <c r="P137" s="3510"/>
      <c r="Q137" s="3510"/>
      <c r="R137" s="3510"/>
      <c r="S137" s="3510"/>
      <c r="T137" s="3510"/>
      <c r="U137" s="3510"/>
      <c r="V137" s="3510"/>
      <c r="W137" s="3510"/>
      <c r="X137" s="3510"/>
      <c r="Y137" s="3510"/>
      <c r="Z137" s="3510"/>
      <c r="AA137" s="3510"/>
      <c r="AB137" s="3510"/>
      <c r="AC137" s="3510"/>
    </row>
    <row r="138" spans="1:29">
      <c r="A138" s="3510"/>
      <c r="B138" s="3522"/>
      <c r="C138" s="3523" t="s">
        <v>3244</v>
      </c>
      <c r="D138" s="3523" t="s">
        <v>3245</v>
      </c>
      <c r="E138" s="3524" t="s">
        <v>3246</v>
      </c>
      <c r="F138" s="3525" t="s">
        <v>3247</v>
      </c>
      <c r="G138" s="3523" t="s">
        <v>3245</v>
      </c>
      <c r="H138" s="3526" t="s">
        <v>3246</v>
      </c>
      <c r="I138" s="3527"/>
      <c r="J138" s="3523" t="s">
        <v>3248</v>
      </c>
      <c r="K138" s="3526" t="s">
        <v>3249</v>
      </c>
      <c r="L138" s="3512"/>
      <c r="M138" s="3510"/>
      <c r="N138" s="3510"/>
      <c r="O138" s="3510"/>
      <c r="P138" s="3510"/>
      <c r="Q138" s="3510"/>
      <c r="R138" s="3510"/>
      <c r="S138" s="3510"/>
      <c r="T138" s="3510"/>
      <c r="U138" s="3510"/>
      <c r="V138" s="3510"/>
      <c r="W138" s="3510"/>
      <c r="X138" s="3510"/>
      <c r="Y138" s="3510"/>
      <c r="Z138" s="3510"/>
      <c r="AA138" s="3510"/>
      <c r="AB138" s="3510"/>
      <c r="AC138" s="3510"/>
    </row>
    <row r="139" spans="1:29" ht="15">
      <c r="A139" s="3510"/>
      <c r="B139" s="3528">
        <v>6</v>
      </c>
      <c r="C139" s="3529">
        <v>96</v>
      </c>
      <c r="D139" s="3530" t="s">
        <v>3250</v>
      </c>
      <c r="E139" s="3531">
        <v>100</v>
      </c>
      <c r="F139" s="3532">
        <v>102.5</v>
      </c>
      <c r="G139" s="3530" t="s">
        <v>3250</v>
      </c>
      <c r="H139" s="3533">
        <v>105</v>
      </c>
      <c r="I139" s="3534" t="s">
        <v>3251</v>
      </c>
      <c r="J139" s="3529">
        <v>20</v>
      </c>
      <c r="K139" s="3535">
        <f>C145/(J139-2)</f>
        <v>4.0555555555555553E-3</v>
      </c>
      <c r="L139" s="3512"/>
      <c r="M139" s="3510"/>
      <c r="N139" s="3510"/>
      <c r="O139" s="3510"/>
      <c r="P139" s="3510"/>
      <c r="Q139" s="3510"/>
      <c r="R139" s="3510"/>
      <c r="S139" s="3510"/>
      <c r="T139" s="3510"/>
      <c r="U139" s="3510"/>
      <c r="V139" s="3510"/>
      <c r="W139" s="3510"/>
      <c r="X139" s="3510"/>
      <c r="Y139" s="3510"/>
      <c r="Z139" s="3510"/>
      <c r="AA139" s="3510"/>
      <c r="AB139" s="3510"/>
      <c r="AC139" s="3510"/>
    </row>
    <row r="140" spans="1:29" ht="15">
      <c r="A140" s="3510"/>
      <c r="B140" s="3536">
        <v>5</v>
      </c>
      <c r="C140" s="3537">
        <v>100</v>
      </c>
      <c r="D140" s="3538"/>
      <c r="E140" s="3539"/>
      <c r="F140" s="3540">
        <v>102</v>
      </c>
      <c r="G140" s="3538"/>
      <c r="H140" s="3541"/>
      <c r="I140" s="3542" t="s">
        <v>3252</v>
      </c>
      <c r="J140" s="3543">
        <f>ROUNDUP((J139-1)/2,0)</f>
        <v>10</v>
      </c>
      <c r="K140" s="3544">
        <v>100</v>
      </c>
      <c r="L140" s="3512"/>
      <c r="M140" s="3510"/>
      <c r="N140" s="3510"/>
      <c r="O140" s="3510"/>
      <c r="P140" s="3510"/>
      <c r="Q140" s="3510"/>
      <c r="R140" s="3510"/>
      <c r="S140" s="3510"/>
      <c r="T140" s="3510"/>
      <c r="U140" s="3510"/>
      <c r="V140" s="3510"/>
      <c r="W140" s="3510"/>
      <c r="X140" s="3510"/>
      <c r="Y140" s="3510"/>
      <c r="Z140" s="3510"/>
      <c r="AA140" s="3510"/>
      <c r="AB140" s="3510"/>
      <c r="AC140" s="3510"/>
    </row>
    <row r="141" spans="1:29" ht="15">
      <c r="A141" s="3510"/>
      <c r="B141" s="3536">
        <v>4</v>
      </c>
      <c r="C141" s="3537">
        <v>102</v>
      </c>
      <c r="D141" s="3538"/>
      <c r="E141" s="3539"/>
      <c r="F141" s="3540">
        <v>101.5</v>
      </c>
      <c r="G141" s="3538"/>
      <c r="H141" s="3541"/>
      <c r="I141" s="3542" t="s">
        <v>3253</v>
      </c>
      <c r="J141" s="3543">
        <v>1</v>
      </c>
      <c r="K141" s="3545">
        <f>ROUND(100+(J141-J140)*K139*100,1)</f>
        <v>96.4</v>
      </c>
      <c r="L141" s="3512"/>
      <c r="M141" s="3510"/>
      <c r="N141" s="3510"/>
      <c r="O141" s="3510"/>
      <c r="P141" s="3510"/>
      <c r="Q141" s="3510"/>
      <c r="R141" s="3510"/>
      <c r="S141" s="3510"/>
      <c r="T141" s="3510"/>
      <c r="U141" s="3510"/>
      <c r="V141" s="3510"/>
      <c r="W141" s="3510"/>
      <c r="X141" s="3510"/>
      <c r="Y141" s="3510"/>
      <c r="Z141" s="3510"/>
      <c r="AA141" s="3510"/>
      <c r="AB141" s="3510"/>
      <c r="AC141" s="3510"/>
    </row>
    <row r="142" spans="1:29" ht="15">
      <c r="A142" s="3510"/>
      <c r="B142" s="3536">
        <v>3</v>
      </c>
      <c r="C142" s="3537">
        <v>103</v>
      </c>
      <c r="D142" s="3538"/>
      <c r="E142" s="3539"/>
      <c r="F142" s="3540">
        <v>101</v>
      </c>
      <c r="G142" s="3538"/>
      <c r="H142" s="3541"/>
      <c r="I142" s="3542" t="s">
        <v>3254</v>
      </c>
      <c r="J142" s="3543">
        <f>J139</f>
        <v>20</v>
      </c>
      <c r="K142" s="3546">
        <v>95</v>
      </c>
      <c r="L142" s="3512"/>
      <c r="M142" s="3510"/>
      <c r="N142" s="3510"/>
      <c r="O142" s="3510"/>
      <c r="P142" s="3510"/>
      <c r="Q142" s="3510"/>
      <c r="R142" s="3510"/>
      <c r="S142" s="3510"/>
      <c r="T142" s="3510"/>
      <c r="U142" s="3510"/>
      <c r="V142" s="3510"/>
      <c r="W142" s="3510"/>
      <c r="X142" s="3510"/>
      <c r="Y142" s="3510"/>
      <c r="Z142" s="3510"/>
      <c r="AA142" s="3510"/>
      <c r="AB142" s="3510"/>
      <c r="AC142" s="3510"/>
    </row>
    <row r="143" spans="1:29" ht="15">
      <c r="A143" s="3510"/>
      <c r="B143" s="3536">
        <v>2</v>
      </c>
      <c r="C143" s="3537">
        <v>100</v>
      </c>
      <c r="D143" s="3538"/>
      <c r="E143" s="3539"/>
      <c r="F143" s="3540">
        <v>100.5</v>
      </c>
      <c r="G143" s="3538"/>
      <c r="H143" s="3541"/>
      <c r="I143" s="3542" t="s">
        <v>3255</v>
      </c>
      <c r="J143" s="3537">
        <v>15</v>
      </c>
      <c r="K143" s="3545">
        <f>ROUND(100+(J143-J140)*K139*100,1)</f>
        <v>102</v>
      </c>
      <c r="L143" s="3512"/>
      <c r="M143" s="3510"/>
      <c r="N143" s="3510"/>
      <c r="O143" s="3510"/>
      <c r="P143" s="3510"/>
      <c r="Q143" s="3510"/>
      <c r="R143" s="3510"/>
      <c r="S143" s="3510"/>
      <c r="T143" s="3510"/>
      <c r="U143" s="3510"/>
      <c r="V143" s="3510"/>
      <c r="W143" s="3510"/>
      <c r="X143" s="3510"/>
      <c r="Y143" s="3510"/>
      <c r="Z143" s="3510"/>
      <c r="AA143" s="3510"/>
      <c r="AB143" s="3510"/>
      <c r="AC143" s="3510"/>
    </row>
    <row r="144" spans="1:29" ht="15">
      <c r="A144" s="3510"/>
      <c r="B144" s="3536">
        <v>1</v>
      </c>
      <c r="C144" s="3537">
        <v>98</v>
      </c>
      <c r="D144" s="3547" t="s">
        <v>3256</v>
      </c>
      <c r="E144" s="3539">
        <v>102</v>
      </c>
      <c r="F144" s="3548">
        <v>100</v>
      </c>
      <c r="G144" s="3547" t="s">
        <v>3256</v>
      </c>
      <c r="H144" s="3541">
        <v>105</v>
      </c>
      <c r="I144" s="3542" t="s">
        <v>3255</v>
      </c>
      <c r="J144" s="3537">
        <v>18</v>
      </c>
      <c r="K144" s="3545">
        <f>ROUND(100+(J144-J140)*K139*100,1)</f>
        <v>103.2</v>
      </c>
      <c r="L144" s="3512"/>
      <c r="M144" s="3510"/>
      <c r="N144" s="3510"/>
      <c r="O144" s="3510"/>
      <c r="P144" s="3510"/>
      <c r="Q144" s="3510"/>
      <c r="R144" s="3510"/>
      <c r="S144" s="3510"/>
      <c r="T144" s="3510"/>
      <c r="U144" s="3510"/>
      <c r="V144" s="3510"/>
      <c r="W144" s="3510"/>
      <c r="X144" s="3510"/>
      <c r="Y144" s="3510"/>
      <c r="Z144" s="3510"/>
      <c r="AA144" s="3510"/>
      <c r="AB144" s="3510"/>
      <c r="AC144" s="3510"/>
    </row>
    <row r="145" spans="1:29" ht="15.75" thickBot="1">
      <c r="A145" s="3510"/>
      <c r="B145" s="3549" t="s">
        <v>3257</v>
      </c>
      <c r="C145" s="3550">
        <f>ROUND(MAX(C139:C144)/MIN(C139:C144)-1,3)</f>
        <v>7.2999999999999995E-2</v>
      </c>
      <c r="D145" s="3551"/>
      <c r="E145" s="3551"/>
      <c r="F145" s="3552" t="s">
        <v>3258</v>
      </c>
      <c r="G145" s="3553"/>
      <c r="H145" s="3554"/>
      <c r="I145" s="3555" t="s">
        <v>3255</v>
      </c>
      <c r="J145" s="3556">
        <v>8</v>
      </c>
      <c r="K145" s="3557">
        <f>ROUND(100+(J145-J140)*K139*100,1)</f>
        <v>99.2</v>
      </c>
      <c r="L145" s="3512"/>
      <c r="M145" s="3510"/>
      <c r="N145" s="3510"/>
      <c r="O145" s="3510"/>
      <c r="P145" s="3510"/>
      <c r="Q145" s="3510"/>
      <c r="R145" s="3510"/>
      <c r="S145" s="3510"/>
      <c r="T145" s="3510"/>
      <c r="U145" s="3510"/>
      <c r="V145" s="3510"/>
      <c r="W145" s="3510"/>
      <c r="X145" s="3510"/>
      <c r="Y145" s="3510"/>
      <c r="Z145" s="3510"/>
      <c r="AA145" s="3510"/>
      <c r="AB145" s="3510"/>
      <c r="AC145" s="3510"/>
    </row>
    <row r="146" spans="1:29">
      <c r="A146" s="3510"/>
      <c r="B146" s="3510"/>
      <c r="C146" s="3510"/>
      <c r="D146" s="3510"/>
      <c r="E146" s="3510"/>
      <c r="F146" s="3510"/>
      <c r="G146" s="3510"/>
      <c r="H146" s="3510"/>
      <c r="I146" s="3510"/>
      <c r="J146" s="3510"/>
      <c r="K146" s="3511"/>
      <c r="L146" s="3512"/>
      <c r="M146" s="3510"/>
      <c r="N146" s="3510"/>
      <c r="O146" s="3510"/>
      <c r="P146" s="3510"/>
      <c r="Q146" s="3510"/>
      <c r="R146" s="3510"/>
      <c r="S146" s="3510"/>
      <c r="T146" s="3510"/>
      <c r="U146" s="3510"/>
      <c r="V146" s="3510"/>
      <c r="W146" s="3510"/>
      <c r="X146" s="3510"/>
      <c r="Y146" s="3510"/>
      <c r="Z146" s="3510"/>
      <c r="AA146" s="3510"/>
      <c r="AB146" s="3510"/>
      <c r="AC146" s="3510"/>
    </row>
    <row r="147" spans="1:29">
      <c r="A147" s="3510"/>
      <c r="B147" s="3558" t="s">
        <v>3259</v>
      </c>
      <c r="L147" s="3512"/>
      <c r="M147" s="3510"/>
      <c r="N147" s="3510"/>
      <c r="O147" s="3510"/>
      <c r="P147" s="3510"/>
      <c r="Q147" s="3510"/>
      <c r="R147" s="3510"/>
      <c r="S147" s="3510"/>
      <c r="T147" s="3510"/>
      <c r="U147" s="3510"/>
      <c r="V147" s="3510"/>
      <c r="W147" s="3510"/>
      <c r="X147" s="3510"/>
      <c r="Y147" s="3510"/>
      <c r="Z147" s="3510"/>
      <c r="AA147" s="3510"/>
      <c r="AB147" s="3510"/>
      <c r="AC147" s="3510"/>
    </row>
    <row r="148" spans="1:29">
      <c r="A148" s="3510"/>
      <c r="B148" s="3558" t="s">
        <v>3260</v>
      </c>
      <c r="L148" s="3512"/>
      <c r="M148" s="3510"/>
      <c r="N148" s="3510"/>
      <c r="O148" s="3510"/>
      <c r="P148" s="3510"/>
      <c r="Q148" s="3510"/>
      <c r="R148" s="3510"/>
      <c r="S148" s="3510"/>
      <c r="T148" s="3510"/>
      <c r="U148" s="3510"/>
      <c r="V148" s="3510"/>
      <c r="W148" s="3510"/>
      <c r="X148" s="3510"/>
      <c r="Y148" s="3510"/>
      <c r="Z148" s="3510"/>
      <c r="AA148" s="3510"/>
      <c r="AB148" s="3510"/>
      <c r="AC148" s="3510"/>
    </row>
    <row r="149" spans="1:29">
      <c r="A149" s="3510"/>
      <c r="B149" s="3510"/>
      <c r="C149" s="3510"/>
      <c r="D149" s="3510"/>
      <c r="E149" s="3510"/>
      <c r="F149" s="3510"/>
      <c r="G149" s="3510"/>
      <c r="H149" s="3510"/>
      <c r="I149" s="3510"/>
      <c r="J149" s="3510"/>
      <c r="K149" s="3511"/>
      <c r="L149" s="3512"/>
      <c r="M149" s="3510"/>
      <c r="N149" s="3510"/>
      <c r="O149" s="3510"/>
      <c r="P149" s="3510"/>
      <c r="Q149" s="3510"/>
      <c r="R149" s="3510"/>
      <c r="S149" s="3510"/>
      <c r="T149" s="3510"/>
      <c r="U149" s="3510"/>
      <c r="V149" s="3510"/>
      <c r="W149" s="3510"/>
      <c r="X149" s="3510"/>
      <c r="Y149" s="3510"/>
      <c r="Z149" s="3510"/>
      <c r="AA149" s="3510"/>
      <c r="AB149" s="3510"/>
      <c r="AC149" s="3510"/>
    </row>
    <row r="150" spans="1:29">
      <c r="A150" s="3510"/>
      <c r="B150" s="3510"/>
      <c r="C150" s="3510"/>
      <c r="D150" s="3510"/>
      <c r="E150" s="3510"/>
      <c r="F150" s="3510"/>
      <c r="G150" s="3510"/>
      <c r="H150" s="3510"/>
      <c r="I150" s="3510"/>
      <c r="J150" s="3510"/>
      <c r="K150" s="3511"/>
      <c r="L150" s="3512"/>
      <c r="M150" s="3510"/>
      <c r="N150" s="3510"/>
      <c r="O150" s="3510"/>
      <c r="P150" s="3510"/>
      <c r="Q150" s="3510"/>
      <c r="R150" s="3510"/>
      <c r="S150" s="3510"/>
      <c r="T150" s="3510"/>
      <c r="U150" s="3510"/>
      <c r="V150" s="3510"/>
      <c r="W150" s="3510"/>
      <c r="X150" s="3510"/>
      <c r="Y150" s="3510"/>
      <c r="Z150" s="3510"/>
      <c r="AA150" s="3510"/>
      <c r="AB150" s="3510"/>
      <c r="AC150" s="3510"/>
    </row>
    <row r="151" spans="1:29">
      <c r="A151" s="3510"/>
      <c r="B151" s="3510"/>
      <c r="C151" s="3510"/>
      <c r="D151" s="3510"/>
      <c r="E151" s="3510"/>
      <c r="F151" s="3510"/>
      <c r="G151" s="3510"/>
      <c r="H151" s="3510"/>
      <c r="I151" s="3510"/>
      <c r="J151" s="3510"/>
      <c r="K151" s="3511"/>
      <c r="L151" s="3512"/>
      <c r="M151" s="3510"/>
      <c r="N151" s="3510"/>
      <c r="O151" s="3510"/>
      <c r="P151" s="3510"/>
      <c r="Q151" s="3510"/>
      <c r="R151" s="3510"/>
      <c r="S151" s="3510"/>
      <c r="T151" s="3510"/>
      <c r="U151" s="3510"/>
      <c r="V151" s="3510"/>
      <c r="W151" s="3510"/>
      <c r="X151" s="3510"/>
      <c r="Y151" s="3510"/>
      <c r="Z151" s="3510"/>
      <c r="AA151" s="3510"/>
      <c r="AB151" s="3510"/>
      <c r="AC151" s="3510"/>
    </row>
    <row r="152" spans="1:29">
      <c r="A152" s="3510"/>
      <c r="B152" s="3510"/>
      <c r="C152" s="3510"/>
      <c r="D152" s="3510"/>
      <c r="E152" s="3510"/>
      <c r="F152" s="3510"/>
      <c r="G152" s="3510"/>
      <c r="H152" s="3510"/>
      <c r="I152" s="3510"/>
      <c r="J152" s="3510"/>
      <c r="K152" s="3511"/>
      <c r="L152" s="3512"/>
      <c r="M152" s="3510"/>
      <c r="N152" s="3510"/>
      <c r="O152" s="3510"/>
      <c r="P152" s="3510"/>
      <c r="Q152" s="3510"/>
      <c r="R152" s="3510"/>
      <c r="S152" s="3510"/>
      <c r="T152" s="3510"/>
      <c r="U152" s="3510"/>
      <c r="V152" s="3510"/>
      <c r="W152" s="3510"/>
      <c r="X152" s="3510"/>
      <c r="Y152" s="3510"/>
      <c r="Z152" s="3510"/>
      <c r="AA152" s="3510"/>
      <c r="AB152" s="3510"/>
      <c r="AC152" s="3510"/>
    </row>
    <row r="153" spans="1:29">
      <c r="A153" s="3510"/>
      <c r="B153" s="3510"/>
      <c r="C153" s="3510"/>
      <c r="D153" s="3510"/>
      <c r="E153" s="3510"/>
      <c r="F153" s="3510"/>
      <c r="G153" s="3510"/>
      <c r="H153" s="3510"/>
      <c r="I153" s="3510"/>
      <c r="J153" s="3510"/>
      <c r="K153" s="3511"/>
      <c r="L153" s="3512"/>
      <c r="M153" s="3510"/>
      <c r="N153" s="3510"/>
      <c r="O153" s="3510"/>
      <c r="P153" s="3510"/>
      <c r="Q153" s="3510"/>
      <c r="R153" s="3510"/>
      <c r="S153" s="3510"/>
      <c r="T153" s="3510"/>
      <c r="U153" s="3510"/>
      <c r="V153" s="3510"/>
      <c r="W153" s="3510"/>
      <c r="X153" s="3510"/>
      <c r="Y153" s="3510"/>
      <c r="Z153" s="3510"/>
      <c r="AA153" s="3510"/>
      <c r="AB153" s="3510"/>
      <c r="AC153" s="3510"/>
    </row>
    <row r="154" spans="1:29">
      <c r="A154" s="3510"/>
      <c r="B154" s="3510"/>
      <c r="C154" s="3510"/>
      <c r="D154" s="3510"/>
      <c r="E154" s="3510"/>
      <c r="F154" s="3510"/>
      <c r="G154" s="3510"/>
      <c r="H154" s="3510"/>
      <c r="I154" s="3510"/>
      <c r="J154" s="3510"/>
      <c r="K154" s="3511"/>
      <c r="L154" s="3512"/>
      <c r="M154" s="3510"/>
      <c r="N154" s="3510"/>
      <c r="O154" s="3510"/>
      <c r="P154" s="3510"/>
      <c r="Q154" s="3510"/>
      <c r="R154" s="3510"/>
      <c r="S154" s="3510"/>
      <c r="T154" s="3510"/>
      <c r="U154" s="3510"/>
      <c r="V154" s="3510"/>
      <c r="W154" s="3510"/>
      <c r="X154" s="3510"/>
      <c r="Y154" s="3510"/>
      <c r="Z154" s="3510"/>
      <c r="AA154" s="3510"/>
      <c r="AB154" s="3510"/>
      <c r="AC154" s="3510"/>
    </row>
    <row r="155" spans="1:29">
      <c r="A155" s="3510"/>
      <c r="B155" s="3510"/>
      <c r="C155" s="3510"/>
      <c r="D155" s="3510"/>
      <c r="E155" s="3510"/>
      <c r="F155" s="3510"/>
      <c r="G155" s="3510"/>
      <c r="H155" s="3510"/>
      <c r="I155" s="3510"/>
      <c r="J155" s="3510"/>
      <c r="K155" s="3511"/>
      <c r="L155" s="3512"/>
      <c r="M155" s="3510"/>
      <c r="N155" s="3510"/>
      <c r="O155" s="3510"/>
      <c r="P155" s="3510"/>
      <c r="Q155" s="3510"/>
      <c r="R155" s="3510"/>
      <c r="S155" s="3510"/>
      <c r="T155" s="3510"/>
      <c r="U155" s="3510"/>
      <c r="V155" s="3510"/>
      <c r="W155" s="3510"/>
      <c r="X155" s="3510"/>
      <c r="Y155" s="3510"/>
      <c r="Z155" s="3510"/>
      <c r="AA155" s="3510"/>
      <c r="AB155" s="3510"/>
      <c r="AC155" s="3510"/>
    </row>
    <row r="156" spans="1:29">
      <c r="A156" s="3510"/>
      <c r="B156" s="3510"/>
      <c r="C156" s="3510"/>
      <c r="D156" s="3510"/>
      <c r="E156" s="3510"/>
      <c r="F156" s="3510"/>
      <c r="G156" s="3510"/>
      <c r="H156" s="3510"/>
      <c r="I156" s="3510"/>
      <c r="J156" s="3510"/>
      <c r="K156" s="3511"/>
      <c r="L156" s="3512"/>
      <c r="M156" s="3510"/>
      <c r="N156" s="3510"/>
      <c r="O156" s="3510"/>
      <c r="P156" s="3510"/>
      <c r="Q156" s="3510"/>
      <c r="R156" s="3510"/>
      <c r="S156" s="3510"/>
      <c r="T156" s="3510"/>
      <c r="U156" s="3510"/>
      <c r="V156" s="3510"/>
      <c r="W156" s="3510"/>
      <c r="X156" s="3510"/>
      <c r="Y156" s="3510"/>
      <c r="Z156" s="3510"/>
      <c r="AA156" s="3510"/>
      <c r="AB156" s="3510"/>
      <c r="AC156" s="3510"/>
    </row>
    <row r="157" spans="1:29">
      <c r="A157" s="3510"/>
      <c r="B157" s="3510"/>
      <c r="C157" s="3510"/>
      <c r="D157" s="3510"/>
      <c r="E157" s="3510"/>
      <c r="F157" s="3510"/>
      <c r="G157" s="3510"/>
      <c r="H157" s="3510"/>
      <c r="I157" s="3510"/>
      <c r="J157" s="3510"/>
      <c r="K157" s="3511"/>
      <c r="L157" s="3512"/>
      <c r="M157" s="3510"/>
      <c r="N157" s="3510"/>
      <c r="O157" s="3510"/>
      <c r="P157" s="3510"/>
      <c r="Q157" s="3510"/>
      <c r="R157" s="3510"/>
      <c r="S157" s="3510"/>
      <c r="T157" s="3510"/>
      <c r="U157" s="3510"/>
      <c r="V157" s="3510"/>
      <c r="W157" s="3510"/>
      <c r="X157" s="3510"/>
      <c r="Y157" s="3510"/>
      <c r="Z157" s="3510"/>
      <c r="AA157" s="3510"/>
      <c r="AB157" s="3510"/>
      <c r="AC157" s="3510"/>
    </row>
    <row r="158" spans="1:29">
      <c r="A158" s="3510"/>
      <c r="B158" s="3510"/>
      <c r="C158" s="3510"/>
      <c r="D158" s="3510"/>
      <c r="E158" s="3510"/>
      <c r="F158" s="3510"/>
      <c r="G158" s="3510"/>
      <c r="H158" s="3510"/>
      <c r="I158" s="3510"/>
      <c r="J158" s="3510"/>
      <c r="K158" s="3511"/>
      <c r="L158" s="3512"/>
      <c r="M158" s="3510"/>
      <c r="N158" s="3510"/>
      <c r="O158" s="3510"/>
      <c r="P158" s="3510"/>
      <c r="Q158" s="3510"/>
      <c r="R158" s="3510"/>
      <c r="S158" s="3510"/>
      <c r="T158" s="3510"/>
      <c r="U158" s="3510"/>
      <c r="V158" s="3510"/>
      <c r="W158" s="3510"/>
      <c r="X158" s="3510"/>
      <c r="Y158" s="3510"/>
      <c r="Z158" s="3510"/>
      <c r="AA158" s="3510"/>
      <c r="AB158" s="3510"/>
      <c r="AC158" s="3510"/>
    </row>
    <row r="159" spans="1:29">
      <c r="A159" s="3510"/>
      <c r="B159" s="3510"/>
      <c r="C159" s="3510"/>
      <c r="D159" s="3510"/>
      <c r="E159" s="3510"/>
      <c r="F159" s="3510"/>
      <c r="G159" s="3510"/>
      <c r="H159" s="3510"/>
      <c r="I159" s="3510"/>
      <c r="J159" s="3510"/>
      <c r="K159" s="3511"/>
      <c r="L159" s="3512"/>
      <c r="M159" s="3510"/>
      <c r="N159" s="3510"/>
      <c r="O159" s="3510"/>
      <c r="P159" s="3510"/>
      <c r="Q159" s="3510"/>
      <c r="R159" s="3510"/>
      <c r="S159" s="3510"/>
      <c r="T159" s="3510"/>
      <c r="U159" s="3510"/>
      <c r="V159" s="3510"/>
      <c r="W159" s="3510"/>
      <c r="X159" s="3510"/>
      <c r="Y159" s="3510"/>
      <c r="Z159" s="3510"/>
      <c r="AA159" s="3510"/>
      <c r="AB159" s="3510"/>
      <c r="AC159" s="3510"/>
    </row>
    <row r="160" spans="1:29">
      <c r="A160" s="3510"/>
      <c r="B160" s="3510"/>
      <c r="C160" s="3510"/>
      <c r="D160" s="3510"/>
      <c r="E160" s="3510"/>
      <c r="F160" s="3510"/>
      <c r="G160" s="3510"/>
      <c r="H160" s="3510"/>
      <c r="I160" s="3510"/>
      <c r="J160" s="3510"/>
      <c r="K160" s="3511"/>
      <c r="L160" s="3512"/>
      <c r="M160" s="3510"/>
      <c r="N160" s="3510"/>
      <c r="O160" s="3510"/>
      <c r="P160" s="3510"/>
      <c r="Q160" s="3510"/>
      <c r="R160" s="3510"/>
      <c r="S160" s="3510"/>
      <c r="T160" s="3510"/>
      <c r="U160" s="3510"/>
      <c r="V160" s="3510"/>
      <c r="W160" s="3510"/>
      <c r="X160" s="3510"/>
      <c r="Y160" s="3510"/>
      <c r="Z160" s="3510"/>
      <c r="AA160" s="3510"/>
      <c r="AB160" s="3510"/>
      <c r="AC160" s="3510"/>
    </row>
    <row r="161" spans="1:29">
      <c r="A161" s="3510"/>
      <c r="B161" s="3510"/>
      <c r="C161" s="3510"/>
      <c r="D161" s="3510"/>
      <c r="E161" s="3510"/>
      <c r="F161" s="3510"/>
      <c r="G161" s="3510"/>
      <c r="H161" s="3510"/>
      <c r="I161" s="3510"/>
      <c r="J161" s="3510"/>
      <c r="K161" s="3511"/>
      <c r="L161" s="3512"/>
      <c r="M161" s="3510"/>
      <c r="N161" s="3510"/>
      <c r="O161" s="3510"/>
      <c r="P161" s="3510"/>
      <c r="Q161" s="3510"/>
      <c r="R161" s="3510"/>
      <c r="S161" s="3510"/>
      <c r="T161" s="3510"/>
      <c r="U161" s="3510"/>
      <c r="V161" s="3510"/>
      <c r="W161" s="3510"/>
      <c r="X161" s="3510"/>
      <c r="Y161" s="3510"/>
      <c r="Z161" s="3510"/>
      <c r="AA161" s="3510"/>
      <c r="AB161" s="3510"/>
      <c r="AC161" s="3510"/>
    </row>
    <row r="162" spans="1:29">
      <c r="A162" s="3510"/>
      <c r="B162" s="3510"/>
      <c r="C162" s="3510"/>
      <c r="D162" s="3510"/>
      <c r="E162" s="3510"/>
      <c r="F162" s="3510"/>
      <c r="G162" s="3510"/>
      <c r="H162" s="3510"/>
      <c r="I162" s="3510"/>
      <c r="J162" s="3510"/>
      <c r="K162" s="3511"/>
      <c r="L162" s="3512"/>
      <c r="M162" s="3510"/>
      <c r="N162" s="3510"/>
      <c r="O162" s="3510"/>
      <c r="P162" s="3510"/>
      <c r="Q162" s="3510"/>
      <c r="R162" s="3510"/>
      <c r="S162" s="3510"/>
      <c r="T162" s="3510"/>
      <c r="U162" s="3510"/>
      <c r="V162" s="3510"/>
      <c r="W162" s="3510"/>
      <c r="X162" s="3510"/>
      <c r="Y162" s="3510"/>
      <c r="Z162" s="3510"/>
      <c r="AA162" s="3510"/>
      <c r="AB162" s="3510"/>
      <c r="AC162" s="3510"/>
    </row>
    <row r="163" spans="1:29">
      <c r="A163" s="3510"/>
      <c r="B163" s="3510"/>
      <c r="C163" s="3510"/>
      <c r="D163" s="3510"/>
      <c r="E163" s="3510"/>
      <c r="F163" s="3510"/>
      <c r="G163" s="3510"/>
      <c r="H163" s="3510"/>
      <c r="I163" s="3510"/>
      <c r="J163" s="3510"/>
      <c r="K163" s="3511"/>
      <c r="L163" s="3512"/>
      <c r="M163" s="3510"/>
      <c r="N163" s="3510"/>
      <c r="O163" s="3510"/>
      <c r="P163" s="3510"/>
      <c r="Q163" s="3510"/>
      <c r="R163" s="3510"/>
      <c r="S163" s="3510"/>
      <c r="T163" s="3510"/>
      <c r="U163" s="3510"/>
      <c r="V163" s="3510"/>
      <c r="W163" s="3510"/>
      <c r="X163" s="3510"/>
      <c r="Y163" s="3510"/>
      <c r="Z163" s="3510"/>
      <c r="AA163" s="3510"/>
      <c r="AB163" s="3510"/>
      <c r="AC163" s="3510"/>
    </row>
    <row r="164" spans="1:29">
      <c r="A164" s="3510"/>
      <c r="B164" s="3510"/>
      <c r="C164" s="3510"/>
      <c r="D164" s="3510"/>
      <c r="E164" s="3510"/>
      <c r="F164" s="3510"/>
      <c r="G164" s="3510"/>
      <c r="H164" s="3510"/>
      <c r="I164" s="3510"/>
      <c r="J164" s="3510"/>
      <c r="K164" s="3511"/>
      <c r="L164" s="3512"/>
      <c r="M164" s="3510"/>
      <c r="N164" s="3510"/>
      <c r="O164" s="3510"/>
      <c r="P164" s="3510"/>
      <c r="Q164" s="3510"/>
      <c r="R164" s="3510"/>
      <c r="S164" s="3510"/>
      <c r="T164" s="3510"/>
      <c r="U164" s="3510"/>
      <c r="V164" s="3510"/>
      <c r="W164" s="3510"/>
      <c r="X164" s="3510"/>
      <c r="Y164" s="3510"/>
      <c r="Z164" s="3510"/>
      <c r="AA164" s="3510"/>
      <c r="AB164" s="3510"/>
      <c r="AC164" s="3510"/>
    </row>
    <row r="165" spans="1:29">
      <c r="A165" s="3510"/>
      <c r="B165" s="3510"/>
      <c r="C165" s="3510"/>
      <c r="D165" s="3510"/>
      <c r="E165" s="3510"/>
      <c r="F165" s="3510"/>
      <c r="G165" s="3510"/>
      <c r="H165" s="3510"/>
      <c r="I165" s="3510"/>
      <c r="J165" s="3510"/>
      <c r="K165" s="3511"/>
      <c r="L165" s="3512"/>
      <c r="M165" s="3510"/>
      <c r="N165" s="3510"/>
      <c r="O165" s="3510"/>
      <c r="P165" s="3510"/>
      <c r="Q165" s="3510"/>
      <c r="R165" s="3510"/>
      <c r="S165" s="3510"/>
      <c r="T165" s="3510"/>
      <c r="U165" s="3510"/>
      <c r="V165" s="3510"/>
      <c r="W165" s="3510"/>
      <c r="X165" s="3510"/>
      <c r="Y165" s="3510"/>
      <c r="Z165" s="3510"/>
      <c r="AA165" s="3510"/>
      <c r="AB165" s="3510"/>
      <c r="AC165" s="3510"/>
    </row>
    <row r="166" spans="1:29">
      <c r="A166" s="3510"/>
      <c r="B166" s="3510"/>
      <c r="C166" s="3510"/>
      <c r="D166" s="3510"/>
      <c r="E166" s="3510"/>
      <c r="F166" s="3510"/>
      <c r="G166" s="3510"/>
      <c r="H166" s="3510"/>
      <c r="I166" s="3510"/>
      <c r="J166" s="3510"/>
      <c r="K166" s="3511"/>
      <c r="L166" s="3512"/>
      <c r="M166" s="3510"/>
      <c r="N166" s="3510"/>
      <c r="O166" s="3510"/>
      <c r="P166" s="3510"/>
      <c r="Q166" s="3510"/>
      <c r="R166" s="3510"/>
      <c r="S166" s="3510"/>
      <c r="T166" s="3510"/>
      <c r="U166" s="3510"/>
      <c r="V166" s="3510"/>
      <c r="W166" s="3510"/>
      <c r="X166" s="3510"/>
      <c r="Y166" s="3510"/>
      <c r="Z166" s="3510"/>
      <c r="AA166" s="3510"/>
      <c r="AB166" s="3510"/>
      <c r="AC166" s="3510"/>
    </row>
    <row r="167" spans="1:29">
      <c r="A167" s="3510"/>
      <c r="B167" s="3510"/>
      <c r="C167" s="3510"/>
      <c r="D167" s="3510"/>
      <c r="E167" s="3510"/>
      <c r="F167" s="3510"/>
      <c r="G167" s="3510"/>
      <c r="H167" s="3510"/>
      <c r="I167" s="3510"/>
      <c r="J167" s="3510"/>
      <c r="K167" s="3511"/>
      <c r="L167" s="3512"/>
      <c r="M167" s="3510"/>
      <c r="N167" s="3510"/>
      <c r="O167" s="3510"/>
      <c r="P167" s="3510"/>
      <c r="Q167" s="3510"/>
      <c r="R167" s="3510"/>
      <c r="S167" s="3510"/>
      <c r="T167" s="3510"/>
      <c r="U167" s="3510"/>
      <c r="V167" s="3510"/>
      <c r="W167" s="3510"/>
      <c r="X167" s="3510"/>
      <c r="Y167" s="3510"/>
      <c r="Z167" s="3510"/>
      <c r="AA167" s="3510"/>
      <c r="AB167" s="3510"/>
      <c r="AC167" s="3510"/>
    </row>
    <row r="168" spans="1:29">
      <c r="A168" s="3510"/>
      <c r="B168" s="3510"/>
      <c r="C168" s="3510"/>
      <c r="D168" s="3510"/>
      <c r="E168" s="3510"/>
      <c r="F168" s="3510"/>
      <c r="G168" s="3510"/>
      <c r="H168" s="3510"/>
      <c r="I168" s="3510"/>
      <c r="J168" s="3510"/>
      <c r="K168" s="3511"/>
      <c r="L168" s="3512"/>
      <c r="M168" s="3510"/>
      <c r="N168" s="3510"/>
      <c r="O168" s="3510"/>
      <c r="P168" s="3510"/>
      <c r="Q168" s="3510"/>
      <c r="R168" s="3510"/>
      <c r="S168" s="3510"/>
      <c r="T168" s="3510"/>
      <c r="U168" s="3510"/>
      <c r="V168" s="3510"/>
      <c r="W168" s="3510"/>
      <c r="X168" s="3510"/>
      <c r="Y168" s="3510"/>
      <c r="Z168" s="3510"/>
      <c r="AA168" s="3510"/>
      <c r="AB168" s="3510"/>
      <c r="AC168" s="3510"/>
    </row>
    <row r="169" spans="1:29">
      <c r="A169" s="3510"/>
      <c r="B169" s="3510"/>
      <c r="C169" s="3510"/>
      <c r="D169" s="3510"/>
      <c r="E169" s="3510"/>
      <c r="F169" s="3510"/>
      <c r="G169" s="3510"/>
      <c r="H169" s="3510"/>
      <c r="I169" s="3510"/>
      <c r="J169" s="3510"/>
      <c r="K169" s="3511"/>
      <c r="L169" s="3512"/>
      <c r="M169" s="3510"/>
      <c r="N169" s="3510"/>
      <c r="O169" s="3510"/>
      <c r="P169" s="3510"/>
      <c r="Q169" s="3510"/>
      <c r="R169" s="3510"/>
      <c r="S169" s="3510"/>
      <c r="T169" s="3510"/>
      <c r="U169" s="3510"/>
      <c r="V169" s="3510"/>
      <c r="W169" s="3510"/>
      <c r="X169" s="3510"/>
      <c r="Y169" s="3510"/>
      <c r="Z169" s="3510"/>
      <c r="AA169" s="3510"/>
      <c r="AB169" s="3510"/>
      <c r="AC169" s="3510"/>
    </row>
    <row r="170" spans="1:29">
      <c r="A170" s="3510"/>
      <c r="B170" s="3510"/>
      <c r="C170" s="3510"/>
      <c r="D170" s="3510"/>
      <c r="E170" s="3510"/>
      <c r="F170" s="3510"/>
      <c r="G170" s="3510"/>
      <c r="H170" s="3510"/>
      <c r="I170" s="3510"/>
      <c r="J170" s="3510"/>
      <c r="K170" s="3511"/>
      <c r="L170" s="3512"/>
      <c r="M170" s="3510"/>
      <c r="N170" s="3510"/>
      <c r="O170" s="3510"/>
      <c r="P170" s="3510"/>
      <c r="Q170" s="3510"/>
      <c r="R170" s="3510"/>
      <c r="S170" s="3510"/>
      <c r="T170" s="3510"/>
      <c r="U170" s="3510"/>
      <c r="V170" s="3510"/>
      <c r="W170" s="3510"/>
      <c r="X170" s="3510"/>
      <c r="Y170" s="3510"/>
      <c r="Z170" s="3510"/>
      <c r="AA170" s="3510"/>
      <c r="AB170" s="3510"/>
      <c r="AC170" s="3510"/>
    </row>
    <row r="171" spans="1:29">
      <c r="A171" s="3510"/>
      <c r="B171" s="3510"/>
      <c r="C171" s="3510"/>
      <c r="D171" s="3510"/>
      <c r="E171" s="3510"/>
      <c r="F171" s="3510"/>
      <c r="G171" s="3510"/>
      <c r="H171" s="3510"/>
      <c r="I171" s="3510"/>
      <c r="J171" s="3510"/>
      <c r="K171" s="3511"/>
      <c r="L171" s="3512"/>
      <c r="M171" s="3510"/>
      <c r="N171" s="3510"/>
      <c r="O171" s="3510"/>
      <c r="P171" s="3510"/>
      <c r="Q171" s="3510"/>
      <c r="R171" s="3510"/>
      <c r="S171" s="3510"/>
      <c r="T171" s="3510"/>
      <c r="U171" s="3510"/>
      <c r="V171" s="3510"/>
      <c r="W171" s="3510"/>
      <c r="X171" s="3510"/>
      <c r="Y171" s="3510"/>
      <c r="Z171" s="3510"/>
      <c r="AA171" s="3510"/>
      <c r="AB171" s="3510"/>
      <c r="AC171" s="3510"/>
    </row>
    <row r="172" spans="1:29">
      <c r="A172" s="3510"/>
      <c r="B172" s="3510"/>
      <c r="C172" s="3510"/>
      <c r="D172" s="3510"/>
      <c r="E172" s="3510"/>
      <c r="F172" s="3510"/>
      <c r="G172" s="3510"/>
      <c r="H172" s="3510"/>
      <c r="I172" s="3510"/>
      <c r="J172" s="3510"/>
      <c r="K172" s="3511"/>
      <c r="L172" s="3512"/>
      <c r="M172" s="3510"/>
      <c r="N172" s="3510"/>
      <c r="O172" s="3510"/>
      <c r="P172" s="3510"/>
      <c r="Q172" s="3510"/>
      <c r="R172" s="3510"/>
      <c r="S172" s="3510"/>
      <c r="T172" s="3510"/>
      <c r="U172" s="3510"/>
      <c r="V172" s="3510"/>
      <c r="W172" s="3510"/>
      <c r="X172" s="3510"/>
      <c r="Y172" s="3510"/>
      <c r="Z172" s="3510"/>
      <c r="AA172" s="3510"/>
      <c r="AB172" s="3510"/>
      <c r="AC172" s="3510"/>
    </row>
    <row r="173" spans="1:29">
      <c r="A173" s="3510"/>
      <c r="B173" s="3510"/>
      <c r="C173" s="3510"/>
      <c r="D173" s="3510"/>
      <c r="E173" s="3510"/>
      <c r="F173" s="3510"/>
      <c r="G173" s="3510"/>
      <c r="H173" s="3510"/>
      <c r="I173" s="3510"/>
      <c r="J173" s="3510"/>
      <c r="K173" s="3511"/>
      <c r="L173" s="3512"/>
      <c r="M173" s="3510"/>
      <c r="N173" s="3510"/>
      <c r="O173" s="3510"/>
      <c r="P173" s="3510"/>
      <c r="Q173" s="3510"/>
      <c r="R173" s="3510"/>
      <c r="S173" s="3510"/>
      <c r="T173" s="3510"/>
      <c r="U173" s="3510"/>
      <c r="V173" s="3510"/>
      <c r="W173" s="3510"/>
      <c r="X173" s="3510"/>
      <c r="Y173" s="3510"/>
      <c r="Z173" s="3510"/>
      <c r="AA173" s="3510"/>
      <c r="AB173" s="3510"/>
      <c r="AC173" s="3510"/>
    </row>
    <row r="174" spans="1:29">
      <c r="A174" s="3510"/>
      <c r="B174" s="3510"/>
      <c r="C174" s="3510"/>
      <c r="D174" s="3510"/>
      <c r="E174" s="3510"/>
      <c r="F174" s="3510"/>
      <c r="G174" s="3510"/>
      <c r="H174" s="3510"/>
      <c r="I174" s="3510"/>
      <c r="J174" s="3510"/>
      <c r="K174" s="3511"/>
      <c r="L174" s="3512"/>
      <c r="M174" s="3510"/>
      <c r="N174" s="3510"/>
      <c r="O174" s="3510"/>
      <c r="P174" s="3510"/>
      <c r="Q174" s="3510"/>
      <c r="R174" s="3510"/>
      <c r="S174" s="3510"/>
      <c r="T174" s="3510"/>
      <c r="U174" s="3510"/>
      <c r="V174" s="3510"/>
      <c r="W174" s="3510"/>
      <c r="X174" s="3510"/>
      <c r="Y174" s="3510"/>
      <c r="Z174" s="3510"/>
      <c r="AA174" s="3510"/>
      <c r="AB174" s="3510"/>
      <c r="AC174" s="3510"/>
    </row>
    <row r="175" spans="1:29">
      <c r="A175" s="3510"/>
      <c r="B175" s="3510"/>
      <c r="C175" s="3510"/>
      <c r="D175" s="3510"/>
      <c r="E175" s="3510"/>
      <c r="F175" s="3510"/>
      <c r="G175" s="3510"/>
      <c r="H175" s="3510"/>
      <c r="I175" s="3510"/>
      <c r="J175" s="3510"/>
      <c r="K175" s="3511"/>
      <c r="L175" s="3512"/>
      <c r="M175" s="3510"/>
      <c r="N175" s="3510"/>
      <c r="O175" s="3510"/>
      <c r="P175" s="3510"/>
      <c r="Q175" s="3510"/>
      <c r="R175" s="3510"/>
      <c r="S175" s="3510"/>
      <c r="T175" s="3510"/>
      <c r="U175" s="3510"/>
      <c r="V175" s="3510"/>
      <c r="W175" s="3510"/>
      <c r="X175" s="3510"/>
      <c r="Y175" s="3510"/>
      <c r="Z175" s="3510"/>
      <c r="AA175" s="3510"/>
      <c r="AB175" s="3510"/>
      <c r="AC175" s="3510"/>
    </row>
    <row r="176" spans="1:29">
      <c r="A176" s="3510"/>
      <c r="B176" s="3510"/>
      <c r="C176" s="3510"/>
      <c r="D176" s="3510"/>
      <c r="E176" s="3510"/>
      <c r="F176" s="3510"/>
      <c r="G176" s="3510"/>
      <c r="H176" s="3510"/>
      <c r="I176" s="3510"/>
      <c r="J176" s="3510"/>
      <c r="K176" s="3511"/>
      <c r="L176" s="3512"/>
      <c r="M176" s="3510"/>
      <c r="N176" s="3510"/>
      <c r="O176" s="3510"/>
      <c r="P176" s="3510"/>
      <c r="Q176" s="3510"/>
      <c r="R176" s="3510"/>
      <c r="S176" s="3510"/>
      <c r="T176" s="3510"/>
      <c r="U176" s="3510"/>
      <c r="V176" s="3510"/>
      <c r="W176" s="3510"/>
      <c r="X176" s="3510"/>
      <c r="Y176" s="3510"/>
      <c r="Z176" s="3510"/>
      <c r="AA176" s="3510"/>
      <c r="AB176" s="3510"/>
      <c r="AC176" s="3510"/>
    </row>
    <row r="177" spans="1:29">
      <c r="A177" s="3510"/>
      <c r="B177" s="3510"/>
      <c r="C177" s="3510"/>
      <c r="D177" s="3510"/>
      <c r="E177" s="3510"/>
      <c r="F177" s="3510"/>
      <c r="G177" s="3510"/>
      <c r="H177" s="3510"/>
      <c r="I177" s="3510"/>
      <c r="J177" s="3510"/>
      <c r="K177" s="3511"/>
      <c r="L177" s="3512"/>
      <c r="M177" s="3510"/>
      <c r="N177" s="3510"/>
      <c r="O177" s="3510"/>
      <c r="P177" s="3510"/>
      <c r="Q177" s="3510"/>
      <c r="R177" s="3510"/>
      <c r="S177" s="3510"/>
      <c r="T177" s="3510"/>
      <c r="U177" s="3510"/>
      <c r="V177" s="3510"/>
      <c r="W177" s="3510"/>
      <c r="X177" s="3510"/>
      <c r="Y177" s="3510"/>
      <c r="Z177" s="3510"/>
      <c r="AA177" s="3510"/>
      <c r="AB177" s="3510"/>
      <c r="AC177" s="3510"/>
    </row>
    <row r="178" spans="1:29">
      <c r="A178" s="3510"/>
      <c r="B178" s="3510"/>
      <c r="C178" s="3510"/>
      <c r="D178" s="3510"/>
      <c r="E178" s="3510"/>
      <c r="F178" s="3510"/>
      <c r="G178" s="3510"/>
      <c r="H178" s="3510"/>
      <c r="I178" s="3510"/>
      <c r="J178" s="3510"/>
      <c r="K178" s="3511"/>
      <c r="L178" s="3512"/>
      <c r="M178" s="3510"/>
      <c r="N178" s="3510"/>
      <c r="O178" s="3510"/>
      <c r="P178" s="3510"/>
      <c r="Q178" s="3510"/>
      <c r="R178" s="3510"/>
      <c r="S178" s="3510"/>
      <c r="T178" s="3510"/>
      <c r="U178" s="3510"/>
      <c r="V178" s="3510"/>
      <c r="W178" s="3510"/>
      <c r="X178" s="3510"/>
      <c r="Y178" s="3510"/>
      <c r="Z178" s="3510"/>
      <c r="AA178" s="3510"/>
      <c r="AB178" s="3510"/>
      <c r="AC178" s="3510"/>
    </row>
    <row r="179" spans="1:29">
      <c r="A179" s="3510"/>
      <c r="B179" s="3510"/>
      <c r="C179" s="3510"/>
      <c r="D179" s="3510"/>
      <c r="E179" s="3510"/>
      <c r="F179" s="3510"/>
      <c r="G179" s="3510"/>
      <c r="H179" s="3510"/>
      <c r="I179" s="3510"/>
      <c r="J179" s="3510"/>
      <c r="K179" s="3511"/>
      <c r="L179" s="3512"/>
      <c r="M179" s="3510"/>
      <c r="N179" s="3510"/>
      <c r="O179" s="3510"/>
      <c r="P179" s="3510"/>
      <c r="Q179" s="3510"/>
      <c r="R179" s="3510"/>
      <c r="S179" s="3510"/>
      <c r="T179" s="3510"/>
      <c r="U179" s="3510"/>
      <c r="V179" s="3510"/>
      <c r="W179" s="3510"/>
      <c r="X179" s="3510"/>
      <c r="Y179" s="3510"/>
      <c r="Z179" s="3510"/>
      <c r="AA179" s="3510"/>
      <c r="AB179" s="3510"/>
      <c r="AC179" s="3510"/>
    </row>
    <row r="180" spans="1:29">
      <c r="A180" s="3510"/>
      <c r="B180" s="3510"/>
      <c r="C180" s="3510"/>
      <c r="D180" s="3510"/>
      <c r="E180" s="3510"/>
      <c r="F180" s="3510"/>
      <c r="G180" s="3510"/>
      <c r="H180" s="3510"/>
      <c r="I180" s="3510"/>
      <c r="J180" s="3510"/>
      <c r="K180" s="3511"/>
      <c r="L180" s="3512"/>
      <c r="M180" s="3510"/>
      <c r="N180" s="3510"/>
      <c r="O180" s="3510"/>
      <c r="P180" s="3510"/>
      <c r="Q180" s="3510"/>
      <c r="R180" s="3510"/>
      <c r="S180" s="3510"/>
      <c r="T180" s="3510"/>
      <c r="U180" s="3510"/>
      <c r="V180" s="3510"/>
      <c r="W180" s="3510"/>
      <c r="X180" s="3510"/>
      <c r="Y180" s="3510"/>
      <c r="Z180" s="3510"/>
      <c r="AA180" s="3510"/>
      <c r="AB180" s="3510"/>
      <c r="AC180" s="3510"/>
    </row>
    <row r="181" spans="1:29">
      <c r="A181" s="3510"/>
      <c r="B181" s="3510"/>
      <c r="C181" s="3510"/>
      <c r="D181" s="3510"/>
      <c r="E181" s="3510"/>
      <c r="F181" s="3510"/>
      <c r="G181" s="3510"/>
      <c r="H181" s="3510"/>
      <c r="I181" s="3510"/>
      <c r="J181" s="3510"/>
      <c r="K181" s="3511"/>
      <c r="L181" s="3512"/>
      <c r="M181" s="3510"/>
      <c r="N181" s="3510"/>
      <c r="O181" s="3510"/>
      <c r="P181" s="3510"/>
      <c r="Q181" s="3510"/>
      <c r="R181" s="3510"/>
      <c r="S181" s="3510"/>
      <c r="T181" s="3510"/>
      <c r="U181" s="3510"/>
      <c r="V181" s="3510"/>
      <c r="W181" s="3510"/>
      <c r="X181" s="3510"/>
      <c r="Y181" s="3510"/>
      <c r="Z181" s="3510"/>
      <c r="AA181" s="3510"/>
      <c r="AB181" s="3510"/>
      <c r="AC181" s="3510"/>
    </row>
    <row r="182" spans="1:29">
      <c r="A182" s="3510"/>
      <c r="B182" s="3510"/>
      <c r="C182" s="3510"/>
      <c r="D182" s="3510"/>
      <c r="E182" s="3510"/>
      <c r="F182" s="3510"/>
      <c r="G182" s="3510"/>
      <c r="H182" s="3510"/>
      <c r="I182" s="3510"/>
      <c r="J182" s="3510"/>
      <c r="K182" s="3511"/>
      <c r="L182" s="3512"/>
      <c r="M182" s="3510"/>
      <c r="N182" s="3510"/>
      <c r="O182" s="3510"/>
      <c r="P182" s="3510"/>
      <c r="Q182" s="3510"/>
      <c r="R182" s="3510"/>
      <c r="S182" s="3510"/>
      <c r="T182" s="3510"/>
      <c r="U182" s="3510"/>
      <c r="V182" s="3510"/>
      <c r="W182" s="3510"/>
      <c r="X182" s="3510"/>
      <c r="Y182" s="3510"/>
      <c r="Z182" s="3510"/>
      <c r="AA182" s="3510"/>
      <c r="AB182" s="3510"/>
      <c r="AC182" s="3510"/>
    </row>
    <row r="183" spans="1:29">
      <c r="A183" s="3510"/>
      <c r="B183" s="3510"/>
      <c r="C183" s="3510"/>
      <c r="D183" s="3510"/>
      <c r="E183" s="3510"/>
      <c r="F183" s="3510"/>
      <c r="G183" s="3510"/>
      <c r="H183" s="3510"/>
      <c r="I183" s="3510"/>
      <c r="J183" s="3510"/>
      <c r="K183" s="3511"/>
      <c r="L183" s="3512"/>
      <c r="M183" s="3510"/>
      <c r="N183" s="3510"/>
      <c r="O183" s="3510"/>
      <c r="P183" s="3510"/>
      <c r="Q183" s="3510"/>
      <c r="R183" s="3510"/>
      <c r="S183" s="3510"/>
      <c r="T183" s="3510"/>
      <c r="U183" s="3510"/>
      <c r="V183" s="3510"/>
      <c r="W183" s="3510"/>
      <c r="X183" s="3510"/>
      <c r="Y183" s="3510"/>
      <c r="Z183" s="3510"/>
      <c r="AA183" s="3510"/>
      <c r="AB183" s="3510"/>
      <c r="AC183" s="3510"/>
    </row>
    <row r="184" spans="1:29">
      <c r="A184" s="3510"/>
      <c r="B184" s="3510"/>
      <c r="C184" s="3510"/>
      <c r="D184" s="3510"/>
      <c r="E184" s="3510"/>
      <c r="F184" s="3510"/>
      <c r="G184" s="3510"/>
      <c r="H184" s="3510"/>
      <c r="I184" s="3510"/>
      <c r="J184" s="3510"/>
      <c r="K184" s="3511"/>
      <c r="L184" s="3512"/>
      <c r="M184" s="3510"/>
      <c r="N184" s="3510"/>
      <c r="O184" s="3510"/>
      <c r="P184" s="3510"/>
      <c r="Q184" s="3510"/>
      <c r="R184" s="3510"/>
      <c r="S184" s="3510"/>
      <c r="T184" s="3510"/>
      <c r="U184" s="3510"/>
      <c r="V184" s="3510"/>
      <c r="W184" s="3510"/>
      <c r="X184" s="3510"/>
      <c r="Y184" s="3510"/>
      <c r="Z184" s="3510"/>
      <c r="AA184" s="3510"/>
      <c r="AB184" s="3510"/>
      <c r="AC184" s="3510"/>
    </row>
    <row r="185" spans="1:29">
      <c r="A185" s="3510"/>
      <c r="B185" s="3510"/>
      <c r="C185" s="3510"/>
      <c r="D185" s="3510"/>
      <c r="E185" s="3510"/>
      <c r="F185" s="3510"/>
      <c r="G185" s="3510"/>
      <c r="H185" s="3510"/>
      <c r="I185" s="3510"/>
      <c r="J185" s="3510"/>
      <c r="K185" s="3511"/>
      <c r="L185" s="3512"/>
      <c r="M185" s="3510"/>
      <c r="N185" s="3510"/>
      <c r="O185" s="3510"/>
      <c r="P185" s="3510"/>
      <c r="Q185" s="3510"/>
      <c r="R185" s="3510"/>
      <c r="S185" s="3510"/>
      <c r="T185" s="3510"/>
      <c r="U185" s="3510"/>
      <c r="V185" s="3510"/>
      <c r="W185" s="3510"/>
      <c r="X185" s="3510"/>
      <c r="Y185" s="3510"/>
      <c r="Z185" s="3510"/>
      <c r="AA185" s="3510"/>
      <c r="AB185" s="3510"/>
      <c r="AC185" s="3510"/>
    </row>
    <row r="186" spans="1:29">
      <c r="A186" s="3510"/>
      <c r="B186" s="3510"/>
      <c r="C186" s="3510"/>
      <c r="D186" s="3510"/>
      <c r="E186" s="3510"/>
      <c r="F186" s="3510"/>
      <c r="G186" s="3510"/>
      <c r="H186" s="3510"/>
      <c r="I186" s="3510"/>
      <c r="J186" s="3510"/>
      <c r="K186" s="3511"/>
      <c r="L186" s="3512"/>
      <c r="M186" s="3510"/>
      <c r="N186" s="3510"/>
      <c r="O186" s="3510"/>
      <c r="P186" s="3510"/>
      <c r="Q186" s="3510"/>
      <c r="R186" s="3510"/>
      <c r="S186" s="3510"/>
      <c r="T186" s="3510"/>
      <c r="U186" s="3510"/>
      <c r="V186" s="3510"/>
      <c r="W186" s="3510"/>
      <c r="X186" s="3510"/>
      <c r="Y186" s="3510"/>
      <c r="Z186" s="3510"/>
      <c r="AA186" s="3510"/>
      <c r="AB186" s="3510"/>
      <c r="AC186" s="3510"/>
    </row>
    <row r="187" spans="1:29">
      <c r="A187" s="3510"/>
      <c r="B187" s="3510"/>
      <c r="C187" s="3510"/>
      <c r="D187" s="3510"/>
      <c r="E187" s="3510"/>
      <c r="F187" s="3510"/>
      <c r="G187" s="3510"/>
      <c r="H187" s="3510"/>
      <c r="I187" s="3510"/>
      <c r="J187" s="3510"/>
      <c r="K187" s="3511"/>
      <c r="L187" s="3512"/>
      <c r="M187" s="3510"/>
      <c r="N187" s="3510"/>
      <c r="O187" s="3510"/>
      <c r="P187" s="3510"/>
      <c r="Q187" s="3510"/>
      <c r="R187" s="3510"/>
      <c r="S187" s="3510"/>
      <c r="T187" s="3510"/>
      <c r="U187" s="3510"/>
      <c r="V187" s="3510"/>
      <c r="W187" s="3510"/>
      <c r="X187" s="3510"/>
      <c r="Y187" s="3510"/>
      <c r="Z187" s="3510"/>
      <c r="AA187" s="3510"/>
      <c r="AB187" s="3510"/>
      <c r="AC187" s="3510"/>
    </row>
    <row r="188" spans="1:29">
      <c r="A188" s="3510"/>
      <c r="B188" s="3510"/>
      <c r="C188" s="3510"/>
      <c r="D188" s="3510"/>
      <c r="E188" s="3510"/>
      <c r="F188" s="3510"/>
      <c r="G188" s="3510"/>
      <c r="H188" s="3510"/>
      <c r="I188" s="3510"/>
      <c r="J188" s="3510"/>
      <c r="K188" s="3511"/>
      <c r="L188" s="3512"/>
      <c r="M188" s="3510"/>
      <c r="N188" s="3510"/>
      <c r="O188" s="3510"/>
      <c r="P188" s="3510"/>
      <c r="Q188" s="3510"/>
      <c r="R188" s="3510"/>
      <c r="S188" s="3510"/>
      <c r="T188" s="3510"/>
      <c r="U188" s="3510"/>
      <c r="V188" s="3510"/>
      <c r="W188" s="3510"/>
      <c r="X188" s="3510"/>
      <c r="Y188" s="3510"/>
      <c r="Z188" s="3510"/>
      <c r="AA188" s="3510"/>
      <c r="AB188" s="3510"/>
      <c r="AC188" s="3510"/>
    </row>
    <row r="189" spans="1:29">
      <c r="A189" s="3510"/>
      <c r="B189" s="3510"/>
      <c r="C189" s="3510"/>
      <c r="D189" s="3510"/>
      <c r="E189" s="3510"/>
      <c r="F189" s="3510"/>
      <c r="G189" s="3510"/>
      <c r="H189" s="3510"/>
      <c r="I189" s="3510"/>
      <c r="J189" s="3510"/>
      <c r="K189" s="3511"/>
      <c r="L189" s="3512"/>
      <c r="M189" s="3510"/>
      <c r="N189" s="3510"/>
      <c r="O189" s="3510"/>
      <c r="P189" s="3510"/>
      <c r="Q189" s="3510"/>
      <c r="R189" s="3510"/>
      <c r="S189" s="3510"/>
      <c r="T189" s="3510"/>
      <c r="U189" s="3510"/>
      <c r="V189" s="3510"/>
      <c r="W189" s="3510"/>
      <c r="X189" s="3510"/>
      <c r="Y189" s="3510"/>
      <c r="Z189" s="3510"/>
      <c r="AA189" s="3510"/>
      <c r="AB189" s="3510"/>
      <c r="AC189" s="3510"/>
    </row>
    <row r="190" spans="1:29">
      <c r="A190" s="3510"/>
      <c r="B190" s="3510"/>
      <c r="C190" s="3510"/>
      <c r="D190" s="3510"/>
      <c r="E190" s="3510"/>
      <c r="F190" s="3510"/>
      <c r="G190" s="3510"/>
      <c r="H190" s="3510"/>
      <c r="I190" s="3510"/>
      <c r="J190" s="3510"/>
      <c r="K190" s="3511"/>
      <c r="L190" s="3512"/>
      <c r="M190" s="3510"/>
      <c r="N190" s="3510"/>
      <c r="O190" s="3510"/>
      <c r="P190" s="3510"/>
      <c r="Q190" s="3510"/>
      <c r="R190" s="3510"/>
      <c r="S190" s="3510"/>
      <c r="T190" s="3510"/>
      <c r="U190" s="3510"/>
      <c r="V190" s="3510"/>
      <c r="W190" s="3510"/>
      <c r="X190" s="3510"/>
      <c r="Y190" s="3510"/>
      <c r="Z190" s="3510"/>
      <c r="AA190" s="3510"/>
      <c r="AB190" s="3510"/>
      <c r="AC190" s="3510"/>
    </row>
    <row r="191" spans="1:29">
      <c r="A191" s="3510"/>
      <c r="B191" s="3510"/>
      <c r="C191" s="3510"/>
      <c r="D191" s="3510"/>
      <c r="E191" s="3510"/>
      <c r="F191" s="3510"/>
      <c r="G191" s="3510"/>
      <c r="H191" s="3510"/>
      <c r="I191" s="3510"/>
      <c r="J191" s="3510"/>
      <c r="K191" s="3511"/>
      <c r="L191" s="3512"/>
      <c r="M191" s="3510"/>
      <c r="N191" s="3510"/>
      <c r="O191" s="3510"/>
      <c r="P191" s="3510"/>
      <c r="Q191" s="3510"/>
      <c r="R191" s="3510"/>
      <c r="S191" s="3510"/>
      <c r="T191" s="3510"/>
      <c r="U191" s="3510"/>
      <c r="V191" s="3510"/>
      <c r="W191" s="3510"/>
      <c r="X191" s="3510"/>
      <c r="Y191" s="3510"/>
      <c r="Z191" s="3510"/>
      <c r="AA191" s="3510"/>
      <c r="AB191" s="3510"/>
      <c r="AC191" s="3510"/>
    </row>
    <row r="192" spans="1:29">
      <c r="A192" s="3510"/>
      <c r="B192" s="3510"/>
      <c r="C192" s="3510"/>
      <c r="D192" s="3510"/>
      <c r="E192" s="3510"/>
      <c r="F192" s="3510"/>
      <c r="G192" s="3510"/>
      <c r="H192" s="3510"/>
      <c r="I192" s="3510"/>
      <c r="J192" s="3510"/>
      <c r="K192" s="3511"/>
      <c r="L192" s="3512"/>
      <c r="M192" s="3510"/>
      <c r="N192" s="3510"/>
      <c r="O192" s="3510"/>
      <c r="P192" s="3510"/>
      <c r="Q192" s="3510"/>
      <c r="R192" s="3510"/>
      <c r="S192" s="3510"/>
      <c r="T192" s="3510"/>
      <c r="U192" s="3510"/>
      <c r="V192" s="3510"/>
      <c r="W192" s="3510"/>
      <c r="X192" s="3510"/>
      <c r="Y192" s="3510"/>
      <c r="Z192" s="3510"/>
      <c r="AA192" s="3510"/>
      <c r="AB192" s="3510"/>
      <c r="AC192" s="3510"/>
    </row>
    <row r="193" spans="1:29">
      <c r="A193" s="3510"/>
      <c r="B193" s="3510"/>
      <c r="C193" s="3510"/>
      <c r="D193" s="3510"/>
      <c r="E193" s="3510"/>
      <c r="F193" s="3510"/>
      <c r="G193" s="3510"/>
      <c r="H193" s="3510"/>
      <c r="I193" s="3510"/>
      <c r="J193" s="3510"/>
      <c r="K193" s="3511"/>
      <c r="L193" s="3512"/>
      <c r="M193" s="3510"/>
      <c r="N193" s="3510"/>
      <c r="O193" s="3510"/>
      <c r="P193" s="3510"/>
      <c r="Q193" s="3510"/>
      <c r="R193" s="3510"/>
      <c r="S193" s="3510"/>
      <c r="T193" s="3510"/>
      <c r="U193" s="3510"/>
      <c r="V193" s="3510"/>
      <c r="W193" s="3510"/>
      <c r="X193" s="3510"/>
      <c r="Y193" s="3510"/>
      <c r="Z193" s="3510"/>
      <c r="AA193" s="3510"/>
      <c r="AB193" s="3510"/>
      <c r="AC193" s="3510"/>
    </row>
    <row r="194" spans="1:29">
      <c r="A194" s="3510"/>
      <c r="B194" s="3510"/>
      <c r="C194" s="3510"/>
      <c r="D194" s="3510"/>
      <c r="E194" s="3510"/>
      <c r="F194" s="3510"/>
      <c r="G194" s="3510"/>
      <c r="H194" s="3510"/>
      <c r="I194" s="3510"/>
      <c r="J194" s="3510"/>
      <c r="K194" s="3511"/>
      <c r="L194" s="3512"/>
      <c r="M194" s="3510"/>
      <c r="N194" s="3510"/>
      <c r="O194" s="3510"/>
      <c r="P194" s="3510"/>
      <c r="Q194" s="3510"/>
      <c r="R194" s="3510"/>
      <c r="S194" s="3510"/>
      <c r="T194" s="3510"/>
      <c r="U194" s="3510"/>
      <c r="V194" s="3510"/>
      <c r="W194" s="3510"/>
      <c r="X194" s="3510"/>
      <c r="Y194" s="3510"/>
      <c r="Z194" s="3510"/>
      <c r="AA194" s="3510"/>
      <c r="AB194" s="3510"/>
      <c r="AC194" s="3510"/>
    </row>
    <row r="195" spans="1:29">
      <c r="A195" s="3510"/>
      <c r="B195" s="3510"/>
      <c r="C195" s="3510"/>
      <c r="D195" s="3510"/>
      <c r="E195" s="3510"/>
      <c r="F195" s="3510"/>
      <c r="G195" s="3510"/>
      <c r="H195" s="3510"/>
      <c r="I195" s="3510"/>
      <c r="J195" s="3510"/>
      <c r="K195" s="3511"/>
      <c r="L195" s="3512"/>
      <c r="M195" s="3510"/>
      <c r="N195" s="3510"/>
      <c r="O195" s="3510"/>
      <c r="P195" s="3510"/>
      <c r="Q195" s="3510"/>
      <c r="R195" s="3510"/>
      <c r="S195" s="3510"/>
      <c r="T195" s="3510"/>
      <c r="U195" s="3510"/>
      <c r="V195" s="3510"/>
      <c r="W195" s="3510"/>
      <c r="X195" s="3510"/>
      <c r="Y195" s="3510"/>
      <c r="Z195" s="3510"/>
      <c r="AA195" s="3510"/>
      <c r="AB195" s="3510"/>
      <c r="AC195" s="3510"/>
    </row>
    <row r="196" spans="1:29">
      <c r="A196" s="3510"/>
      <c r="B196" s="3510"/>
      <c r="C196" s="3510"/>
      <c r="D196" s="3510"/>
      <c r="E196" s="3510"/>
      <c r="F196" s="3510"/>
      <c r="G196" s="3510"/>
      <c r="H196" s="3510"/>
      <c r="I196" s="3510"/>
      <c r="J196" s="3510"/>
      <c r="K196" s="3511"/>
      <c r="L196" s="3512"/>
      <c r="M196" s="3510"/>
      <c r="N196" s="3510"/>
      <c r="O196" s="3510"/>
      <c r="P196" s="3510"/>
      <c r="Q196" s="3510"/>
      <c r="R196" s="3510"/>
      <c r="S196" s="3510"/>
      <c r="T196" s="3510"/>
      <c r="U196" s="3510"/>
      <c r="V196" s="3510"/>
      <c r="W196" s="3510"/>
      <c r="X196" s="3510"/>
      <c r="Y196" s="3510"/>
      <c r="Z196" s="3510"/>
      <c r="AA196" s="3510"/>
      <c r="AB196" s="3510"/>
      <c r="AC196" s="3510"/>
    </row>
    <row r="197" spans="1:29">
      <c r="A197" s="3510"/>
      <c r="B197" s="3510"/>
      <c r="C197" s="3510"/>
      <c r="D197" s="3510"/>
      <c r="E197" s="3510"/>
      <c r="F197" s="3510"/>
      <c r="G197" s="3510"/>
      <c r="H197" s="3510"/>
      <c r="I197" s="3510"/>
      <c r="J197" s="3510"/>
      <c r="K197" s="3511"/>
      <c r="L197" s="3512"/>
      <c r="M197" s="3510"/>
      <c r="N197" s="3510"/>
      <c r="O197" s="3510"/>
      <c r="P197" s="3510"/>
      <c r="Q197" s="3510"/>
      <c r="R197" s="3510"/>
      <c r="S197" s="3510"/>
      <c r="T197" s="3510"/>
      <c r="U197" s="3510"/>
      <c r="V197" s="3510"/>
      <c r="W197" s="3510"/>
      <c r="X197" s="3510"/>
      <c r="Y197" s="3510"/>
      <c r="Z197" s="3510"/>
      <c r="AA197" s="3510"/>
      <c r="AB197" s="3510"/>
      <c r="AC197" s="3510"/>
    </row>
    <row r="198" spans="1:29">
      <c r="A198" s="3510"/>
      <c r="B198" s="3510"/>
      <c r="C198" s="3510"/>
      <c r="D198" s="3510"/>
      <c r="E198" s="3510"/>
      <c r="F198" s="3510"/>
      <c r="G198" s="3510"/>
      <c r="H198" s="3510"/>
      <c r="I198" s="3510"/>
      <c r="J198" s="3510"/>
      <c r="K198" s="3511"/>
      <c r="L198" s="3512"/>
      <c r="M198" s="3510"/>
      <c r="N198" s="3510"/>
      <c r="O198" s="3510"/>
      <c r="P198" s="3510"/>
      <c r="Q198" s="3510"/>
      <c r="R198" s="3510"/>
      <c r="S198" s="3510"/>
      <c r="T198" s="3510"/>
      <c r="U198" s="3510"/>
      <c r="V198" s="3510"/>
      <c r="W198" s="3510"/>
      <c r="X198" s="3510"/>
      <c r="Y198" s="3510"/>
      <c r="Z198" s="3510"/>
      <c r="AA198" s="3510"/>
      <c r="AB198" s="3510"/>
      <c r="AC198" s="3510"/>
    </row>
    <row r="199" spans="1:29">
      <c r="A199" s="3510"/>
      <c r="B199" s="3510"/>
      <c r="C199" s="3510"/>
      <c r="D199" s="3510"/>
      <c r="E199" s="3510"/>
      <c r="F199" s="3510"/>
      <c r="G199" s="3510"/>
      <c r="H199" s="3510"/>
      <c r="I199" s="3510"/>
      <c r="J199" s="3510"/>
      <c r="K199" s="3511"/>
      <c r="L199" s="3512"/>
      <c r="M199" s="3510"/>
      <c r="N199" s="3510"/>
      <c r="O199" s="3510"/>
      <c r="P199" s="3510"/>
      <c r="Q199" s="3510"/>
      <c r="R199" s="3510"/>
      <c r="S199" s="3510"/>
      <c r="T199" s="3510"/>
      <c r="U199" s="3510"/>
      <c r="V199" s="3510"/>
      <c r="W199" s="3510"/>
      <c r="X199" s="3510"/>
      <c r="Y199" s="3510"/>
      <c r="Z199" s="3510"/>
      <c r="AA199" s="3510"/>
      <c r="AB199" s="3510"/>
      <c r="AC199" s="3510"/>
    </row>
    <row r="200" spans="1:29">
      <c r="A200" s="3510"/>
      <c r="B200" s="3510"/>
      <c r="C200" s="3510"/>
      <c r="D200" s="3510"/>
      <c r="E200" s="3510"/>
      <c r="F200" s="3510"/>
      <c r="G200" s="3510"/>
      <c r="H200" s="3510"/>
      <c r="I200" s="3510"/>
      <c r="J200" s="3510"/>
      <c r="K200" s="3511"/>
      <c r="L200" s="3512"/>
      <c r="M200" s="3510"/>
      <c r="N200" s="3510"/>
      <c r="O200" s="3510"/>
      <c r="P200" s="3510"/>
      <c r="Q200" s="3510"/>
      <c r="R200" s="3510"/>
      <c r="S200" s="3510"/>
      <c r="T200" s="3510"/>
      <c r="U200" s="3510"/>
      <c r="V200" s="3510"/>
      <c r="W200" s="3510"/>
      <c r="X200" s="3510"/>
      <c r="Y200" s="3510"/>
      <c r="Z200" s="3510"/>
      <c r="AA200" s="3510"/>
      <c r="AB200" s="3510"/>
      <c r="AC200" s="3510"/>
    </row>
    <row r="201" spans="1:29">
      <c r="A201" s="3510"/>
      <c r="B201" s="3510"/>
      <c r="C201" s="3510"/>
      <c r="D201" s="3510"/>
      <c r="E201" s="3510"/>
      <c r="F201" s="3510"/>
      <c r="G201" s="3510"/>
      <c r="H201" s="3510"/>
      <c r="I201" s="3510"/>
      <c r="J201" s="3510"/>
      <c r="K201" s="3511"/>
      <c r="L201" s="3512"/>
      <c r="M201" s="3510"/>
      <c r="N201" s="3510"/>
      <c r="O201" s="3510"/>
      <c r="P201" s="3510"/>
      <c r="Q201" s="3510"/>
      <c r="R201" s="3510"/>
      <c r="S201" s="3510"/>
      <c r="T201" s="3510"/>
      <c r="U201" s="3510"/>
      <c r="V201" s="3510"/>
      <c r="W201" s="3510"/>
      <c r="X201" s="3510"/>
      <c r="Y201" s="3510"/>
      <c r="Z201" s="3510"/>
      <c r="AA201" s="3510"/>
      <c r="AB201" s="3510"/>
      <c r="AC201" s="3510"/>
    </row>
    <row r="202" spans="1:29">
      <c r="A202" s="3510"/>
      <c r="B202" s="3510"/>
      <c r="C202" s="3510"/>
      <c r="D202" s="3510"/>
      <c r="E202" s="3510"/>
      <c r="F202" s="3510"/>
      <c r="G202" s="3510"/>
      <c r="H202" s="3510"/>
      <c r="I202" s="3510"/>
      <c r="J202" s="3510"/>
      <c r="K202" s="3511"/>
      <c r="L202" s="3512"/>
      <c r="M202" s="3510"/>
      <c r="N202" s="3510"/>
      <c r="O202" s="3510"/>
      <c r="P202" s="3510"/>
      <c r="Q202" s="3510"/>
      <c r="R202" s="3510"/>
      <c r="S202" s="3510"/>
      <c r="T202" s="3510"/>
      <c r="U202" s="3510"/>
      <c r="V202" s="3510"/>
      <c r="W202" s="3510"/>
      <c r="X202" s="3510"/>
      <c r="Y202" s="3510"/>
      <c r="Z202" s="3510"/>
      <c r="AA202" s="3510"/>
      <c r="AB202" s="3510"/>
      <c r="AC202" s="3510"/>
    </row>
    <row r="203" spans="1:29">
      <c r="A203" s="3510"/>
      <c r="B203" s="3510"/>
      <c r="C203" s="3510"/>
      <c r="D203" s="3510"/>
      <c r="E203" s="3510"/>
      <c r="F203" s="3510"/>
      <c r="G203" s="3510"/>
      <c r="H203" s="3510"/>
      <c r="I203" s="3510"/>
      <c r="J203" s="3510"/>
      <c r="K203" s="3511"/>
      <c r="L203" s="3512"/>
      <c r="M203" s="3510"/>
      <c r="N203" s="3510"/>
      <c r="O203" s="3510"/>
      <c r="P203" s="3510"/>
      <c r="Q203" s="3510"/>
      <c r="R203" s="3510"/>
      <c r="S203" s="3510"/>
      <c r="T203" s="3510"/>
      <c r="U203" s="3510"/>
      <c r="V203" s="3510"/>
      <c r="W203" s="3510"/>
      <c r="X203" s="3510"/>
      <c r="Y203" s="3510"/>
      <c r="Z203" s="3510"/>
      <c r="AA203" s="3510"/>
      <c r="AB203" s="3510"/>
      <c r="AC203" s="3510"/>
    </row>
    <row r="204" spans="1:29">
      <c r="A204" s="3510"/>
      <c r="B204" s="3510"/>
      <c r="C204" s="3510"/>
      <c r="D204" s="3510"/>
      <c r="E204" s="3510"/>
      <c r="F204" s="3510"/>
      <c r="G204" s="3510"/>
      <c r="H204" s="3510"/>
      <c r="I204" s="3510"/>
      <c r="J204" s="3510"/>
      <c r="K204" s="3511"/>
      <c r="L204" s="3512"/>
      <c r="M204" s="3510"/>
      <c r="N204" s="3510"/>
      <c r="O204" s="3510"/>
      <c r="P204" s="3510"/>
      <c r="Q204" s="3510"/>
      <c r="R204" s="3510"/>
      <c r="S204" s="3510"/>
      <c r="T204" s="3510"/>
      <c r="U204" s="3510"/>
      <c r="V204" s="3510"/>
      <c r="W204" s="3510"/>
      <c r="X204" s="3510"/>
      <c r="Y204" s="3510"/>
      <c r="Z204" s="3510"/>
      <c r="AA204" s="3510"/>
      <c r="AB204" s="3510"/>
      <c r="AC204" s="3510"/>
    </row>
    <row r="205" spans="1:29">
      <c r="A205" s="3510"/>
      <c r="B205" s="3510"/>
      <c r="C205" s="3510"/>
      <c r="D205" s="3510"/>
      <c r="E205" s="3510"/>
      <c r="F205" s="3510"/>
      <c r="G205" s="3510"/>
      <c r="H205" s="3510"/>
      <c r="I205" s="3510"/>
      <c r="J205" s="3510"/>
      <c r="K205" s="3511"/>
      <c r="L205" s="3512"/>
      <c r="M205" s="3510"/>
      <c r="N205" s="3510"/>
      <c r="O205" s="3510"/>
      <c r="P205" s="3510"/>
      <c r="Q205" s="3510"/>
      <c r="R205" s="3510"/>
      <c r="S205" s="3510"/>
      <c r="T205" s="3510"/>
      <c r="U205" s="3510"/>
      <c r="V205" s="3510"/>
      <c r="W205" s="3510"/>
      <c r="X205" s="3510"/>
      <c r="Y205" s="3510"/>
      <c r="Z205" s="3510"/>
      <c r="AA205" s="3510"/>
      <c r="AB205" s="3510"/>
      <c r="AC205" s="3510"/>
    </row>
    <row r="206" spans="1:29">
      <c r="A206" s="3510"/>
      <c r="B206" s="3510"/>
      <c r="C206" s="3510"/>
      <c r="D206" s="3510"/>
      <c r="E206" s="3510"/>
      <c r="F206" s="3510"/>
      <c r="G206" s="3510"/>
      <c r="H206" s="3510"/>
      <c r="I206" s="3510"/>
      <c r="J206" s="3510"/>
      <c r="K206" s="3511"/>
      <c r="L206" s="3512"/>
      <c r="M206" s="3510"/>
      <c r="N206" s="3510"/>
      <c r="O206" s="3510"/>
      <c r="P206" s="3510"/>
      <c r="Q206" s="3510"/>
      <c r="R206" s="3510"/>
      <c r="S206" s="3510"/>
      <c r="T206" s="3510"/>
      <c r="U206" s="3510"/>
      <c r="V206" s="3510"/>
      <c r="W206" s="3510"/>
      <c r="X206" s="3510"/>
      <c r="Y206" s="3510"/>
      <c r="Z206" s="3510"/>
      <c r="AA206" s="3510"/>
      <c r="AB206" s="3510"/>
      <c r="AC206" s="3510"/>
    </row>
    <row r="207" spans="1:29">
      <c r="A207" s="3510"/>
      <c r="B207" s="3510"/>
      <c r="C207" s="3510"/>
      <c r="D207" s="3510"/>
      <c r="E207" s="3510"/>
      <c r="F207" s="3510"/>
      <c r="G207" s="3510"/>
      <c r="H207" s="3510"/>
      <c r="I207" s="3510"/>
      <c r="J207" s="3510"/>
      <c r="K207" s="3511"/>
      <c r="L207" s="3512"/>
      <c r="M207" s="3510"/>
      <c r="N207" s="3510"/>
      <c r="O207" s="3510"/>
      <c r="P207" s="3510"/>
      <c r="Q207" s="3510"/>
      <c r="R207" s="3510"/>
      <c r="S207" s="3510"/>
      <c r="T207" s="3510"/>
      <c r="U207" s="3510"/>
      <c r="V207" s="3510"/>
      <c r="W207" s="3510"/>
      <c r="X207" s="3510"/>
      <c r="Y207" s="3510"/>
      <c r="Z207" s="3510"/>
      <c r="AA207" s="3510"/>
      <c r="AB207" s="3510"/>
      <c r="AC207" s="3510"/>
    </row>
    <row r="208" spans="1:29">
      <c r="A208" s="3510"/>
      <c r="B208" s="3510"/>
      <c r="C208" s="3510"/>
      <c r="D208" s="3510"/>
      <c r="E208" s="3510"/>
      <c r="F208" s="3510"/>
      <c r="G208" s="3510"/>
      <c r="H208" s="3510"/>
      <c r="I208" s="3510"/>
      <c r="J208" s="3510"/>
      <c r="K208" s="3511"/>
      <c r="L208" s="3512"/>
      <c r="M208" s="3510"/>
      <c r="N208" s="3510"/>
      <c r="O208" s="3510"/>
      <c r="P208" s="3510"/>
      <c r="Q208" s="3510"/>
      <c r="R208" s="3510"/>
      <c r="S208" s="3510"/>
      <c r="T208" s="3510"/>
      <c r="U208" s="3510"/>
      <c r="V208" s="3510"/>
      <c r="W208" s="3510"/>
      <c r="X208" s="3510"/>
      <c r="Y208" s="3510"/>
      <c r="Z208" s="3510"/>
      <c r="AA208" s="3510"/>
      <c r="AB208" s="3510"/>
      <c r="AC208" s="3510"/>
    </row>
    <row r="209" spans="1:29">
      <c r="A209" s="3510"/>
      <c r="B209" s="3510"/>
      <c r="C209" s="3510"/>
      <c r="D209" s="3510"/>
      <c r="E209" s="3510"/>
      <c r="F209" s="3510"/>
      <c r="G209" s="3510"/>
      <c r="H209" s="3510"/>
      <c r="I209" s="3510"/>
      <c r="J209" s="3510"/>
      <c r="K209" s="3511"/>
      <c r="L209" s="3512"/>
      <c r="M209" s="3510"/>
      <c r="N209" s="3510"/>
      <c r="O209" s="3510"/>
      <c r="P209" s="3510"/>
      <c r="Q209" s="3510"/>
      <c r="R209" s="3510"/>
      <c r="S209" s="3510"/>
      <c r="T209" s="3510"/>
      <c r="U209" s="3510"/>
      <c r="V209" s="3510"/>
      <c r="W209" s="3510"/>
      <c r="X209" s="3510"/>
      <c r="Y209" s="3510"/>
      <c r="Z209" s="3510"/>
      <c r="AA209" s="3510"/>
      <c r="AB209" s="3510"/>
      <c r="AC209" s="3510"/>
    </row>
    <row r="210" spans="1:29">
      <c r="A210" s="3510"/>
      <c r="B210" s="3510"/>
      <c r="C210" s="3510"/>
      <c r="D210" s="3510"/>
      <c r="E210" s="3510"/>
      <c r="F210" s="3510"/>
      <c r="G210" s="3510"/>
      <c r="H210" s="3510"/>
      <c r="I210" s="3510"/>
      <c r="J210" s="3510"/>
      <c r="K210" s="3511"/>
      <c r="L210" s="3512"/>
      <c r="M210" s="3510"/>
      <c r="N210" s="3510"/>
      <c r="O210" s="3510"/>
      <c r="P210" s="3510"/>
      <c r="Q210" s="3510"/>
      <c r="R210" s="3510"/>
      <c r="S210" s="3510"/>
      <c r="T210" s="3510"/>
      <c r="U210" s="3510"/>
      <c r="V210" s="3510"/>
      <c r="W210" s="3510"/>
      <c r="X210" s="3510"/>
      <c r="Y210" s="3510"/>
      <c r="Z210" s="3510"/>
      <c r="AA210" s="3510"/>
      <c r="AB210" s="3510"/>
      <c r="AC210" s="3510"/>
    </row>
    <row r="211" spans="1:29">
      <c r="A211" s="3510"/>
      <c r="B211" s="3510"/>
      <c r="C211" s="3510"/>
      <c r="D211" s="3510"/>
      <c r="E211" s="3510"/>
      <c r="F211" s="3510"/>
      <c r="G211" s="3510"/>
      <c r="H211" s="3510"/>
      <c r="I211" s="3510"/>
      <c r="J211" s="3510"/>
      <c r="K211" s="3511"/>
      <c r="L211" s="3512"/>
      <c r="M211" s="3510"/>
      <c r="N211" s="3510"/>
      <c r="O211" s="3510"/>
      <c r="P211" s="3510"/>
      <c r="Q211" s="3510"/>
      <c r="R211" s="3510"/>
      <c r="S211" s="3510"/>
      <c r="T211" s="3510"/>
      <c r="U211" s="3510"/>
      <c r="V211" s="3510"/>
      <c r="W211" s="3510"/>
      <c r="X211" s="3510"/>
      <c r="Y211" s="3510"/>
      <c r="Z211" s="3510"/>
      <c r="AA211" s="3510"/>
      <c r="AB211" s="3510"/>
      <c r="AC211" s="3510"/>
    </row>
    <row r="212" spans="1:29">
      <c r="A212" s="3510"/>
      <c r="B212" s="3510"/>
      <c r="C212" s="3510"/>
      <c r="D212" s="3510"/>
      <c r="E212" s="3510"/>
      <c r="F212" s="3510"/>
      <c r="G212" s="3510"/>
      <c r="H212" s="3510"/>
      <c r="I212" s="3510"/>
      <c r="J212" s="3510"/>
      <c r="K212" s="3511"/>
      <c r="L212" s="3512"/>
      <c r="M212" s="3510"/>
      <c r="N212" s="3510"/>
      <c r="O212" s="3510"/>
      <c r="P212" s="3510"/>
      <c r="Q212" s="3510"/>
      <c r="R212" s="3510"/>
      <c r="S212" s="3510"/>
      <c r="T212" s="3510"/>
      <c r="U212" s="3510"/>
      <c r="V212" s="3510"/>
      <c r="W212" s="3510"/>
      <c r="X212" s="3510"/>
      <c r="Y212" s="3510"/>
      <c r="Z212" s="3510"/>
      <c r="AA212" s="3510"/>
      <c r="AB212" s="3510"/>
      <c r="AC212" s="3510"/>
    </row>
    <row r="213" spans="1:29">
      <c r="A213" s="3510"/>
      <c r="B213" s="3510"/>
      <c r="C213" s="3510"/>
      <c r="D213" s="3510"/>
      <c r="E213" s="3510"/>
      <c r="F213" s="3510"/>
      <c r="G213" s="3510"/>
      <c r="H213" s="3510"/>
      <c r="I213" s="3510"/>
      <c r="J213" s="3510"/>
      <c r="K213" s="3511"/>
      <c r="L213" s="3512"/>
      <c r="M213" s="3510"/>
      <c r="N213" s="3510"/>
      <c r="O213" s="3510"/>
      <c r="P213" s="3510"/>
      <c r="Q213" s="3510"/>
      <c r="R213" s="3510"/>
      <c r="S213" s="3510"/>
      <c r="T213" s="3510"/>
      <c r="U213" s="3510"/>
      <c r="V213" s="3510"/>
      <c r="W213" s="3510"/>
      <c r="X213" s="3510"/>
      <c r="Y213" s="3510"/>
      <c r="Z213" s="3510"/>
      <c r="AA213" s="3510"/>
      <c r="AB213" s="3510"/>
      <c r="AC213" s="3510"/>
    </row>
    <row r="214" spans="1:29">
      <c r="A214" s="3510"/>
      <c r="B214" s="3510"/>
      <c r="C214" s="3510"/>
      <c r="D214" s="3510"/>
      <c r="E214" s="3510"/>
      <c r="F214" s="3510"/>
      <c r="G214" s="3510"/>
      <c r="H214" s="3510"/>
      <c r="I214" s="3510"/>
      <c r="J214" s="3510"/>
      <c r="K214" s="3511"/>
      <c r="L214" s="3512"/>
      <c r="M214" s="3510"/>
      <c r="N214" s="3510"/>
      <c r="O214" s="3510"/>
      <c r="P214" s="3510"/>
      <c r="Q214" s="3510"/>
      <c r="R214" s="3510"/>
      <c r="S214" s="3510"/>
      <c r="T214" s="3510"/>
      <c r="U214" s="3510"/>
      <c r="V214" s="3510"/>
      <c r="W214" s="3510"/>
      <c r="X214" s="3510"/>
      <c r="Y214" s="3510"/>
      <c r="Z214" s="3510"/>
      <c r="AA214" s="3510"/>
      <c r="AB214" s="3510"/>
      <c r="AC214" s="3510"/>
    </row>
    <row r="215" spans="1:29">
      <c r="A215" s="3510"/>
      <c r="B215" s="3510"/>
      <c r="C215" s="3510"/>
      <c r="D215" s="3510"/>
      <c r="E215" s="3510"/>
      <c r="F215" s="3510"/>
      <c r="G215" s="3510"/>
      <c r="H215" s="3510"/>
      <c r="I215" s="3510"/>
      <c r="J215" s="3510"/>
      <c r="K215" s="3511"/>
      <c r="L215" s="3512"/>
      <c r="M215" s="3510"/>
      <c r="N215" s="3510"/>
      <c r="O215" s="3510"/>
      <c r="P215" s="3510"/>
      <c r="Q215" s="3510"/>
      <c r="R215" s="3510"/>
      <c r="S215" s="3510"/>
      <c r="T215" s="3510"/>
      <c r="U215" s="3510"/>
      <c r="V215" s="3510"/>
      <c r="W215" s="3510"/>
      <c r="X215" s="3510"/>
      <c r="Y215" s="3510"/>
      <c r="Z215" s="3510"/>
      <c r="AA215" s="3510"/>
      <c r="AB215" s="3510"/>
      <c r="AC215" s="3510"/>
    </row>
    <row r="216" spans="1:29">
      <c r="A216" s="3510"/>
      <c r="B216" s="3510"/>
      <c r="C216" s="3510"/>
      <c r="D216" s="3510"/>
      <c r="E216" s="3510"/>
      <c r="F216" s="3510"/>
      <c r="G216" s="3510"/>
      <c r="H216" s="3510"/>
      <c r="I216" s="3510"/>
      <c r="J216" s="3510"/>
      <c r="K216" s="3511"/>
      <c r="L216" s="3512"/>
      <c r="M216" s="3510"/>
      <c r="N216" s="3510"/>
      <c r="O216" s="3510"/>
      <c r="P216" s="3510"/>
      <c r="Q216" s="3510"/>
      <c r="R216" s="3510"/>
      <c r="S216" s="3510"/>
      <c r="T216" s="3510"/>
      <c r="U216" s="3510"/>
      <c r="V216" s="3510"/>
      <c r="W216" s="3510"/>
      <c r="X216" s="3510"/>
      <c r="Y216" s="3510"/>
      <c r="Z216" s="3510"/>
      <c r="AA216" s="3510"/>
      <c r="AB216" s="3510"/>
      <c r="AC216" s="3510"/>
    </row>
    <row r="217" spans="1:29">
      <c r="A217" s="3510"/>
      <c r="B217" s="3510"/>
      <c r="C217" s="3510"/>
      <c r="D217" s="3510"/>
      <c r="E217" s="3510"/>
      <c r="F217" s="3510"/>
      <c r="G217" s="3510"/>
      <c r="H217" s="3510"/>
      <c r="I217" s="3510"/>
      <c r="J217" s="3510"/>
      <c r="K217" s="3511"/>
      <c r="L217" s="3512"/>
      <c r="M217" s="3510"/>
      <c r="N217" s="3510"/>
      <c r="O217" s="3510"/>
      <c r="P217" s="3510"/>
      <c r="Q217" s="3510"/>
      <c r="R217" s="3510"/>
      <c r="S217" s="3510"/>
      <c r="T217" s="3510"/>
      <c r="U217" s="3510"/>
      <c r="V217" s="3510"/>
      <c r="W217" s="3510"/>
      <c r="X217" s="3510"/>
      <c r="Y217" s="3510"/>
      <c r="Z217" s="3510"/>
      <c r="AA217" s="3510"/>
      <c r="AB217" s="3510"/>
      <c r="AC217" s="3510"/>
    </row>
    <row r="218" spans="1:29">
      <c r="A218" s="3510"/>
      <c r="B218" s="3510"/>
      <c r="C218" s="3510"/>
      <c r="D218" s="3510"/>
      <c r="E218" s="3510"/>
      <c r="F218" s="3510"/>
      <c r="G218" s="3510"/>
      <c r="H218" s="3510"/>
      <c r="I218" s="3510"/>
      <c r="J218" s="3510"/>
      <c r="K218" s="3511"/>
      <c r="L218" s="3512"/>
      <c r="M218" s="3510"/>
      <c r="N218" s="3510"/>
      <c r="O218" s="3510"/>
      <c r="P218" s="3510"/>
      <c r="Q218" s="3510"/>
      <c r="R218" s="3510"/>
      <c r="S218" s="3510"/>
      <c r="T218" s="3510"/>
      <c r="U218" s="3510"/>
      <c r="V218" s="3510"/>
      <c r="W218" s="3510"/>
      <c r="X218" s="3510"/>
      <c r="Y218" s="3510"/>
      <c r="Z218" s="3510"/>
      <c r="AA218" s="3510"/>
      <c r="AB218" s="3510"/>
      <c r="AC218" s="3510"/>
    </row>
    <row r="219" spans="1:29">
      <c r="A219" s="3510"/>
      <c r="B219" s="3510"/>
      <c r="C219" s="3510"/>
      <c r="D219" s="3510"/>
      <c r="E219" s="3510"/>
      <c r="F219" s="3510"/>
      <c r="G219" s="3510"/>
      <c r="H219" s="3510"/>
      <c r="I219" s="3510"/>
      <c r="J219" s="3510"/>
      <c r="K219" s="3511"/>
      <c r="L219" s="3512"/>
      <c r="M219" s="3510"/>
      <c r="N219" s="3510"/>
      <c r="O219" s="3510"/>
      <c r="P219" s="3510"/>
      <c r="Q219" s="3510"/>
      <c r="R219" s="3510"/>
      <c r="S219" s="3510"/>
      <c r="T219" s="3510"/>
      <c r="U219" s="3510"/>
      <c r="V219" s="3510"/>
      <c r="W219" s="3510"/>
      <c r="X219" s="3510"/>
      <c r="Y219" s="3510"/>
      <c r="Z219" s="3510"/>
      <c r="AA219" s="3510"/>
      <c r="AB219" s="3510"/>
      <c r="AC219" s="3510"/>
    </row>
    <row r="220" spans="1:29">
      <c r="A220" s="3510"/>
      <c r="B220" s="3510"/>
      <c r="C220" s="3510"/>
      <c r="D220" s="3510"/>
      <c r="E220" s="3510"/>
      <c r="F220" s="3510"/>
      <c r="G220" s="3510"/>
      <c r="H220" s="3510"/>
      <c r="I220" s="3510"/>
      <c r="J220" s="3510"/>
      <c r="K220" s="3511"/>
      <c r="L220" s="3512"/>
      <c r="M220" s="3510"/>
      <c r="N220" s="3510"/>
      <c r="O220" s="3510"/>
      <c r="P220" s="3510"/>
      <c r="Q220" s="3510"/>
      <c r="R220" s="3510"/>
      <c r="S220" s="3510"/>
      <c r="T220" s="3510"/>
      <c r="U220" s="3510"/>
      <c r="V220" s="3510"/>
      <c r="W220" s="3510"/>
      <c r="X220" s="3510"/>
      <c r="Y220" s="3510"/>
      <c r="Z220" s="3510"/>
      <c r="AA220" s="3510"/>
      <c r="AB220" s="3510"/>
      <c r="AC220" s="3510"/>
    </row>
    <row r="221" spans="1:29">
      <c r="A221" s="3510"/>
      <c r="B221" s="3510"/>
      <c r="C221" s="3510"/>
      <c r="D221" s="3510"/>
      <c r="E221" s="3510"/>
      <c r="F221" s="3510"/>
      <c r="G221" s="3510"/>
      <c r="H221" s="3510"/>
      <c r="I221" s="3510"/>
      <c r="J221" s="3510"/>
      <c r="K221" s="3511"/>
      <c r="L221" s="3512"/>
      <c r="M221" s="3510"/>
      <c r="N221" s="3510"/>
      <c r="O221" s="3510"/>
      <c r="P221" s="3510"/>
      <c r="Q221" s="3510"/>
      <c r="R221" s="3510"/>
      <c r="S221" s="3510"/>
      <c r="T221" s="3510"/>
      <c r="U221" s="3510"/>
      <c r="V221" s="3510"/>
      <c r="W221" s="3510"/>
      <c r="X221" s="3510"/>
      <c r="Y221" s="3510"/>
      <c r="Z221" s="3510"/>
      <c r="AA221" s="3510"/>
      <c r="AB221" s="3510"/>
      <c r="AC221" s="3510"/>
    </row>
    <row r="222" spans="1:29">
      <c r="A222" s="3510"/>
      <c r="B222" s="3510"/>
      <c r="C222" s="3510"/>
      <c r="D222" s="3510"/>
      <c r="E222" s="3510"/>
      <c r="F222" s="3510"/>
      <c r="G222" s="3510"/>
      <c r="H222" s="3510"/>
      <c r="I222" s="3510"/>
      <c r="J222" s="3510"/>
      <c r="K222" s="3511"/>
      <c r="L222" s="3512"/>
      <c r="M222" s="3510"/>
      <c r="N222" s="3510"/>
      <c r="O222" s="3510"/>
      <c r="P222" s="3510"/>
      <c r="Q222" s="3510"/>
      <c r="R222" s="3510"/>
      <c r="S222" s="3510"/>
      <c r="T222" s="3510"/>
      <c r="U222" s="3510"/>
      <c r="V222" s="3510"/>
      <c r="W222" s="3510"/>
      <c r="X222" s="3510"/>
      <c r="Y222" s="3510"/>
      <c r="Z222" s="3510"/>
      <c r="AA222" s="3510"/>
      <c r="AB222" s="3510"/>
      <c r="AC222" s="3510"/>
    </row>
    <row r="223" spans="1:29">
      <c r="A223" s="3510"/>
      <c r="B223" s="3510"/>
      <c r="C223" s="3510"/>
      <c r="D223" s="3510"/>
      <c r="E223" s="3510"/>
      <c r="F223" s="3510"/>
      <c r="G223" s="3510"/>
      <c r="H223" s="3510"/>
      <c r="I223" s="3510"/>
      <c r="J223" s="3510"/>
      <c r="K223" s="3511"/>
      <c r="L223" s="3512"/>
      <c r="M223" s="3510"/>
      <c r="N223" s="3510"/>
      <c r="O223" s="3510"/>
      <c r="P223" s="3510"/>
      <c r="Q223" s="3510"/>
      <c r="R223" s="3510"/>
      <c r="S223" s="3510"/>
      <c r="T223" s="3510"/>
      <c r="U223" s="3510"/>
      <c r="V223" s="3510"/>
      <c r="W223" s="3510"/>
      <c r="X223" s="3510"/>
      <c r="Y223" s="3510"/>
      <c r="Z223" s="3510"/>
      <c r="AA223" s="3510"/>
      <c r="AB223" s="3510"/>
      <c r="AC223" s="3510"/>
    </row>
    <row r="224" spans="1:29">
      <c r="A224" s="3510"/>
      <c r="B224" s="3510"/>
      <c r="C224" s="3510"/>
      <c r="D224" s="3510"/>
      <c r="E224" s="3510"/>
      <c r="F224" s="3510"/>
      <c r="G224" s="3510"/>
      <c r="H224" s="3510"/>
      <c r="I224" s="3510"/>
      <c r="J224" s="3510"/>
      <c r="K224" s="3511"/>
      <c r="L224" s="3512"/>
      <c r="M224" s="3510"/>
      <c r="N224" s="3510"/>
      <c r="O224" s="3510"/>
      <c r="P224" s="3510"/>
      <c r="Q224" s="3510"/>
      <c r="R224" s="3510"/>
      <c r="S224" s="3510"/>
      <c r="T224" s="3510"/>
      <c r="U224" s="3510"/>
      <c r="V224" s="3510"/>
      <c r="W224" s="3510"/>
      <c r="X224" s="3510"/>
      <c r="Y224" s="3510"/>
      <c r="Z224" s="3510"/>
      <c r="AA224" s="3510"/>
      <c r="AB224" s="3510"/>
      <c r="AC224" s="3510"/>
    </row>
    <row r="225" spans="1:29">
      <c r="A225" s="3510"/>
      <c r="B225" s="3510"/>
      <c r="C225" s="3510"/>
      <c r="D225" s="3510"/>
      <c r="E225" s="3510"/>
      <c r="F225" s="3510"/>
      <c r="G225" s="3510"/>
      <c r="H225" s="3510"/>
      <c r="I225" s="3510"/>
      <c r="J225" s="3510"/>
      <c r="K225" s="3511"/>
      <c r="L225" s="3512"/>
      <c r="M225" s="3510"/>
      <c r="N225" s="3510"/>
      <c r="O225" s="3510"/>
      <c r="P225" s="3510"/>
      <c r="Q225" s="3510"/>
      <c r="R225" s="3510"/>
      <c r="S225" s="3510"/>
      <c r="T225" s="3510"/>
      <c r="U225" s="3510"/>
      <c r="V225" s="3510"/>
      <c r="W225" s="3510"/>
      <c r="X225" s="3510"/>
      <c r="Y225" s="3510"/>
      <c r="Z225" s="3510"/>
      <c r="AA225" s="3510"/>
      <c r="AB225" s="3510"/>
      <c r="AC225" s="3510"/>
    </row>
    <row r="226" spans="1:29">
      <c r="A226" s="3510"/>
      <c r="B226" s="3510"/>
      <c r="C226" s="3510"/>
      <c r="D226" s="3510"/>
      <c r="E226" s="3510"/>
      <c r="F226" s="3510"/>
      <c r="G226" s="3510"/>
      <c r="H226" s="3510"/>
      <c r="I226" s="3510"/>
      <c r="J226" s="3510"/>
      <c r="K226" s="3511"/>
      <c r="L226" s="3512"/>
      <c r="M226" s="3510"/>
      <c r="N226" s="3510"/>
      <c r="O226" s="3510"/>
      <c r="P226" s="3510"/>
      <c r="Q226" s="3510"/>
      <c r="R226" s="3510"/>
      <c r="S226" s="3510"/>
      <c r="T226" s="3510"/>
      <c r="U226" s="3510"/>
      <c r="V226" s="3510"/>
      <c r="W226" s="3510"/>
      <c r="X226" s="3510"/>
      <c r="Y226" s="3510"/>
      <c r="Z226" s="3510"/>
      <c r="AA226" s="3510"/>
      <c r="AB226" s="3510"/>
      <c r="AC226" s="3510"/>
    </row>
    <row r="227" spans="1:29">
      <c r="A227" s="3510"/>
      <c r="B227" s="3510"/>
      <c r="C227" s="3510"/>
      <c r="D227" s="3510"/>
      <c r="E227" s="3510"/>
      <c r="F227" s="3510"/>
      <c r="G227" s="3510"/>
      <c r="H227" s="3510"/>
      <c r="I227" s="3510"/>
      <c r="J227" s="3510"/>
      <c r="K227" s="3511"/>
      <c r="L227" s="3512"/>
      <c r="M227" s="3510"/>
      <c r="N227" s="3510"/>
      <c r="O227" s="3510"/>
      <c r="P227" s="3510"/>
      <c r="Q227" s="3510"/>
      <c r="R227" s="3510"/>
      <c r="S227" s="3510"/>
      <c r="T227" s="3510"/>
      <c r="U227" s="3510"/>
      <c r="V227" s="3510"/>
      <c r="W227" s="3510"/>
      <c r="X227" s="3510"/>
      <c r="Y227" s="3510"/>
      <c r="Z227" s="3510"/>
      <c r="AA227" s="3510"/>
      <c r="AB227" s="3510"/>
      <c r="AC227" s="3510"/>
    </row>
    <row r="228" spans="1:29">
      <c r="A228" s="3510"/>
      <c r="B228" s="3510"/>
      <c r="C228" s="3510"/>
      <c r="D228" s="3510"/>
      <c r="E228" s="3510"/>
      <c r="F228" s="3510"/>
      <c r="G228" s="3510"/>
      <c r="H228" s="3510"/>
      <c r="I228" s="3510"/>
      <c r="J228" s="3510"/>
      <c r="K228" s="3511"/>
      <c r="L228" s="3512"/>
      <c r="M228" s="3510"/>
      <c r="N228" s="3510"/>
      <c r="O228" s="3510"/>
      <c r="P228" s="3510"/>
      <c r="Q228" s="3510"/>
      <c r="R228" s="3510"/>
      <c r="S228" s="3510"/>
      <c r="T228" s="3510"/>
      <c r="U228" s="3510"/>
      <c r="V228" s="3510"/>
      <c r="W228" s="3510"/>
      <c r="X228" s="3510"/>
      <c r="Y228" s="3510"/>
      <c r="Z228" s="3510"/>
      <c r="AA228" s="3510"/>
      <c r="AB228" s="3510"/>
      <c r="AC228" s="3510"/>
    </row>
    <row r="229" spans="1:29">
      <c r="A229" s="3510"/>
      <c r="B229" s="3510"/>
      <c r="C229" s="3510"/>
      <c r="D229" s="3510"/>
      <c r="E229" s="3510"/>
      <c r="F229" s="3510"/>
      <c r="G229" s="3510"/>
      <c r="H229" s="3510"/>
      <c r="I229" s="3510"/>
      <c r="J229" s="3510"/>
      <c r="K229" s="3511"/>
      <c r="L229" s="3512"/>
      <c r="M229" s="3510"/>
      <c r="N229" s="3510"/>
      <c r="O229" s="3510"/>
      <c r="P229" s="3510"/>
      <c r="Q229" s="3510"/>
      <c r="R229" s="3510"/>
      <c r="S229" s="3510"/>
      <c r="T229" s="3510"/>
      <c r="U229" s="3510"/>
      <c r="V229" s="3510"/>
      <c r="W229" s="3510"/>
      <c r="X229" s="3510"/>
      <c r="Y229" s="3510"/>
      <c r="Z229" s="3510"/>
      <c r="AA229" s="3510"/>
      <c r="AB229" s="3510"/>
      <c r="AC229" s="3510"/>
    </row>
    <row r="230" spans="1:29">
      <c r="A230" s="3510"/>
      <c r="B230" s="3510"/>
      <c r="C230" s="3510"/>
      <c r="D230" s="3510"/>
      <c r="E230" s="3510"/>
      <c r="F230" s="3510"/>
      <c r="G230" s="3510"/>
      <c r="H230" s="3510"/>
      <c r="I230" s="3510"/>
      <c r="J230" s="3510"/>
      <c r="K230" s="3511"/>
      <c r="L230" s="3512"/>
      <c r="M230" s="3510"/>
      <c r="N230" s="3510"/>
      <c r="O230" s="3510"/>
      <c r="P230" s="3510"/>
      <c r="Q230" s="3510"/>
      <c r="R230" s="3510"/>
      <c r="S230" s="3510"/>
      <c r="T230" s="3510"/>
      <c r="U230" s="3510"/>
      <c r="V230" s="3510"/>
      <c r="W230" s="3510"/>
      <c r="X230" s="3510"/>
      <c r="Y230" s="3510"/>
      <c r="Z230" s="3510"/>
      <c r="AA230" s="3510"/>
      <c r="AB230" s="3510"/>
      <c r="AC230" s="3510"/>
    </row>
    <row r="231" spans="1:29">
      <c r="A231" s="3510"/>
      <c r="B231" s="3510"/>
      <c r="C231" s="3510"/>
      <c r="D231" s="3510"/>
      <c r="E231" s="3510"/>
      <c r="F231" s="3510"/>
      <c r="G231" s="3510"/>
      <c r="H231" s="3510"/>
      <c r="I231" s="3510"/>
      <c r="J231" s="3510"/>
      <c r="K231" s="3511"/>
      <c r="L231" s="3512"/>
      <c r="M231" s="3510"/>
      <c r="N231" s="3510"/>
      <c r="O231" s="3510"/>
      <c r="P231" s="3510"/>
      <c r="Q231" s="3510"/>
      <c r="R231" s="3510"/>
      <c r="S231" s="3510"/>
      <c r="T231" s="3510"/>
      <c r="U231" s="3510"/>
      <c r="V231" s="3510"/>
      <c r="W231" s="3510"/>
      <c r="X231" s="3510"/>
      <c r="Y231" s="3510"/>
      <c r="Z231" s="3510"/>
      <c r="AA231" s="3510"/>
      <c r="AB231" s="3510"/>
      <c r="AC231" s="3510"/>
    </row>
    <row r="232" spans="1:29">
      <c r="A232" s="3510"/>
      <c r="B232" s="3510"/>
      <c r="C232" s="3510"/>
      <c r="D232" s="3510"/>
      <c r="E232" s="3510"/>
      <c r="F232" s="3510"/>
      <c r="G232" s="3510"/>
      <c r="H232" s="3510"/>
      <c r="I232" s="3510"/>
      <c r="J232" s="3510"/>
      <c r="K232" s="3511"/>
      <c r="L232" s="3512"/>
      <c r="M232" s="3510"/>
      <c r="N232" s="3510"/>
      <c r="O232" s="3510"/>
      <c r="P232" s="3510"/>
      <c r="Q232" s="3510"/>
      <c r="R232" s="3510"/>
      <c r="S232" s="3510"/>
      <c r="T232" s="3510"/>
      <c r="U232" s="3510"/>
      <c r="V232" s="3510"/>
      <c r="W232" s="3510"/>
      <c r="X232" s="3510"/>
      <c r="Y232" s="3510"/>
      <c r="Z232" s="3510"/>
      <c r="AA232" s="3510"/>
      <c r="AB232" s="3510"/>
      <c r="AC232" s="3510"/>
    </row>
    <row r="233" spans="1:29">
      <c r="A233" s="3510"/>
      <c r="B233" s="3510"/>
      <c r="C233" s="3510"/>
      <c r="D233" s="3510"/>
      <c r="E233" s="3510"/>
      <c r="F233" s="3510"/>
      <c r="G233" s="3510"/>
      <c r="H233" s="3510"/>
      <c r="I233" s="3510"/>
      <c r="J233" s="3510"/>
      <c r="K233" s="3511"/>
      <c r="L233" s="3512"/>
      <c r="M233" s="3510"/>
      <c r="N233" s="3510"/>
      <c r="O233" s="3510"/>
      <c r="P233" s="3510"/>
      <c r="Q233" s="3510"/>
      <c r="R233" s="3510"/>
      <c r="S233" s="3510"/>
      <c r="T233" s="3510"/>
      <c r="U233" s="3510"/>
      <c r="V233" s="3510"/>
      <c r="W233" s="3510"/>
      <c r="X233" s="3510"/>
      <c r="Y233" s="3510"/>
      <c r="Z233" s="3510"/>
      <c r="AA233" s="3510"/>
      <c r="AB233" s="3510"/>
      <c r="AC233" s="3510"/>
    </row>
    <row r="234" spans="1:29">
      <c r="A234" s="3510"/>
      <c r="B234" s="3510"/>
      <c r="C234" s="3510"/>
      <c r="D234" s="3510"/>
      <c r="E234" s="3510"/>
      <c r="F234" s="3510"/>
      <c r="G234" s="3510"/>
      <c r="H234" s="3510"/>
      <c r="I234" s="3510"/>
      <c r="J234" s="3510"/>
      <c r="K234" s="3511"/>
      <c r="L234" s="3512"/>
      <c r="M234" s="3510"/>
      <c r="N234" s="3510"/>
      <c r="O234" s="3510"/>
      <c r="P234" s="3510"/>
      <c r="Q234" s="3510"/>
      <c r="R234" s="3510"/>
      <c r="S234" s="3510"/>
      <c r="T234" s="3510"/>
      <c r="U234" s="3510"/>
      <c r="V234" s="3510"/>
      <c r="W234" s="3510"/>
      <c r="X234" s="3510"/>
      <c r="Y234" s="3510"/>
      <c r="Z234" s="3510"/>
      <c r="AA234" s="3510"/>
      <c r="AB234" s="3510"/>
      <c r="AC234" s="3510"/>
    </row>
    <row r="235" spans="1:29">
      <c r="A235" s="3510"/>
      <c r="B235" s="3510"/>
      <c r="C235" s="3510"/>
      <c r="D235" s="3510"/>
      <c r="E235" s="3510"/>
      <c r="F235" s="3510"/>
      <c r="G235" s="3510"/>
      <c r="H235" s="3510"/>
      <c r="I235" s="3510"/>
      <c r="J235" s="3510"/>
      <c r="K235" s="3511"/>
      <c r="L235" s="3512"/>
      <c r="M235" s="3510"/>
      <c r="N235" s="3510"/>
      <c r="O235" s="3510"/>
      <c r="P235" s="3510"/>
      <c r="Q235" s="3510"/>
      <c r="R235" s="3510"/>
      <c r="S235" s="3510"/>
      <c r="T235" s="3510"/>
      <c r="U235" s="3510"/>
      <c r="V235" s="3510"/>
      <c r="W235" s="3510"/>
      <c r="X235" s="3510"/>
      <c r="Y235" s="3510"/>
      <c r="Z235" s="3510"/>
      <c r="AA235" s="3510"/>
      <c r="AB235" s="3510"/>
      <c r="AC235" s="3510"/>
    </row>
    <row r="236" spans="1:29">
      <c r="A236" s="3510"/>
      <c r="B236" s="3510"/>
      <c r="C236" s="3510"/>
      <c r="D236" s="3510"/>
      <c r="E236" s="3510"/>
      <c r="F236" s="3510"/>
      <c r="G236" s="3510"/>
      <c r="H236" s="3510"/>
      <c r="I236" s="3510"/>
      <c r="J236" s="3510"/>
      <c r="K236" s="3511"/>
      <c r="L236" s="3512"/>
      <c r="M236" s="3510"/>
      <c r="N236" s="3510"/>
      <c r="O236" s="3510"/>
      <c r="P236" s="3510"/>
      <c r="Q236" s="3510"/>
      <c r="R236" s="3510"/>
      <c r="S236" s="3510"/>
      <c r="T236" s="3510"/>
      <c r="U236" s="3510"/>
      <c r="V236" s="3510"/>
      <c r="W236" s="3510"/>
      <c r="X236" s="3510"/>
      <c r="Y236" s="3510"/>
      <c r="Z236" s="3510"/>
      <c r="AA236" s="3510"/>
      <c r="AB236" s="3510"/>
      <c r="AC236" s="3510"/>
    </row>
    <row r="237" spans="1:29">
      <c r="A237" s="3510"/>
      <c r="B237" s="3510"/>
      <c r="C237" s="3510"/>
      <c r="D237" s="3510"/>
      <c r="E237" s="3510"/>
      <c r="F237" s="3510"/>
      <c r="G237" s="3510"/>
      <c r="H237" s="3510"/>
      <c r="I237" s="3510"/>
      <c r="J237" s="3510"/>
      <c r="K237" s="3511"/>
      <c r="L237" s="3512"/>
      <c r="M237" s="3510"/>
      <c r="N237" s="3510"/>
      <c r="O237" s="3510"/>
      <c r="P237" s="3510"/>
      <c r="Q237" s="3510"/>
      <c r="R237" s="3510"/>
      <c r="S237" s="3510"/>
      <c r="T237" s="3510"/>
      <c r="U237" s="3510"/>
      <c r="V237" s="3510"/>
      <c r="W237" s="3510"/>
      <c r="X237" s="3510"/>
      <c r="Y237" s="3510"/>
      <c r="Z237" s="3510"/>
      <c r="AA237" s="3510"/>
      <c r="AB237" s="3510"/>
      <c r="AC237" s="3510"/>
    </row>
    <row r="238" spans="1:29">
      <c r="A238" s="3510"/>
      <c r="B238" s="3510"/>
      <c r="C238" s="3510"/>
      <c r="D238" s="3510"/>
      <c r="E238" s="3510"/>
      <c r="F238" s="3510"/>
      <c r="G238" s="3510"/>
      <c r="H238" s="3510"/>
      <c r="I238" s="3510"/>
      <c r="J238" s="3510"/>
      <c r="K238" s="3511"/>
      <c r="L238" s="3512"/>
      <c r="M238" s="3510"/>
      <c r="N238" s="3510"/>
      <c r="O238" s="3510"/>
      <c r="P238" s="3510"/>
      <c r="Q238" s="3510"/>
      <c r="R238" s="3510"/>
      <c r="S238" s="3510"/>
      <c r="T238" s="3510"/>
      <c r="U238" s="3510"/>
      <c r="V238" s="3510"/>
      <c r="W238" s="3510"/>
      <c r="X238" s="3510"/>
      <c r="Y238" s="3510"/>
      <c r="Z238" s="3510"/>
      <c r="AA238" s="3510"/>
      <c r="AB238" s="3510"/>
      <c r="AC238" s="3510"/>
    </row>
    <row r="239" spans="1:29">
      <c r="A239" s="3510"/>
      <c r="B239" s="3510"/>
      <c r="C239" s="3510"/>
      <c r="D239" s="3510"/>
      <c r="E239" s="3510"/>
      <c r="F239" s="3510"/>
      <c r="G239" s="3510"/>
      <c r="H239" s="3510"/>
      <c r="I239" s="3510"/>
      <c r="J239" s="3510"/>
      <c r="K239" s="3511"/>
      <c r="L239" s="3512"/>
      <c r="M239" s="3510"/>
      <c r="N239" s="3510"/>
      <c r="O239" s="3510"/>
      <c r="P239" s="3510"/>
      <c r="Q239" s="3510"/>
      <c r="R239" s="3510"/>
      <c r="S239" s="3510"/>
      <c r="T239" s="3510"/>
      <c r="U239" s="3510"/>
      <c r="V239" s="3510"/>
      <c r="W239" s="3510"/>
      <c r="X239" s="3510"/>
      <c r="Y239" s="3510"/>
      <c r="Z239" s="3510"/>
      <c r="AA239" s="3510"/>
      <c r="AB239" s="3510"/>
      <c r="AC239" s="3510"/>
    </row>
    <row r="240" spans="1:29">
      <c r="A240" s="3510"/>
      <c r="B240" s="3510"/>
      <c r="C240" s="3510"/>
      <c r="D240" s="3510"/>
      <c r="E240" s="3510"/>
      <c r="F240" s="3510"/>
      <c r="G240" s="3510"/>
      <c r="H240" s="3510"/>
      <c r="I240" s="3510"/>
      <c r="J240" s="3510"/>
      <c r="K240" s="3511"/>
      <c r="L240" s="3512"/>
      <c r="M240" s="3510"/>
      <c r="N240" s="3510"/>
      <c r="O240" s="3510"/>
      <c r="P240" s="3510"/>
      <c r="Q240" s="3510"/>
      <c r="R240" s="3510"/>
      <c r="S240" s="3510"/>
      <c r="T240" s="3510"/>
      <c r="U240" s="3510"/>
      <c r="V240" s="3510"/>
      <c r="W240" s="3510"/>
      <c r="X240" s="3510"/>
      <c r="Y240" s="3510"/>
      <c r="Z240" s="3510"/>
      <c r="AA240" s="3510"/>
      <c r="AB240" s="3510"/>
      <c r="AC240" s="3510"/>
    </row>
    <row r="241" spans="1:29">
      <c r="A241" s="3510"/>
      <c r="B241" s="3510"/>
      <c r="C241" s="3510"/>
      <c r="D241" s="3510"/>
      <c r="E241" s="3510"/>
      <c r="F241" s="3510"/>
      <c r="G241" s="3510"/>
      <c r="H241" s="3510"/>
      <c r="I241" s="3510"/>
      <c r="J241" s="3510"/>
      <c r="K241" s="3511"/>
      <c r="L241" s="3512"/>
      <c r="M241" s="3510"/>
      <c r="N241" s="3510"/>
      <c r="O241" s="3510"/>
      <c r="P241" s="3510"/>
      <c r="Q241" s="3510"/>
      <c r="R241" s="3510"/>
      <c r="S241" s="3510"/>
      <c r="T241" s="3510"/>
      <c r="U241" s="3510"/>
      <c r="V241" s="3510"/>
      <c r="W241" s="3510"/>
      <c r="X241" s="3510"/>
      <c r="Y241" s="3510"/>
      <c r="Z241" s="3510"/>
      <c r="AA241" s="3510"/>
      <c r="AB241" s="3510"/>
      <c r="AC241" s="3510"/>
    </row>
    <row r="242" spans="1:29">
      <c r="A242" s="3510"/>
      <c r="B242" s="3510"/>
      <c r="C242" s="3510"/>
      <c r="D242" s="3510"/>
      <c r="E242" s="3510"/>
      <c r="F242" s="3510"/>
      <c r="G242" s="3510"/>
      <c r="H242" s="3510"/>
      <c r="I242" s="3510"/>
      <c r="J242" s="3510"/>
      <c r="K242" s="3511"/>
      <c r="L242" s="3512"/>
      <c r="M242" s="3510"/>
      <c r="N242" s="3510"/>
      <c r="O242" s="3510"/>
      <c r="P242" s="3510"/>
      <c r="Q242" s="3510"/>
      <c r="R242" s="3510"/>
      <c r="S242" s="3510"/>
      <c r="T242" s="3510"/>
      <c r="U242" s="3510"/>
      <c r="V242" s="3510"/>
      <c r="W242" s="3510"/>
      <c r="X242" s="3510"/>
      <c r="Y242" s="3510"/>
      <c r="Z242" s="3510"/>
      <c r="AA242" s="3510"/>
      <c r="AB242" s="3510"/>
      <c r="AC242" s="3510"/>
    </row>
    <row r="243" spans="1:29">
      <c r="A243" s="3510"/>
      <c r="B243" s="3510"/>
      <c r="C243" s="3510"/>
      <c r="D243" s="3510"/>
      <c r="E243" s="3510"/>
      <c r="F243" s="3510"/>
      <c r="G243" s="3510"/>
      <c r="H243" s="3510"/>
      <c r="I243" s="3510"/>
      <c r="J243" s="3510"/>
      <c r="K243" s="3511"/>
      <c r="L243" s="3512"/>
      <c r="M243" s="3510"/>
      <c r="N243" s="3510"/>
      <c r="O243" s="3510"/>
      <c r="P243" s="3510"/>
      <c r="Q243" s="3510"/>
      <c r="R243" s="3510"/>
      <c r="S243" s="3510"/>
      <c r="T243" s="3510"/>
      <c r="U243" s="3510"/>
      <c r="V243" s="3510"/>
      <c r="W243" s="3510"/>
      <c r="X243" s="3510"/>
      <c r="Y243" s="3510"/>
      <c r="Z243" s="3510"/>
      <c r="AA243" s="3510"/>
      <c r="AB243" s="3510"/>
      <c r="AC243" s="3510"/>
    </row>
    <row r="244" spans="1:29">
      <c r="A244" s="3510"/>
      <c r="B244" s="3510"/>
      <c r="C244" s="3510"/>
      <c r="D244" s="3510"/>
      <c r="E244" s="3510"/>
      <c r="F244" s="3510"/>
      <c r="G244" s="3510"/>
      <c r="H244" s="3510"/>
      <c r="I244" s="3510"/>
      <c r="J244" s="3510"/>
      <c r="K244" s="3511"/>
      <c r="L244" s="3512"/>
      <c r="M244" s="3510"/>
      <c r="N244" s="3510"/>
      <c r="O244" s="3510"/>
      <c r="P244" s="3510"/>
      <c r="Q244" s="3510"/>
      <c r="R244" s="3510"/>
      <c r="S244" s="3510"/>
      <c r="T244" s="3510"/>
      <c r="U244" s="3510"/>
      <c r="V244" s="3510"/>
      <c r="W244" s="3510"/>
      <c r="X244" s="3510"/>
      <c r="Y244" s="3510"/>
      <c r="Z244" s="3510"/>
      <c r="AA244" s="3510"/>
      <c r="AB244" s="3510"/>
      <c r="AC244" s="3510"/>
    </row>
    <row r="245" spans="1:29">
      <c r="A245" s="3510"/>
      <c r="B245" s="3510"/>
      <c r="C245" s="3510"/>
      <c r="D245" s="3510"/>
      <c r="E245" s="3510"/>
      <c r="F245" s="3510"/>
      <c r="G245" s="3510"/>
      <c r="H245" s="3510"/>
      <c r="I245" s="3510"/>
      <c r="J245" s="3510"/>
      <c r="K245" s="3511"/>
      <c r="L245" s="3512"/>
      <c r="M245" s="3510"/>
      <c r="N245" s="3510"/>
      <c r="O245" s="3510"/>
      <c r="P245" s="3510"/>
      <c r="Q245" s="3510"/>
      <c r="R245" s="3510"/>
      <c r="S245" s="3510"/>
      <c r="T245" s="3510"/>
      <c r="U245" s="3510"/>
      <c r="V245" s="3510"/>
      <c r="W245" s="3510"/>
      <c r="X245" s="3510"/>
      <c r="Y245" s="3510"/>
      <c r="Z245" s="3510"/>
      <c r="AA245" s="3510"/>
      <c r="AB245" s="3510"/>
      <c r="AC245" s="3510"/>
    </row>
    <row r="246" spans="1:29">
      <c r="A246" s="3510"/>
      <c r="B246" s="3510"/>
      <c r="C246" s="3510"/>
      <c r="D246" s="3510"/>
      <c r="E246" s="3510"/>
      <c r="F246" s="3510"/>
      <c r="G246" s="3510"/>
      <c r="H246" s="3510"/>
      <c r="I246" s="3510"/>
      <c r="J246" s="3510"/>
      <c r="K246" s="3511"/>
      <c r="L246" s="3512"/>
      <c r="M246" s="3510"/>
      <c r="N246" s="3510"/>
      <c r="O246" s="3510"/>
      <c r="P246" s="3510"/>
      <c r="Q246" s="3510"/>
      <c r="R246" s="3510"/>
      <c r="S246" s="3510"/>
      <c r="T246" s="3510"/>
      <c r="U246" s="3510"/>
      <c r="V246" s="3510"/>
      <c r="W246" s="3510"/>
      <c r="X246" s="3510"/>
      <c r="Y246" s="3510"/>
      <c r="Z246" s="3510"/>
      <c r="AA246" s="3510"/>
      <c r="AB246" s="3510"/>
      <c r="AC246" s="3510"/>
    </row>
    <row r="247" spans="1:29">
      <c r="A247" s="3510"/>
      <c r="B247" s="3510"/>
      <c r="C247" s="3510"/>
      <c r="D247" s="3510"/>
      <c r="E247" s="3510"/>
      <c r="F247" s="3510"/>
      <c r="G247" s="3510"/>
      <c r="H247" s="3510"/>
      <c r="I247" s="3510"/>
      <c r="J247" s="3510"/>
      <c r="K247" s="3511"/>
      <c r="L247" s="3512"/>
      <c r="M247" s="3510"/>
      <c r="N247" s="3510"/>
      <c r="O247" s="3510"/>
      <c r="P247" s="3510"/>
      <c r="Q247" s="3510"/>
      <c r="R247" s="3510"/>
      <c r="S247" s="3510"/>
      <c r="T247" s="3510"/>
      <c r="U247" s="3510"/>
      <c r="V247" s="3510"/>
      <c r="W247" s="3510"/>
      <c r="X247" s="3510"/>
      <c r="Y247" s="3510"/>
      <c r="Z247" s="3510"/>
      <c r="AA247" s="3510"/>
      <c r="AB247" s="3510"/>
      <c r="AC247" s="3510"/>
    </row>
    <row r="248" spans="1:29">
      <c r="A248" s="3510"/>
      <c r="B248" s="3510"/>
      <c r="C248" s="3510"/>
      <c r="D248" s="3510"/>
      <c r="E248" s="3510"/>
      <c r="F248" s="3510"/>
      <c r="G248" s="3510"/>
      <c r="H248" s="3510"/>
      <c r="I248" s="3510"/>
      <c r="J248" s="3510"/>
      <c r="K248" s="3511"/>
      <c r="L248" s="3512"/>
      <c r="M248" s="3510"/>
      <c r="N248" s="3510"/>
      <c r="O248" s="3510"/>
      <c r="P248" s="3510"/>
      <c r="Q248" s="3510"/>
      <c r="R248" s="3510"/>
      <c r="S248" s="3510"/>
      <c r="T248" s="3510"/>
      <c r="U248" s="3510"/>
      <c r="V248" s="3510"/>
      <c r="W248" s="3510"/>
      <c r="X248" s="3510"/>
      <c r="Y248" s="3510"/>
      <c r="Z248" s="3510"/>
      <c r="AA248" s="3510"/>
      <c r="AB248" s="3510"/>
      <c r="AC248" s="3510"/>
    </row>
    <row r="249" spans="1:29">
      <c r="A249" s="3510"/>
      <c r="B249" s="3510"/>
      <c r="C249" s="3510"/>
      <c r="D249" s="3510"/>
      <c r="E249" s="3510"/>
      <c r="F249" s="3510"/>
      <c r="G249" s="3510"/>
      <c r="H249" s="3510"/>
      <c r="I249" s="3510"/>
      <c r="J249" s="3510"/>
      <c r="K249" s="3511"/>
      <c r="L249" s="3512"/>
      <c r="M249" s="3510"/>
      <c r="N249" s="3510"/>
      <c r="O249" s="3510"/>
      <c r="P249" s="3510"/>
      <c r="Q249" s="3510"/>
      <c r="R249" s="3510"/>
      <c r="S249" s="3510"/>
      <c r="T249" s="3510"/>
      <c r="U249" s="3510"/>
      <c r="V249" s="3510"/>
      <c r="W249" s="3510"/>
      <c r="X249" s="3510"/>
      <c r="Y249" s="3510"/>
      <c r="Z249" s="3510"/>
      <c r="AA249" s="3510"/>
      <c r="AB249" s="3510"/>
      <c r="AC249" s="3510"/>
    </row>
    <row r="250" spans="1:29">
      <c r="A250" s="3510"/>
      <c r="B250" s="3510"/>
      <c r="C250" s="3510"/>
      <c r="D250" s="3510"/>
      <c r="E250" s="3510"/>
      <c r="F250" s="3510"/>
      <c r="G250" s="3510"/>
      <c r="H250" s="3510"/>
      <c r="I250" s="3510"/>
      <c r="J250" s="3510"/>
      <c r="K250" s="3511"/>
      <c r="L250" s="3512"/>
      <c r="M250" s="3510"/>
      <c r="N250" s="3510"/>
      <c r="O250" s="3510"/>
      <c r="P250" s="3510"/>
      <c r="Q250" s="3510"/>
      <c r="R250" s="3510"/>
      <c r="S250" s="3510"/>
      <c r="T250" s="3510"/>
      <c r="U250" s="3510"/>
      <c r="V250" s="3510"/>
      <c r="W250" s="3510"/>
      <c r="X250" s="3510"/>
      <c r="Y250" s="3510"/>
      <c r="Z250" s="3510"/>
      <c r="AA250" s="3510"/>
      <c r="AB250" s="3510"/>
      <c r="AC250" s="3510"/>
    </row>
    <row r="251" spans="1:29">
      <c r="A251" s="3510"/>
      <c r="B251" s="3510"/>
      <c r="C251" s="3510"/>
      <c r="D251" s="3510"/>
      <c r="E251" s="3510"/>
      <c r="F251" s="3510"/>
      <c r="G251" s="3510"/>
      <c r="H251" s="3510"/>
      <c r="I251" s="3510"/>
      <c r="J251" s="3510"/>
      <c r="K251" s="3511"/>
      <c r="L251" s="3512"/>
      <c r="M251" s="3510"/>
      <c r="N251" s="3510"/>
      <c r="O251" s="3510"/>
      <c r="P251" s="3510"/>
      <c r="Q251" s="3510"/>
      <c r="R251" s="3510"/>
      <c r="S251" s="3510"/>
      <c r="T251" s="3510"/>
      <c r="U251" s="3510"/>
      <c r="V251" s="3510"/>
      <c r="W251" s="3510"/>
      <c r="X251" s="3510"/>
      <c r="Y251" s="3510"/>
      <c r="Z251" s="3510"/>
      <c r="AA251" s="3510"/>
      <c r="AB251" s="3510"/>
      <c r="AC251" s="3510"/>
    </row>
    <row r="252" spans="1:29">
      <c r="A252" s="3510"/>
      <c r="B252" s="3510"/>
      <c r="C252" s="3510"/>
      <c r="D252" s="3510"/>
      <c r="E252" s="3510"/>
      <c r="F252" s="3510"/>
      <c r="G252" s="3510"/>
      <c r="H252" s="3510"/>
      <c r="I252" s="3510"/>
      <c r="J252" s="3510"/>
      <c r="K252" s="3511"/>
      <c r="L252" s="3512"/>
      <c r="M252" s="3510"/>
      <c r="N252" s="3510"/>
      <c r="O252" s="3510"/>
      <c r="P252" s="3510"/>
      <c r="Q252" s="3510"/>
      <c r="R252" s="3510"/>
      <c r="S252" s="3510"/>
      <c r="T252" s="3510"/>
      <c r="U252" s="3510"/>
      <c r="V252" s="3510"/>
      <c r="W252" s="3510"/>
      <c r="X252" s="3510"/>
      <c r="Y252" s="3510"/>
      <c r="Z252" s="3510"/>
      <c r="AA252" s="3510"/>
      <c r="AB252" s="3510"/>
      <c r="AC252" s="3510"/>
    </row>
    <row r="253" spans="1:29">
      <c r="A253" s="3510"/>
      <c r="B253" s="3510"/>
      <c r="C253" s="3510"/>
      <c r="D253" s="3510"/>
      <c r="E253" s="3510"/>
      <c r="F253" s="3510"/>
      <c r="G253" s="3510"/>
      <c r="H253" s="3510"/>
      <c r="I253" s="3510"/>
      <c r="J253" s="3510"/>
      <c r="K253" s="3511"/>
      <c r="L253" s="3512"/>
      <c r="M253" s="3510"/>
      <c r="N253" s="3510"/>
      <c r="O253" s="3510"/>
      <c r="P253" s="3510"/>
      <c r="Q253" s="3510"/>
      <c r="R253" s="3510"/>
      <c r="S253" s="3510"/>
      <c r="T253" s="3510"/>
      <c r="U253" s="3510"/>
      <c r="V253" s="3510"/>
      <c r="W253" s="3510"/>
      <c r="X253" s="3510"/>
      <c r="Y253" s="3510"/>
      <c r="Z253" s="3510"/>
      <c r="AA253" s="3510"/>
      <c r="AB253" s="3510"/>
      <c r="AC253" s="3510"/>
    </row>
    <row r="254" spans="1:29">
      <c r="A254" s="3510"/>
      <c r="B254" s="3510"/>
      <c r="C254" s="3510"/>
      <c r="D254" s="3510"/>
      <c r="E254" s="3510"/>
      <c r="F254" s="3510"/>
      <c r="G254" s="3510"/>
      <c r="H254" s="3510"/>
      <c r="I254" s="3510"/>
      <c r="J254" s="3510"/>
      <c r="K254" s="3511"/>
      <c r="L254" s="3512"/>
      <c r="M254" s="3510"/>
      <c r="N254" s="3510"/>
      <c r="O254" s="3510"/>
      <c r="P254" s="3510"/>
      <c r="Q254" s="3510"/>
      <c r="R254" s="3510"/>
      <c r="S254" s="3510"/>
      <c r="T254" s="3510"/>
      <c r="U254" s="3510"/>
      <c r="V254" s="3510"/>
      <c r="W254" s="3510"/>
      <c r="X254" s="3510"/>
      <c r="Y254" s="3510"/>
      <c r="Z254" s="3510"/>
      <c r="AA254" s="3510"/>
      <c r="AB254" s="3510"/>
      <c r="AC254" s="3510"/>
    </row>
    <row r="255" spans="1:29">
      <c r="A255" s="3510"/>
      <c r="B255" s="3510"/>
      <c r="C255" s="3510"/>
      <c r="D255" s="3510"/>
      <c r="E255" s="3510"/>
      <c r="F255" s="3510"/>
      <c r="G255" s="3510"/>
      <c r="H255" s="3510"/>
      <c r="I255" s="3510"/>
      <c r="J255" s="3510"/>
      <c r="K255" s="3511"/>
      <c r="L255" s="3512"/>
      <c r="M255" s="3510"/>
      <c r="N255" s="3510"/>
      <c r="O255" s="3510"/>
      <c r="P255" s="3510"/>
      <c r="Q255" s="3510"/>
      <c r="R255" s="3510"/>
      <c r="S255" s="3510"/>
      <c r="T255" s="3510"/>
      <c r="U255" s="3510"/>
      <c r="V255" s="3510"/>
      <c r="W255" s="3510"/>
      <c r="X255" s="3510"/>
      <c r="Y255" s="3510"/>
      <c r="Z255" s="3510"/>
      <c r="AA255" s="3510"/>
      <c r="AB255" s="3510"/>
      <c r="AC255" s="3510"/>
    </row>
    <row r="256" spans="1:29">
      <c r="A256" s="3510"/>
      <c r="B256" s="3510"/>
      <c r="C256" s="3510"/>
      <c r="D256" s="3510"/>
      <c r="E256" s="3510"/>
      <c r="F256" s="3510"/>
      <c r="G256" s="3510"/>
      <c r="H256" s="3510"/>
      <c r="I256" s="3510"/>
      <c r="J256" s="3510"/>
      <c r="K256" s="3511"/>
      <c r="L256" s="3512"/>
      <c r="M256" s="3510"/>
      <c r="N256" s="3510"/>
      <c r="O256" s="3510"/>
      <c r="P256" s="3510"/>
      <c r="Q256" s="3510"/>
      <c r="R256" s="3510"/>
      <c r="S256" s="3510"/>
      <c r="T256" s="3510"/>
      <c r="U256" s="3510"/>
      <c r="V256" s="3510"/>
      <c r="W256" s="3510"/>
      <c r="X256" s="3510"/>
      <c r="Y256" s="3510"/>
      <c r="Z256" s="3510"/>
      <c r="AA256" s="3510"/>
      <c r="AB256" s="3510"/>
      <c r="AC256" s="3510"/>
    </row>
    <row r="257" spans="1:29">
      <c r="A257" s="3510"/>
      <c r="B257" s="3510"/>
      <c r="C257" s="3510"/>
      <c r="D257" s="3510"/>
      <c r="E257" s="3510"/>
      <c r="F257" s="3510"/>
      <c r="G257" s="3510"/>
      <c r="H257" s="3510"/>
      <c r="I257" s="3510"/>
      <c r="J257" s="3510"/>
      <c r="K257" s="3511"/>
      <c r="L257" s="3512"/>
      <c r="M257" s="3510"/>
      <c r="N257" s="3510"/>
      <c r="O257" s="3510"/>
      <c r="P257" s="3510"/>
      <c r="Q257" s="3510"/>
      <c r="R257" s="3510"/>
      <c r="S257" s="3510"/>
      <c r="T257" s="3510"/>
      <c r="U257" s="3510"/>
      <c r="V257" s="3510"/>
      <c r="W257" s="3510"/>
      <c r="X257" s="3510"/>
      <c r="Y257" s="3510"/>
      <c r="Z257" s="3510"/>
      <c r="AA257" s="3510"/>
      <c r="AB257" s="3510"/>
      <c r="AC257" s="3510"/>
    </row>
    <row r="258" spans="1:29">
      <c r="A258" s="3510"/>
      <c r="B258" s="3510"/>
      <c r="C258" s="3510"/>
      <c r="D258" s="3510"/>
      <c r="E258" s="3510"/>
      <c r="F258" s="3510"/>
      <c r="G258" s="3510"/>
      <c r="H258" s="3510"/>
      <c r="I258" s="3510"/>
      <c r="J258" s="3510"/>
      <c r="K258" s="3511"/>
      <c r="L258" s="3512"/>
      <c r="M258" s="3510"/>
      <c r="N258" s="3510"/>
      <c r="O258" s="3510"/>
      <c r="P258" s="3510"/>
      <c r="Q258" s="3510"/>
      <c r="R258" s="3510"/>
      <c r="S258" s="3510"/>
      <c r="T258" s="3510"/>
      <c r="U258" s="3510"/>
      <c r="V258" s="3510"/>
      <c r="W258" s="3510"/>
      <c r="X258" s="3510"/>
      <c r="Y258" s="3510"/>
      <c r="Z258" s="3510"/>
      <c r="AA258" s="3510"/>
      <c r="AB258" s="3510"/>
      <c r="AC258" s="3510"/>
    </row>
    <row r="259" spans="1:29">
      <c r="A259" s="3510"/>
      <c r="B259" s="3510"/>
      <c r="C259" s="3510"/>
      <c r="D259" s="3510"/>
      <c r="E259" s="3510"/>
      <c r="F259" s="3510"/>
      <c r="G259" s="3510"/>
      <c r="H259" s="3510"/>
      <c r="I259" s="3510"/>
      <c r="J259" s="3510"/>
      <c r="K259" s="3511"/>
      <c r="L259" s="3512"/>
      <c r="M259" s="3510"/>
      <c r="N259" s="3510"/>
      <c r="O259" s="3510"/>
      <c r="P259" s="3510"/>
      <c r="Q259" s="3510"/>
      <c r="R259" s="3510"/>
      <c r="S259" s="3510"/>
      <c r="T259" s="3510"/>
      <c r="U259" s="3510"/>
      <c r="V259" s="3510"/>
      <c r="W259" s="3510"/>
      <c r="X259" s="3510"/>
      <c r="Y259" s="3510"/>
      <c r="Z259" s="3510"/>
      <c r="AA259" s="3510"/>
      <c r="AB259" s="3510"/>
      <c r="AC259" s="3510"/>
    </row>
    <row r="260" spans="1:29">
      <c r="A260" s="3510"/>
      <c r="B260" s="3510"/>
      <c r="C260" s="3510"/>
      <c r="D260" s="3510"/>
      <c r="E260" s="3510"/>
      <c r="F260" s="3510"/>
      <c r="G260" s="3510"/>
      <c r="H260" s="3510"/>
      <c r="I260" s="3510"/>
      <c r="J260" s="3510"/>
      <c r="K260" s="3511"/>
      <c r="L260" s="3512"/>
      <c r="M260" s="3510"/>
      <c r="N260" s="3510"/>
      <c r="O260" s="3510"/>
      <c r="P260" s="3510"/>
      <c r="Q260" s="3510"/>
      <c r="R260" s="3510"/>
      <c r="S260" s="3510"/>
      <c r="T260" s="3510"/>
      <c r="U260" s="3510"/>
      <c r="V260" s="3510"/>
      <c r="W260" s="3510"/>
      <c r="X260" s="3510"/>
      <c r="Y260" s="3510"/>
      <c r="Z260" s="3510"/>
      <c r="AA260" s="3510"/>
      <c r="AB260" s="3510"/>
      <c r="AC260" s="3510"/>
    </row>
    <row r="261" spans="1:29">
      <c r="A261" s="3510"/>
      <c r="B261" s="3510"/>
      <c r="C261" s="3510"/>
      <c r="D261" s="3510"/>
      <c r="E261" s="3510"/>
      <c r="F261" s="3510"/>
      <c r="G261" s="3510"/>
      <c r="H261" s="3510"/>
      <c r="I261" s="3510"/>
      <c r="J261" s="3510"/>
      <c r="K261" s="3511"/>
      <c r="L261" s="3512"/>
      <c r="M261" s="3510"/>
      <c r="N261" s="3510"/>
      <c r="O261" s="3510"/>
      <c r="P261" s="3510"/>
      <c r="Q261" s="3510"/>
      <c r="R261" s="3510"/>
      <c r="S261" s="3510"/>
      <c r="T261" s="3510"/>
      <c r="U261" s="3510"/>
      <c r="V261" s="3510"/>
      <c r="W261" s="3510"/>
      <c r="X261" s="3510"/>
      <c r="Y261" s="3510"/>
      <c r="Z261" s="3510"/>
      <c r="AA261" s="3510"/>
      <c r="AB261" s="3510"/>
      <c r="AC261" s="3510"/>
    </row>
    <row r="262" spans="1:29">
      <c r="A262" s="3510"/>
      <c r="B262" s="3510"/>
      <c r="C262" s="3510"/>
      <c r="D262" s="3510"/>
      <c r="E262" s="3510"/>
      <c r="F262" s="3510"/>
      <c r="G262" s="3510"/>
      <c r="H262" s="3510"/>
      <c r="I262" s="3510"/>
      <c r="J262" s="3510"/>
      <c r="K262" s="3511"/>
      <c r="L262" s="3512"/>
      <c r="M262" s="3510"/>
      <c r="N262" s="3510"/>
      <c r="O262" s="3510"/>
      <c r="P262" s="3510"/>
      <c r="Q262" s="3510"/>
      <c r="R262" s="3510"/>
      <c r="S262" s="3510"/>
      <c r="T262" s="3510"/>
      <c r="U262" s="3510"/>
      <c r="V262" s="3510"/>
      <c r="W262" s="3510"/>
      <c r="X262" s="3510"/>
      <c r="Y262" s="3510"/>
      <c r="Z262" s="3510"/>
      <c r="AA262" s="3510"/>
      <c r="AB262" s="3510"/>
      <c r="AC262" s="3510"/>
    </row>
    <row r="263" spans="1:29">
      <c r="A263" s="3510"/>
      <c r="B263" s="3510"/>
      <c r="C263" s="3510"/>
      <c r="D263" s="3510"/>
      <c r="E263" s="3510"/>
      <c r="F263" s="3510"/>
      <c r="G263" s="3510"/>
      <c r="H263" s="3510"/>
      <c r="I263" s="3510"/>
      <c r="J263" s="3510"/>
      <c r="K263" s="3511"/>
      <c r="L263" s="3512"/>
      <c r="M263" s="3510"/>
      <c r="N263" s="3510"/>
      <c r="O263" s="3510"/>
      <c r="P263" s="3510"/>
      <c r="Q263" s="3510"/>
      <c r="R263" s="3510"/>
      <c r="S263" s="3510"/>
      <c r="T263" s="3510"/>
      <c r="U263" s="3510"/>
      <c r="V263" s="3510"/>
      <c r="W263" s="3510"/>
      <c r="X263" s="3510"/>
      <c r="Y263" s="3510"/>
      <c r="Z263" s="3510"/>
      <c r="AA263" s="3510"/>
      <c r="AB263" s="3510"/>
      <c r="AC263" s="3510"/>
    </row>
    <row r="264" spans="1:29">
      <c r="A264" s="3510"/>
      <c r="B264" s="3510"/>
      <c r="C264" s="3510"/>
      <c r="D264" s="3510"/>
      <c r="E264" s="3510"/>
      <c r="F264" s="3510"/>
      <c r="G264" s="3510"/>
      <c r="H264" s="3510"/>
      <c r="I264" s="3510"/>
      <c r="J264" s="3510"/>
      <c r="K264" s="3511"/>
      <c r="L264" s="3512"/>
      <c r="M264" s="3510"/>
      <c r="N264" s="3510"/>
      <c r="O264" s="3510"/>
      <c r="P264" s="3510"/>
      <c r="Q264" s="3510"/>
      <c r="R264" s="3510"/>
      <c r="S264" s="3510"/>
      <c r="T264" s="3510"/>
      <c r="U264" s="3510"/>
      <c r="V264" s="3510"/>
      <c r="W264" s="3510"/>
      <c r="X264" s="3510"/>
      <c r="Y264" s="3510"/>
      <c r="Z264" s="3510"/>
      <c r="AA264" s="3510"/>
      <c r="AB264" s="3510"/>
      <c r="AC264" s="3510"/>
    </row>
    <row r="265" spans="1:29">
      <c r="A265" s="3510"/>
      <c r="B265" s="3510"/>
      <c r="C265" s="3510"/>
      <c r="D265" s="3510"/>
      <c r="E265" s="3510"/>
      <c r="F265" s="3510"/>
      <c r="G265" s="3510"/>
      <c r="H265" s="3510"/>
      <c r="I265" s="3510"/>
      <c r="J265" s="3510"/>
      <c r="K265" s="3511"/>
      <c r="L265" s="3512"/>
      <c r="M265" s="3510"/>
      <c r="N265" s="3510"/>
      <c r="O265" s="3510"/>
      <c r="P265" s="3510"/>
      <c r="Q265" s="3510"/>
      <c r="R265" s="3510"/>
      <c r="S265" s="3510"/>
      <c r="T265" s="3510"/>
      <c r="U265" s="3510"/>
      <c r="V265" s="3510"/>
      <c r="W265" s="3510"/>
      <c r="X265" s="3510"/>
      <c r="Y265" s="3510"/>
      <c r="Z265" s="3510"/>
      <c r="AA265" s="3510"/>
      <c r="AB265" s="3510"/>
      <c r="AC265" s="3510"/>
    </row>
    <row r="266" spans="1:29">
      <c r="A266" s="3510"/>
      <c r="B266" s="3510"/>
      <c r="C266" s="3510"/>
      <c r="D266" s="3510"/>
      <c r="E266" s="3510"/>
      <c r="F266" s="3510"/>
      <c r="G266" s="3510"/>
      <c r="H266" s="3510"/>
      <c r="I266" s="3510"/>
      <c r="J266" s="3510"/>
      <c r="K266" s="3511"/>
      <c r="L266" s="3512"/>
      <c r="M266" s="3510"/>
      <c r="N266" s="3510"/>
      <c r="O266" s="3510"/>
      <c r="P266" s="3510"/>
      <c r="Q266" s="3510"/>
      <c r="R266" s="3510"/>
      <c r="S266" s="3510"/>
      <c r="T266" s="3510"/>
      <c r="U266" s="3510"/>
      <c r="V266" s="3510"/>
      <c r="W266" s="3510"/>
      <c r="X266" s="3510"/>
      <c r="Y266" s="3510"/>
      <c r="Z266" s="3510"/>
      <c r="AA266" s="3510"/>
      <c r="AB266" s="3510"/>
      <c r="AC266" s="3510"/>
    </row>
    <row r="267" spans="1:29">
      <c r="A267" s="3510"/>
      <c r="B267" s="3510"/>
      <c r="C267" s="3510"/>
      <c r="D267" s="3510"/>
      <c r="E267" s="3510"/>
      <c r="F267" s="3510"/>
      <c r="G267" s="3510"/>
      <c r="H267" s="3510"/>
      <c r="I267" s="3510"/>
      <c r="J267" s="3510"/>
      <c r="K267" s="3511"/>
      <c r="L267" s="3512"/>
      <c r="M267" s="3510"/>
      <c r="N267" s="3510"/>
      <c r="O267" s="3510"/>
      <c r="P267" s="3510"/>
      <c r="Q267" s="3510"/>
      <c r="R267" s="3510"/>
      <c r="S267" s="3510"/>
      <c r="T267" s="3510"/>
      <c r="U267" s="3510"/>
      <c r="V267" s="3510"/>
      <c r="W267" s="3510"/>
      <c r="X267" s="3510"/>
      <c r="Y267" s="3510"/>
      <c r="Z267" s="3510"/>
      <c r="AA267" s="3510"/>
      <c r="AB267" s="3510"/>
      <c r="AC267" s="3510"/>
    </row>
    <row r="268" spans="1:29">
      <c r="A268" s="3510"/>
      <c r="B268" s="3510"/>
      <c r="C268" s="3510"/>
      <c r="D268" s="3510"/>
      <c r="E268" s="3510"/>
      <c r="F268" s="3510"/>
      <c r="G268" s="3510"/>
      <c r="H268" s="3510"/>
      <c r="I268" s="3510"/>
      <c r="J268" s="3510"/>
      <c r="K268" s="3511"/>
      <c r="L268" s="3512"/>
      <c r="M268" s="3510"/>
      <c r="N268" s="3510"/>
      <c r="O268" s="3510"/>
      <c r="P268" s="3510"/>
      <c r="Q268" s="3510"/>
      <c r="R268" s="3510"/>
      <c r="S268" s="3510"/>
      <c r="T268" s="3510"/>
      <c r="U268" s="3510"/>
      <c r="V268" s="3510"/>
      <c r="W268" s="3510"/>
      <c r="X268" s="3510"/>
      <c r="Y268" s="3510"/>
      <c r="Z268" s="3510"/>
      <c r="AA268" s="3510"/>
      <c r="AB268" s="3510"/>
      <c r="AC268" s="3510"/>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I22 E22 G22 C22 C39">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E20 G20 I20">
      <formula1>公共配套设施</formula1>
    </dataValidation>
    <dataValidation type="list" allowBlank="1" showInputMessage="1" showErrorMessage="1" sqref="E18 G18 I18">
      <formula1>交通便捷度</formula1>
    </dataValidation>
    <dataValidation type="list" allowBlank="1" showInputMessage="1" showErrorMessage="1" sqref="E16 G16 I16 C16 C18 C20 C24">
      <formula1>居住社区成熟度</formula1>
    </dataValidation>
    <dataValidation type="list" allowBlank="1" showInputMessage="1" showErrorMessage="1" sqref="E24 G24 I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5" zoomScale="85" zoomScaleNormal="85" workbookViewId="0">
      <selection activeCell="D29" sqref="D29"/>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2" t="s">
        <v>719</v>
      </c>
      <c r="C1" s="2603" t="s">
        <v>720</v>
      </c>
      <c r="D1" s="2604" t="s">
        <v>923</v>
      </c>
      <c r="E1" s="2605"/>
      <c r="F1" s="2785" t="s">
        <v>3023</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1" t="e">
        <f>ROUND(B3*D3/10000,0)</f>
        <v>#DIV/0!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68767.460999999996</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758" t="s">
        <v>522</v>
      </c>
      <c r="D4" s="3759"/>
      <c r="E4" s="3782" t="s">
        <v>523</v>
      </c>
      <c r="F4" s="3783"/>
      <c r="G4" s="3758" t="s">
        <v>524</v>
      </c>
      <c r="H4" s="3759"/>
      <c r="I4" s="3758" t="s">
        <v>525</v>
      </c>
      <c r="J4" s="3759"/>
      <c r="K4" s="853" t="s">
        <v>526</v>
      </c>
      <c r="L4" s="2133"/>
      <c r="M4" s="2134"/>
      <c r="N4" s="2134"/>
      <c r="O4" s="2134"/>
      <c r="P4" s="3760" t="s">
        <v>527</v>
      </c>
      <c r="Q4" s="3761"/>
      <c r="R4" s="3746" t="s">
        <v>523</v>
      </c>
      <c r="S4" s="3747"/>
      <c r="T4" s="3746" t="s">
        <v>524</v>
      </c>
      <c r="U4" s="3747"/>
      <c r="V4" s="3766" t="s">
        <v>525</v>
      </c>
      <c r="W4" s="3766"/>
      <c r="X4" s="1568"/>
      <c r="Y4" s="3746" t="s">
        <v>527</v>
      </c>
      <c r="Z4" s="3747"/>
      <c r="AA4" s="3741" t="s">
        <v>523</v>
      </c>
      <c r="AB4" s="3741" t="s">
        <v>524</v>
      </c>
      <c r="AC4" s="3741" t="s">
        <v>525</v>
      </c>
    </row>
    <row r="5" spans="1:29" ht="15">
      <c r="A5" s="515"/>
      <c r="B5" s="516"/>
      <c r="C5" s="3769" t="s">
        <v>2929</v>
      </c>
      <c r="D5" s="3770"/>
      <c r="E5" s="3895" t="s">
        <v>3015</v>
      </c>
      <c r="F5" s="3785"/>
      <c r="G5" s="3896" t="s">
        <v>3016</v>
      </c>
      <c r="H5" s="3770"/>
      <c r="I5" s="3896" t="s">
        <v>3017</v>
      </c>
      <c r="J5" s="3770"/>
      <c r="K5" s="854"/>
      <c r="L5" s="2133"/>
      <c r="M5" s="2134"/>
      <c r="N5" s="2134"/>
      <c r="O5" s="2134"/>
      <c r="P5" s="3762"/>
      <c r="Q5" s="3763"/>
      <c r="R5" s="3748"/>
      <c r="S5" s="3749"/>
      <c r="T5" s="3748"/>
      <c r="U5" s="3749"/>
      <c r="V5" s="3766"/>
      <c r="W5" s="3766"/>
      <c r="X5" s="1568"/>
      <c r="Y5" s="3748"/>
      <c r="Z5" s="3749"/>
      <c r="AA5" s="3742"/>
      <c r="AB5" s="3742"/>
      <c r="AC5" s="3742"/>
    </row>
    <row r="6" spans="1:29" ht="15.75" thickBot="1">
      <c r="A6" s="517"/>
      <c r="B6" s="518"/>
      <c r="C6" s="3767" t="s">
        <v>2933</v>
      </c>
      <c r="D6" s="3768"/>
      <c r="E6" s="3786" t="s">
        <v>2933</v>
      </c>
      <c r="F6" s="3787"/>
      <c r="G6" s="3767" t="s">
        <v>2933</v>
      </c>
      <c r="H6" s="3768"/>
      <c r="I6" s="3767" t="s">
        <v>2933</v>
      </c>
      <c r="J6" s="3768"/>
      <c r="K6" s="854" t="s">
        <v>528</v>
      </c>
      <c r="L6" s="2133"/>
      <c r="M6" s="2134"/>
      <c r="N6" s="2134"/>
      <c r="O6" s="2134"/>
      <c r="P6" s="3764"/>
      <c r="Q6" s="3765"/>
      <c r="R6" s="3748"/>
      <c r="S6" s="3749"/>
      <c r="T6" s="3750"/>
      <c r="U6" s="3751"/>
      <c r="V6" s="3766"/>
      <c r="W6" s="3766"/>
      <c r="X6" s="1568"/>
      <c r="Y6" s="3750"/>
      <c r="Z6" s="3751"/>
      <c r="AA6" s="3743"/>
      <c r="AB6" s="3743"/>
      <c r="AC6" s="3743"/>
    </row>
    <row r="7" spans="1:29" s="1220" customFormat="1" ht="15.75" thickBot="1">
      <c r="A7" s="2890"/>
      <c r="B7" s="2897" t="s">
        <v>529</v>
      </c>
      <c r="C7" s="519">
        <f>'数据-取费表'!B2</f>
        <v>43649</v>
      </c>
      <c r="D7" s="520">
        <v>100</v>
      </c>
      <c r="E7" s="521">
        <v>43525</v>
      </c>
      <c r="F7" s="522">
        <f>SUMIF(58:58,YEAR(E7)&amp;"-"&amp;MONTH(E7),59:59)</f>
        <v>0</v>
      </c>
      <c r="G7" s="523">
        <v>43525</v>
      </c>
      <c r="H7" s="520">
        <f>SUMIF(58:58,YEAR(G7)&amp;"-"&amp;MONTH(G7),59:59)</f>
        <v>0</v>
      </c>
      <c r="I7" s="523">
        <v>43525</v>
      </c>
      <c r="J7" s="520">
        <f>SUMIF(58:58,YEAR(I7)&amp;"-"&amp;MONTH(I7),59:59)</f>
        <v>0</v>
      </c>
      <c r="K7" s="855"/>
      <c r="L7" s="2135"/>
      <c r="M7" s="2136"/>
      <c r="N7" s="2136"/>
      <c r="O7" s="2136"/>
      <c r="P7" s="3744" t="s">
        <v>530</v>
      </c>
      <c r="Q7" s="3753"/>
      <c r="R7" s="1569" t="s">
        <v>13</v>
      </c>
      <c r="S7" s="1570">
        <f t="shared" ref="S7:S15" si="0">F7</f>
        <v>0</v>
      </c>
      <c r="T7" s="1569" t="s">
        <v>13</v>
      </c>
      <c r="U7" s="1570">
        <f t="shared" ref="U7:U15" si="1">H7</f>
        <v>0</v>
      </c>
      <c r="V7" s="1569" t="s">
        <v>13</v>
      </c>
      <c r="W7" s="1570">
        <f t="shared" ref="W7:W15" si="2">J7</f>
        <v>0</v>
      </c>
      <c r="X7" s="1571"/>
      <c r="Y7" s="3744" t="s">
        <v>530</v>
      </c>
      <c r="Z7" s="3745"/>
      <c r="AA7" s="1572" t="e">
        <f>D7/F7</f>
        <v>#DIV/0!</v>
      </c>
      <c r="AB7" s="1572" t="e">
        <f>D7/H7</f>
        <v>#DIV/0!</v>
      </c>
      <c r="AC7" s="1572" t="e">
        <f>D7/J7</f>
        <v>#DIV/0!</v>
      </c>
    </row>
    <row r="8" spans="1:29" s="1220"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5"/>
      <c r="M8" s="2136"/>
      <c r="N8" s="2136"/>
      <c r="O8" s="2136"/>
      <c r="P8" s="3744" t="s">
        <v>533</v>
      </c>
      <c r="Q8" s="3745"/>
      <c r="R8" s="1569" t="s">
        <v>13</v>
      </c>
      <c r="S8" s="1570">
        <f t="shared" si="0"/>
        <v>100</v>
      </c>
      <c r="T8" s="1569" t="s">
        <v>13</v>
      </c>
      <c r="U8" s="1570">
        <f t="shared" si="1"/>
        <v>100</v>
      </c>
      <c r="V8" s="1569" t="s">
        <v>13</v>
      </c>
      <c r="W8" s="1570">
        <f t="shared" si="2"/>
        <v>100</v>
      </c>
      <c r="X8" s="1571"/>
      <c r="Y8" s="3744" t="s">
        <v>533</v>
      </c>
      <c r="Z8" s="3745"/>
      <c r="AA8" s="1572">
        <f t="shared" ref="AA8:AA46" si="3">D8/F8</f>
        <v>1</v>
      </c>
      <c r="AB8" s="1572">
        <f t="shared" ref="AB8:AB46" si="4">D8/H8</f>
        <v>1</v>
      </c>
      <c r="AC8" s="1572">
        <f t="shared" ref="AC8:AC46" si="5">D8/J8</f>
        <v>1</v>
      </c>
    </row>
    <row r="9" spans="1:29" s="1220" customFormat="1" ht="15">
      <c r="A9" s="2892"/>
      <c r="B9" s="2899" t="s">
        <v>2757</v>
      </c>
      <c r="C9" s="3178" t="s">
        <v>3022</v>
      </c>
      <c r="D9" s="254">
        <v>100</v>
      </c>
      <c r="E9" s="3178" t="s">
        <v>3022</v>
      </c>
      <c r="F9" s="859">
        <f>SUMIF(63:63,E9,64:64)-SUMIF(63:63,C9,64:64)+100</f>
        <v>100</v>
      </c>
      <c r="G9" s="3178" t="s">
        <v>3022</v>
      </c>
      <c r="H9" s="254">
        <f>SUMIF(63:63,G9,64:64)-SUMIF(63:63,C9,64:64)+100</f>
        <v>100</v>
      </c>
      <c r="I9" s="3178" t="s">
        <v>3022</v>
      </c>
      <c r="J9" s="254">
        <f>SUMIF(63:63,I9,64:64)-SUMIF(63:63,C9,64:64)+100</f>
        <v>100</v>
      </c>
      <c r="K9" s="855"/>
      <c r="L9" s="2135"/>
      <c r="M9" s="2136"/>
      <c r="N9" s="2136"/>
      <c r="O9" s="2137"/>
      <c r="P9" s="3752" t="s">
        <v>535</v>
      </c>
      <c r="Q9" s="1151" t="str">
        <f t="shared" ref="Q9:Q15" si="6">B9</f>
        <v>用途</v>
      </c>
      <c r="R9" s="1569" t="s">
        <v>8</v>
      </c>
      <c r="S9" s="1570">
        <f t="shared" si="0"/>
        <v>100</v>
      </c>
      <c r="T9" s="1569" t="s">
        <v>8</v>
      </c>
      <c r="U9" s="1570">
        <f t="shared" si="1"/>
        <v>100</v>
      </c>
      <c r="V9" s="1569" t="s">
        <v>8</v>
      </c>
      <c r="W9" s="1570">
        <f t="shared" si="2"/>
        <v>100</v>
      </c>
      <c r="X9" s="1571"/>
      <c r="Y9" s="3709" t="s">
        <v>536</v>
      </c>
      <c r="Z9" s="1150" t="str">
        <f t="shared" ref="Z9:Z15" si="7">Q9</f>
        <v>用途</v>
      </c>
      <c r="AA9" s="1572">
        <f t="shared" si="3"/>
        <v>1</v>
      </c>
      <c r="AB9" s="1572">
        <f t="shared" si="4"/>
        <v>1</v>
      </c>
      <c r="AC9" s="1572">
        <f t="shared" si="5"/>
        <v>1</v>
      </c>
    </row>
    <row r="10" spans="1:29" s="1338" customFormat="1" ht="27">
      <c r="A10" s="2893"/>
      <c r="B10" s="2898" t="s">
        <v>2758</v>
      </c>
      <c r="C10" s="861" t="s">
        <v>3021</v>
      </c>
      <c r="D10" s="255">
        <v>100</v>
      </c>
      <c r="E10" s="862" t="s">
        <v>3021</v>
      </c>
      <c r="F10" s="863">
        <f>SUMIF(65:65,E10,66:66)-SUMIF(65:65,C10,66:66)+100</f>
        <v>100</v>
      </c>
      <c r="G10" s="861" t="s">
        <v>3021</v>
      </c>
      <c r="H10" s="255">
        <f>SUMIF(65:65,G10,66:66)-SUMIF(65:65,C10,66:66)+100</f>
        <v>100</v>
      </c>
      <c r="I10" s="861" t="s">
        <v>3021</v>
      </c>
      <c r="J10" s="255">
        <f>SUMIF(65:65,I10,66:66)-SUMIF(65:65,C10,66:66)+100</f>
        <v>100</v>
      </c>
      <c r="K10" s="864">
        <v>2</v>
      </c>
      <c r="L10" s="2138"/>
      <c r="M10" s="2178"/>
      <c r="N10" s="2178"/>
      <c r="O10" s="2139"/>
      <c r="P10" s="3752"/>
      <c r="Q10" s="1151" t="str">
        <f t="shared" si="6"/>
        <v>土地使用年限（年）</v>
      </c>
      <c r="R10" s="1569" t="s">
        <v>8</v>
      </c>
      <c r="S10" s="1570">
        <f t="shared" si="0"/>
        <v>100</v>
      </c>
      <c r="T10" s="1569" t="s">
        <v>8</v>
      </c>
      <c r="U10" s="1570">
        <f t="shared" si="1"/>
        <v>100</v>
      </c>
      <c r="V10" s="1569" t="s">
        <v>8</v>
      </c>
      <c r="W10" s="1570">
        <f t="shared" si="2"/>
        <v>100</v>
      </c>
      <c r="X10" s="1571"/>
      <c r="Y10" s="3709"/>
      <c r="Z10" s="1150" t="str">
        <f t="shared" si="7"/>
        <v>土地使用年限（年）</v>
      </c>
      <c r="AA10" s="1572">
        <f t="shared" si="3"/>
        <v>1</v>
      </c>
      <c r="AB10" s="1572">
        <f t="shared" si="4"/>
        <v>1</v>
      </c>
      <c r="AC10" s="1572">
        <f t="shared" si="5"/>
        <v>1</v>
      </c>
    </row>
    <row r="11" spans="1:29" ht="15">
      <c r="A11" s="2894"/>
      <c r="B11" s="2898" t="s">
        <v>2759</v>
      </c>
      <c r="C11" s="533">
        <v>7.5</v>
      </c>
      <c r="D11" s="255">
        <v>100</v>
      </c>
      <c r="E11" s="534">
        <v>2.2999999999999998</v>
      </c>
      <c r="F11" s="863">
        <f>LOOKUP(E11,68:68,69:69)-LOOKUP(C11,68:68,69:69)+100</f>
        <v>104</v>
      </c>
      <c r="G11" s="533">
        <v>3.5</v>
      </c>
      <c r="H11" s="255">
        <f>LOOKUP(G11,68:68,69:69)-LOOKUP(C11,68:68,69:69)+100</f>
        <v>104</v>
      </c>
      <c r="I11" s="533">
        <v>4.5</v>
      </c>
      <c r="J11" s="255">
        <f>LOOKUP(I11,68:68,69:69)-LOOKUP(C11,68:68,69:69)+100</f>
        <v>102</v>
      </c>
      <c r="K11" s="864">
        <v>2</v>
      </c>
      <c r="L11" s="2140"/>
      <c r="M11" s="2134"/>
      <c r="N11" s="2134"/>
      <c r="O11" s="2141"/>
      <c r="P11" s="3752"/>
      <c r="Q11" s="1151" t="str">
        <f t="shared" si="6"/>
        <v>容积率</v>
      </c>
      <c r="R11" s="1569" t="s">
        <v>11</v>
      </c>
      <c r="S11" s="1570">
        <f t="shared" si="0"/>
        <v>104</v>
      </c>
      <c r="T11" s="1569" t="s">
        <v>11</v>
      </c>
      <c r="U11" s="1570">
        <f t="shared" si="1"/>
        <v>104</v>
      </c>
      <c r="V11" s="1569" t="s">
        <v>11</v>
      </c>
      <c r="W11" s="1570">
        <f t="shared" si="2"/>
        <v>102</v>
      </c>
      <c r="X11" s="1571"/>
      <c r="Y11" s="3709"/>
      <c r="Z11" s="1150" t="str">
        <f t="shared" si="7"/>
        <v>容积率</v>
      </c>
      <c r="AA11" s="1572">
        <f t="shared" si="3"/>
        <v>0.96153846153846156</v>
      </c>
      <c r="AB11" s="1572">
        <f t="shared" si="4"/>
        <v>0.96153846153846156</v>
      </c>
      <c r="AC11" s="1572">
        <f t="shared" si="5"/>
        <v>0.98039215686274506</v>
      </c>
    </row>
    <row r="12" spans="1:29" s="1220"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752"/>
      <c r="Q12" s="1151">
        <f t="shared" si="6"/>
        <v>111</v>
      </c>
      <c r="R12" s="1569" t="s">
        <v>11</v>
      </c>
      <c r="S12" s="1570">
        <f t="shared" si="0"/>
        <v>100</v>
      </c>
      <c r="T12" s="1569" t="s">
        <v>11</v>
      </c>
      <c r="U12" s="1570">
        <f t="shared" si="1"/>
        <v>100</v>
      </c>
      <c r="V12" s="1569" t="s">
        <v>11</v>
      </c>
      <c r="W12" s="1570">
        <f t="shared" si="2"/>
        <v>100</v>
      </c>
      <c r="X12" s="1571"/>
      <c r="Y12" s="3709"/>
      <c r="Z12" s="1150">
        <f t="shared" si="7"/>
        <v>111</v>
      </c>
      <c r="AA12" s="1572">
        <f>D12/F12</f>
        <v>1</v>
      </c>
      <c r="AB12" s="1572">
        <f>D12/H12</f>
        <v>1</v>
      </c>
      <c r="AC12" s="1572">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752"/>
      <c r="Q13" s="1151">
        <f t="shared" si="6"/>
        <v>111</v>
      </c>
      <c r="R13" s="1569" t="s">
        <v>11</v>
      </c>
      <c r="S13" s="1570">
        <f t="shared" si="0"/>
        <v>100</v>
      </c>
      <c r="T13" s="1569" t="s">
        <v>11</v>
      </c>
      <c r="U13" s="1570">
        <f t="shared" si="1"/>
        <v>100</v>
      </c>
      <c r="V13" s="1569" t="s">
        <v>11</v>
      </c>
      <c r="W13" s="1570">
        <f t="shared" si="2"/>
        <v>100</v>
      </c>
      <c r="X13" s="1571"/>
      <c r="Y13" s="3709"/>
      <c r="Z13" s="1150">
        <f t="shared" si="7"/>
        <v>111</v>
      </c>
      <c r="AA13" s="1572">
        <f t="shared" si="3"/>
        <v>1</v>
      </c>
      <c r="AB13" s="1572">
        <f t="shared" si="4"/>
        <v>1</v>
      </c>
      <c r="AC13" s="1572">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752"/>
      <c r="Q14" s="1151">
        <f t="shared" si="6"/>
        <v>111</v>
      </c>
      <c r="R14" s="1569" t="s">
        <v>11</v>
      </c>
      <c r="S14" s="1570">
        <f t="shared" si="0"/>
        <v>100</v>
      </c>
      <c r="T14" s="1569" t="s">
        <v>11</v>
      </c>
      <c r="U14" s="1570">
        <f t="shared" si="1"/>
        <v>100</v>
      </c>
      <c r="V14" s="1569" t="s">
        <v>11</v>
      </c>
      <c r="W14" s="1570">
        <f t="shared" si="2"/>
        <v>100</v>
      </c>
      <c r="X14" s="1571"/>
      <c r="Y14" s="3709"/>
      <c r="Z14" s="1150">
        <f t="shared" si="7"/>
        <v>111</v>
      </c>
      <c r="AA14" s="1572">
        <f t="shared" si="3"/>
        <v>1</v>
      </c>
      <c r="AB14" s="1572">
        <f t="shared" si="4"/>
        <v>1</v>
      </c>
      <c r="AC14" s="1572">
        <f t="shared" si="5"/>
        <v>1</v>
      </c>
    </row>
    <row r="15" spans="1:29" ht="99.75">
      <c r="A15" s="2888"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754" t="s">
        <v>540</v>
      </c>
      <c r="Q15" s="1573" t="str">
        <f t="shared" si="6"/>
        <v>居住社区成熟度</v>
      </c>
      <c r="R15" s="1574" t="s">
        <v>11</v>
      </c>
      <c r="S15" s="1575">
        <f t="shared" si="0"/>
        <v>100</v>
      </c>
      <c r="T15" s="1574" t="s">
        <v>11</v>
      </c>
      <c r="U15" s="1575">
        <f t="shared" si="1"/>
        <v>100</v>
      </c>
      <c r="V15" s="1574" t="s">
        <v>11</v>
      </c>
      <c r="W15" s="1575">
        <f t="shared" si="2"/>
        <v>100</v>
      </c>
      <c r="X15" s="1568"/>
      <c r="Y15" s="3754"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2"/>
      <c r="M16" s="2134"/>
      <c r="N16" s="2134"/>
      <c r="O16" s="2141"/>
      <c r="P16" s="3755"/>
      <c r="Q16" s="1573"/>
      <c r="R16" s="1574"/>
      <c r="S16" s="1575"/>
      <c r="T16" s="1574"/>
      <c r="U16" s="1575"/>
      <c r="V16" s="1574"/>
      <c r="W16" s="1575"/>
      <c r="X16" s="1568"/>
      <c r="Y16" s="375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755"/>
      <c r="Q17" s="1573" t="str">
        <f>B17</f>
        <v>交通便捷度</v>
      </c>
      <c r="R17" s="1574" t="s">
        <v>11</v>
      </c>
      <c r="S17" s="1575">
        <f>F17</f>
        <v>100</v>
      </c>
      <c r="T17" s="1574" t="s">
        <v>11</v>
      </c>
      <c r="U17" s="1575">
        <f>H17</f>
        <v>100</v>
      </c>
      <c r="V17" s="1574" t="s">
        <v>11</v>
      </c>
      <c r="W17" s="1575">
        <f>J17</f>
        <v>100</v>
      </c>
      <c r="X17" s="1568"/>
      <c r="Y17" s="375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2"/>
      <c r="M18" s="2134"/>
      <c r="N18" s="2134"/>
      <c r="O18" s="2141"/>
      <c r="P18" s="3755"/>
      <c r="Q18" s="1573"/>
      <c r="R18" s="1574"/>
      <c r="S18" s="1575"/>
      <c r="T18" s="1574"/>
      <c r="U18" s="1575"/>
      <c r="V18" s="1574"/>
      <c r="W18" s="1575"/>
      <c r="X18" s="1568"/>
      <c r="Y18" s="3755"/>
      <c r="Z18" s="1576"/>
      <c r="AA18" s="1577">
        <v>1</v>
      </c>
      <c r="AB18" s="1577">
        <v>1</v>
      </c>
      <c r="AC18" s="1577">
        <v>1</v>
      </c>
    </row>
    <row r="19" spans="1:29" ht="42.75">
      <c r="A19" s="532"/>
      <c r="B19" s="2579"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755"/>
      <c r="Q19" s="1573" t="str">
        <f>B19</f>
        <v>公共配套设施</v>
      </c>
      <c r="R19" s="1574" t="s">
        <v>11</v>
      </c>
      <c r="S19" s="1575">
        <f>F19</f>
        <v>100</v>
      </c>
      <c r="T19" s="1574" t="s">
        <v>11</v>
      </c>
      <c r="U19" s="1575">
        <f>H19</f>
        <v>100</v>
      </c>
      <c r="V19" s="1574" t="s">
        <v>11</v>
      </c>
      <c r="W19" s="1575">
        <f>J19</f>
        <v>100</v>
      </c>
      <c r="X19" s="1568"/>
      <c r="Y19" s="375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2"/>
      <c r="M20" s="2134"/>
      <c r="N20" s="2134"/>
      <c r="O20" s="2141"/>
      <c r="P20" s="3755"/>
      <c r="Q20" s="1573"/>
      <c r="R20" s="1574"/>
      <c r="S20" s="1575"/>
      <c r="T20" s="1574"/>
      <c r="U20" s="1575"/>
      <c r="V20" s="1574"/>
      <c r="W20" s="1575"/>
      <c r="X20" s="1568"/>
      <c r="Y20" s="3755"/>
      <c r="Z20" s="1576"/>
      <c r="AA20" s="1577">
        <v>1</v>
      </c>
      <c r="AB20" s="1577">
        <v>1</v>
      </c>
      <c r="AC20" s="1577">
        <v>1</v>
      </c>
    </row>
    <row r="21" spans="1:29" ht="28.5">
      <c r="A21" s="532"/>
      <c r="B21" s="2572"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755"/>
      <c r="Q21" s="2558" t="str">
        <f>B21</f>
        <v>基础设施水平</v>
      </c>
      <c r="R21" s="1574" t="s">
        <v>11</v>
      </c>
      <c r="S21" s="1575">
        <f>F21</f>
        <v>100</v>
      </c>
      <c r="T21" s="1574" t="s">
        <v>11</v>
      </c>
      <c r="U21" s="1575">
        <f>H21</f>
        <v>100</v>
      </c>
      <c r="V21" s="1574" t="s">
        <v>11</v>
      </c>
      <c r="W21" s="1575">
        <f>J21</f>
        <v>100</v>
      </c>
      <c r="X21" s="2560"/>
      <c r="Y21" s="3755"/>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8"/>
      <c r="L22" s="2142"/>
      <c r="M22" s="2134"/>
      <c r="N22" s="2134"/>
      <c r="O22" s="2141"/>
      <c r="P22" s="3755"/>
      <c r="Q22" s="2558"/>
      <c r="R22" s="1574"/>
      <c r="S22" s="1575"/>
      <c r="T22" s="1574"/>
      <c r="U22" s="1575"/>
      <c r="V22" s="1574"/>
      <c r="W22" s="1575"/>
      <c r="X22" s="2560"/>
      <c r="Y22" s="3755"/>
      <c r="Z22" s="2559"/>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755"/>
      <c r="Q23" s="1573" t="str">
        <f>B23</f>
        <v>自然及人文环境</v>
      </c>
      <c r="R23" s="1574" t="s">
        <v>11</v>
      </c>
      <c r="S23" s="1575">
        <f>F23</f>
        <v>100</v>
      </c>
      <c r="T23" s="1574" t="s">
        <v>11</v>
      </c>
      <c r="U23" s="1575">
        <f>H23</f>
        <v>100</v>
      </c>
      <c r="V23" s="1574" t="s">
        <v>11</v>
      </c>
      <c r="W23" s="1575">
        <f>J23</f>
        <v>100</v>
      </c>
      <c r="X23" s="1568"/>
      <c r="Y23" s="375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2"/>
      <c r="M24" s="2134"/>
      <c r="N24" s="2134"/>
      <c r="O24" s="2141"/>
      <c r="P24" s="3755"/>
      <c r="Q24" s="1573"/>
      <c r="R24" s="1574"/>
      <c r="S24" s="1575"/>
      <c r="T24" s="1574"/>
      <c r="U24" s="1575"/>
      <c r="V24" s="1574"/>
      <c r="W24" s="1575"/>
      <c r="X24" s="1568"/>
      <c r="Y24" s="3755"/>
      <c r="Z24" s="1576"/>
      <c r="AA24" s="1577">
        <v>1</v>
      </c>
      <c r="AB24" s="1577">
        <v>1</v>
      </c>
      <c r="AC24" s="1577">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755"/>
      <c r="Q25" s="1573" t="str">
        <f t="shared" ref="Q25:Q46" si="11">B25</f>
        <v>楼层-1</v>
      </c>
      <c r="R25" s="1574" t="s">
        <v>11</v>
      </c>
      <c r="S25" s="1575">
        <f>F25</f>
        <v>100</v>
      </c>
      <c r="T25" s="1574" t="s">
        <v>11</v>
      </c>
      <c r="U25" s="1575">
        <f>H25</f>
        <v>100</v>
      </c>
      <c r="V25" s="1574" t="s">
        <v>11</v>
      </c>
      <c r="W25" s="1575">
        <f>J25</f>
        <v>100</v>
      </c>
      <c r="X25" s="1568"/>
      <c r="Y25" s="375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755"/>
      <c r="Q26" s="1573" t="str">
        <f t="shared" si="11"/>
        <v>朝向</v>
      </c>
      <c r="R26" s="1574" t="s">
        <v>11</v>
      </c>
      <c r="S26" s="1575">
        <f>F26</f>
        <v>100</v>
      </c>
      <c r="T26" s="1574" t="s">
        <v>11</v>
      </c>
      <c r="U26" s="1575">
        <f>H26</f>
        <v>100</v>
      </c>
      <c r="V26" s="1574" t="s">
        <v>11</v>
      </c>
      <c r="W26" s="1575">
        <f>J26</f>
        <v>100</v>
      </c>
      <c r="X26" s="1568"/>
      <c r="Y26" s="375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755"/>
      <c r="Q27" s="1151" t="str">
        <f t="shared" si="11"/>
        <v>道路级别</v>
      </c>
      <c r="R27" s="1569" t="s">
        <v>11</v>
      </c>
      <c r="S27" s="1570">
        <f>F27</f>
        <v>100</v>
      </c>
      <c r="T27" s="1569" t="s">
        <v>11</v>
      </c>
      <c r="U27" s="1570">
        <f>H27</f>
        <v>100</v>
      </c>
      <c r="V27" s="1569" t="s">
        <v>11</v>
      </c>
      <c r="W27" s="1570">
        <f>J27</f>
        <v>100</v>
      </c>
      <c r="X27" s="1571"/>
      <c r="Y27" s="375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755"/>
      <c r="Q28" s="1573">
        <f t="shared" si="11"/>
        <v>111</v>
      </c>
      <c r="R28" s="1574" t="s">
        <v>11</v>
      </c>
      <c r="S28" s="1575">
        <f t="shared" ref="S28:S46" si="12">F28</f>
        <v>100</v>
      </c>
      <c r="T28" s="1574" t="s">
        <v>11</v>
      </c>
      <c r="U28" s="1575">
        <f t="shared" ref="U28:U46" si="13">H28</f>
        <v>100</v>
      </c>
      <c r="V28" s="1574" t="s">
        <v>11</v>
      </c>
      <c r="W28" s="1575">
        <f t="shared" ref="W28:W46" si="14">J28</f>
        <v>100</v>
      </c>
      <c r="X28" s="1568"/>
      <c r="Y28" s="3755"/>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755"/>
      <c r="Q29" s="1573">
        <f t="shared" si="11"/>
        <v>111</v>
      </c>
      <c r="R29" s="1574" t="s">
        <v>11</v>
      </c>
      <c r="S29" s="1575">
        <f t="shared" si="12"/>
        <v>100</v>
      </c>
      <c r="T29" s="1574" t="s">
        <v>11</v>
      </c>
      <c r="U29" s="1575">
        <f t="shared" si="13"/>
        <v>100</v>
      </c>
      <c r="V29" s="1574" t="s">
        <v>11</v>
      </c>
      <c r="W29" s="1575">
        <f t="shared" si="14"/>
        <v>100</v>
      </c>
      <c r="X29" s="1568"/>
      <c r="Y29" s="375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755"/>
      <c r="Q30" s="1573">
        <f t="shared" si="11"/>
        <v>111</v>
      </c>
      <c r="R30" s="1574" t="s">
        <v>11</v>
      </c>
      <c r="S30" s="1575">
        <f t="shared" si="12"/>
        <v>100</v>
      </c>
      <c r="T30" s="1574" t="s">
        <v>11</v>
      </c>
      <c r="U30" s="1575">
        <f t="shared" si="13"/>
        <v>100</v>
      </c>
      <c r="V30" s="1574" t="s">
        <v>11</v>
      </c>
      <c r="W30" s="1575">
        <f t="shared" si="14"/>
        <v>100</v>
      </c>
      <c r="X30" s="1568"/>
      <c r="Y30" s="3755"/>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755"/>
      <c r="Q31" s="1573">
        <f t="shared" si="11"/>
        <v>111</v>
      </c>
      <c r="R31" s="1574" t="s">
        <v>11</v>
      </c>
      <c r="S31" s="1575">
        <f t="shared" si="12"/>
        <v>100</v>
      </c>
      <c r="T31" s="1574" t="s">
        <v>11</v>
      </c>
      <c r="U31" s="1575">
        <f t="shared" si="13"/>
        <v>100</v>
      </c>
      <c r="V31" s="1574" t="s">
        <v>11</v>
      </c>
      <c r="W31" s="1575">
        <f t="shared" si="14"/>
        <v>100</v>
      </c>
      <c r="X31" s="1568"/>
      <c r="Y31" s="3755"/>
      <c r="Z31" s="1576">
        <f t="shared" si="15"/>
        <v>111</v>
      </c>
      <c r="AA31" s="1577">
        <f t="shared" si="3"/>
        <v>1</v>
      </c>
      <c r="AB31" s="1577">
        <f t="shared" si="4"/>
        <v>1</v>
      </c>
      <c r="AC31" s="1577">
        <f t="shared" si="5"/>
        <v>1</v>
      </c>
    </row>
    <row r="32" spans="1:29" ht="15">
      <c r="A32" s="2885"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756" t="s">
        <v>550</v>
      </c>
      <c r="Q32" s="1573" t="str">
        <f t="shared" si="11"/>
        <v>建筑类型</v>
      </c>
      <c r="R32" s="1574" t="s">
        <v>11</v>
      </c>
      <c r="S32" s="1575">
        <f t="shared" si="12"/>
        <v>100</v>
      </c>
      <c r="T32" s="1574" t="s">
        <v>11</v>
      </c>
      <c r="U32" s="1575">
        <f t="shared" si="13"/>
        <v>100</v>
      </c>
      <c r="V32" s="1574" t="s">
        <v>11</v>
      </c>
      <c r="W32" s="1575">
        <f t="shared" si="14"/>
        <v>100</v>
      </c>
      <c r="X32" s="1568"/>
      <c r="Y32" s="3757" t="s">
        <v>550</v>
      </c>
      <c r="Z32" s="1576" t="str">
        <f t="shared" si="15"/>
        <v>建筑类型</v>
      </c>
      <c r="AA32" s="1577">
        <f t="shared" si="3"/>
        <v>1</v>
      </c>
      <c r="AB32" s="1577">
        <f t="shared" si="4"/>
        <v>1</v>
      </c>
      <c r="AC32" s="1577">
        <f t="shared" si="5"/>
        <v>1</v>
      </c>
    </row>
    <row r="33" spans="1:29" s="1339" customFormat="1" ht="15">
      <c r="A33" s="603"/>
      <c r="B33" s="527" t="s">
        <v>726</v>
      </c>
      <c r="C33" s="880">
        <f>'数据-基础表'!I13</f>
        <v>68767.460999999996</v>
      </c>
      <c r="D33" s="255">
        <v>100</v>
      </c>
      <c r="E33" s="534">
        <v>418507</v>
      </c>
      <c r="F33" s="863">
        <f>LOOKUP(E33,103:103,104:104)-LOOKUP(C33,103:103,104:104)+100</f>
        <v>94</v>
      </c>
      <c r="G33" s="533">
        <v>203419</v>
      </c>
      <c r="H33" s="255">
        <f>LOOKUP(G33,103:103,104:104)-LOOKUP(C33,103:103,104:104)+100</f>
        <v>96</v>
      </c>
      <c r="I33" s="534">
        <v>230552</v>
      </c>
      <c r="J33" s="255">
        <f>LOOKUP(I33,103:103,104:104)-LOOKUP(C33,103:103,104:104)+100</f>
        <v>96</v>
      </c>
      <c r="K33" s="865"/>
      <c r="L33" s="2140"/>
      <c r="M33" s="2171"/>
      <c r="N33" s="2171"/>
      <c r="O33" s="2143"/>
      <c r="P33" s="3757"/>
      <c r="Q33" s="1606" t="str">
        <f t="shared" si="11"/>
        <v>项目建筑规模</v>
      </c>
      <c r="R33" s="1578" t="s">
        <v>11</v>
      </c>
      <c r="S33" s="1579">
        <f t="shared" si="12"/>
        <v>94</v>
      </c>
      <c r="T33" s="1578" t="s">
        <v>11</v>
      </c>
      <c r="U33" s="1579">
        <f t="shared" si="13"/>
        <v>96</v>
      </c>
      <c r="V33" s="1578" t="s">
        <v>11</v>
      </c>
      <c r="W33" s="1579">
        <f t="shared" si="14"/>
        <v>96</v>
      </c>
      <c r="X33" s="1580"/>
      <c r="Y33" s="3757"/>
      <c r="Z33" s="1581" t="str">
        <f t="shared" si="15"/>
        <v>项目建筑规模</v>
      </c>
      <c r="AA33" s="1577">
        <f t="shared" si="3"/>
        <v>1.0638297872340425</v>
      </c>
      <c r="AB33" s="1577">
        <f t="shared" si="4"/>
        <v>1.0416666666666667</v>
      </c>
      <c r="AC33" s="1577">
        <f t="shared" si="5"/>
        <v>1.0416666666666667</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757"/>
      <c r="Q34" s="1573" t="str">
        <f t="shared" si="11"/>
        <v>建筑结构</v>
      </c>
      <c r="R34" s="1574" t="s">
        <v>11</v>
      </c>
      <c r="S34" s="1575">
        <f t="shared" si="12"/>
        <v>100</v>
      </c>
      <c r="T34" s="1574" t="s">
        <v>11</v>
      </c>
      <c r="U34" s="1575">
        <f t="shared" si="13"/>
        <v>100</v>
      </c>
      <c r="V34" s="1574" t="s">
        <v>11</v>
      </c>
      <c r="W34" s="1575">
        <f t="shared" si="14"/>
        <v>100</v>
      </c>
      <c r="X34" s="1568"/>
      <c r="Y34" s="3757"/>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757"/>
      <c r="Q35" s="1573" t="str">
        <f t="shared" si="11"/>
        <v>建筑品质</v>
      </c>
      <c r="R35" s="1574" t="s">
        <v>11</v>
      </c>
      <c r="S35" s="1575">
        <f t="shared" si="12"/>
        <v>100</v>
      </c>
      <c r="T35" s="1574" t="s">
        <v>11</v>
      </c>
      <c r="U35" s="1575">
        <f t="shared" si="13"/>
        <v>100</v>
      </c>
      <c r="V35" s="1574" t="s">
        <v>11</v>
      </c>
      <c r="W35" s="1575">
        <f t="shared" si="14"/>
        <v>100</v>
      </c>
      <c r="X35" s="1568"/>
      <c r="Y35" s="3757"/>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757"/>
      <c r="Q36" s="1573" t="str">
        <f t="shared" si="11"/>
        <v>公共部分装修</v>
      </c>
      <c r="R36" s="1574" t="s">
        <v>11</v>
      </c>
      <c r="S36" s="1575">
        <f t="shared" si="12"/>
        <v>100</v>
      </c>
      <c r="T36" s="1574" t="s">
        <v>11</v>
      </c>
      <c r="U36" s="1575">
        <f t="shared" si="13"/>
        <v>100</v>
      </c>
      <c r="V36" s="1574" t="s">
        <v>11</v>
      </c>
      <c r="W36" s="1575">
        <f t="shared" si="14"/>
        <v>100</v>
      </c>
      <c r="X36" s="1568"/>
      <c r="Y36" s="3757"/>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5"/>
      <c r="M37" s="2136"/>
      <c r="N37" s="2136"/>
      <c r="O37" s="2137"/>
      <c r="P37" s="3757"/>
      <c r="Q37" s="1151" t="str">
        <f t="shared" si="11"/>
        <v>成新度</v>
      </c>
      <c r="R37" s="1569" t="s">
        <v>11</v>
      </c>
      <c r="S37" s="1570">
        <f t="shared" si="12"/>
        <v>100</v>
      </c>
      <c r="T37" s="1569" t="s">
        <v>11</v>
      </c>
      <c r="U37" s="1570">
        <f t="shared" si="13"/>
        <v>100</v>
      </c>
      <c r="V37" s="1569" t="s">
        <v>11</v>
      </c>
      <c r="W37" s="1570">
        <f t="shared" si="14"/>
        <v>100</v>
      </c>
      <c r="X37" s="1571"/>
      <c r="Y37" s="3757"/>
      <c r="Z37" s="1150" t="str">
        <f t="shared" si="15"/>
        <v>成新度</v>
      </c>
      <c r="AA37" s="1572">
        <f t="shared" si="3"/>
        <v>1</v>
      </c>
      <c r="AB37" s="1572">
        <f t="shared" si="4"/>
        <v>1</v>
      </c>
      <c r="AC37" s="1572">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757" t="s">
        <v>550</v>
      </c>
      <c r="Q38" s="1573" t="str">
        <f t="shared" si="11"/>
        <v>物业管理</v>
      </c>
      <c r="R38" s="1574" t="s">
        <v>11</v>
      </c>
      <c r="S38" s="1575">
        <f t="shared" si="12"/>
        <v>100</v>
      </c>
      <c r="T38" s="1574" t="s">
        <v>11</v>
      </c>
      <c r="U38" s="1575">
        <f t="shared" si="13"/>
        <v>100</v>
      </c>
      <c r="V38" s="1574" t="s">
        <v>11</v>
      </c>
      <c r="W38" s="1575">
        <f t="shared" si="14"/>
        <v>100</v>
      </c>
      <c r="X38" s="1568"/>
      <c r="Y38" s="3757" t="s">
        <v>550</v>
      </c>
      <c r="Z38" s="1576" t="str">
        <f t="shared" si="15"/>
        <v>物业管理</v>
      </c>
      <c r="AA38" s="1577">
        <f t="shared" si="3"/>
        <v>1</v>
      </c>
      <c r="AB38" s="1577">
        <f t="shared" si="4"/>
        <v>1</v>
      </c>
      <c r="AC38" s="1577">
        <f t="shared" si="5"/>
        <v>1</v>
      </c>
    </row>
    <row r="39" spans="1:29" ht="15">
      <c r="A39" s="594"/>
      <c r="B39" s="1895"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757"/>
      <c r="Q39" s="1573" t="str">
        <f t="shared" si="11"/>
        <v>市政基础设施</v>
      </c>
      <c r="R39" s="1574" t="s">
        <v>11</v>
      </c>
      <c r="S39" s="1575">
        <f t="shared" si="12"/>
        <v>100</v>
      </c>
      <c r="T39" s="1574" t="s">
        <v>11</v>
      </c>
      <c r="U39" s="1575">
        <f t="shared" si="13"/>
        <v>100</v>
      </c>
      <c r="V39" s="1574" t="s">
        <v>11</v>
      </c>
      <c r="W39" s="1575">
        <f t="shared" si="14"/>
        <v>100</v>
      </c>
      <c r="X39" s="1568"/>
      <c r="Y39" s="3757"/>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757"/>
      <c r="Q40" s="1573" t="str">
        <f t="shared" si="11"/>
        <v>房型</v>
      </c>
      <c r="R40" s="1574" t="s">
        <v>11</v>
      </c>
      <c r="S40" s="1575">
        <f t="shared" si="12"/>
        <v>100</v>
      </c>
      <c r="T40" s="1574" t="s">
        <v>11</v>
      </c>
      <c r="U40" s="1575">
        <f t="shared" si="13"/>
        <v>100</v>
      </c>
      <c r="V40" s="1574" t="s">
        <v>11</v>
      </c>
      <c r="W40" s="1575">
        <f t="shared" si="14"/>
        <v>100</v>
      </c>
      <c r="X40" s="1568"/>
      <c r="Y40" s="3757"/>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757"/>
      <c r="Q41" s="1606" t="str">
        <f t="shared" si="11"/>
        <v>单套/主力户型建筑面积</v>
      </c>
      <c r="R41" s="1578" t="s">
        <v>11</v>
      </c>
      <c r="S41" s="1579">
        <f t="shared" si="12"/>
        <v>100</v>
      </c>
      <c r="T41" s="1578" t="s">
        <v>11</v>
      </c>
      <c r="U41" s="1579">
        <f t="shared" si="13"/>
        <v>100</v>
      </c>
      <c r="V41" s="1578" t="s">
        <v>11</v>
      </c>
      <c r="W41" s="1579">
        <f t="shared" si="14"/>
        <v>100</v>
      </c>
      <c r="X41" s="1580"/>
      <c r="Y41" s="3757"/>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757"/>
      <c r="Q42" s="1573" t="str">
        <f t="shared" si="11"/>
        <v>内部装修</v>
      </c>
      <c r="R42" s="1574" t="s">
        <v>11</v>
      </c>
      <c r="S42" s="1575">
        <f t="shared" si="12"/>
        <v>100</v>
      </c>
      <c r="T42" s="1574" t="s">
        <v>11</v>
      </c>
      <c r="U42" s="1575">
        <f t="shared" si="13"/>
        <v>100</v>
      </c>
      <c r="V42" s="1574" t="s">
        <v>11</v>
      </c>
      <c r="W42" s="1575">
        <f t="shared" si="14"/>
        <v>100</v>
      </c>
      <c r="X42" s="1568"/>
      <c r="Y42" s="3757"/>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757"/>
      <c r="Q43" s="1573" t="str">
        <f t="shared" si="11"/>
        <v>内部装修维护情况</v>
      </c>
      <c r="R43" s="1574" t="s">
        <v>11</v>
      </c>
      <c r="S43" s="1575">
        <f t="shared" si="12"/>
        <v>100</v>
      </c>
      <c r="T43" s="1574" t="s">
        <v>11</v>
      </c>
      <c r="U43" s="1575">
        <f t="shared" si="13"/>
        <v>100</v>
      </c>
      <c r="V43" s="1574" t="s">
        <v>11</v>
      </c>
      <c r="W43" s="1575">
        <f t="shared" si="14"/>
        <v>100</v>
      </c>
      <c r="X43" s="1568"/>
      <c r="Y43" s="375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757"/>
      <c r="Q44" s="1151">
        <f t="shared" si="11"/>
        <v>111</v>
      </c>
      <c r="R44" s="1569" t="s">
        <v>11</v>
      </c>
      <c r="S44" s="1570">
        <f t="shared" si="12"/>
        <v>100</v>
      </c>
      <c r="T44" s="1569" t="s">
        <v>11</v>
      </c>
      <c r="U44" s="1570">
        <f t="shared" si="13"/>
        <v>100</v>
      </c>
      <c r="V44" s="1569" t="s">
        <v>11</v>
      </c>
      <c r="W44" s="1570">
        <f t="shared" si="14"/>
        <v>100</v>
      </c>
      <c r="X44" s="1571"/>
      <c r="Y44" s="375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757"/>
      <c r="Q45" s="1573">
        <f t="shared" si="11"/>
        <v>111</v>
      </c>
      <c r="R45" s="1574" t="s">
        <v>11</v>
      </c>
      <c r="S45" s="1575">
        <f t="shared" si="12"/>
        <v>100</v>
      </c>
      <c r="T45" s="1574" t="s">
        <v>11</v>
      </c>
      <c r="U45" s="1575">
        <f t="shared" si="13"/>
        <v>100</v>
      </c>
      <c r="V45" s="1574" t="s">
        <v>11</v>
      </c>
      <c r="W45" s="1575">
        <f t="shared" si="14"/>
        <v>100</v>
      </c>
      <c r="X45" s="1568"/>
      <c r="Y45" s="3757"/>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899"/>
      <c r="Q46" s="1573">
        <f t="shared" si="11"/>
        <v>111</v>
      </c>
      <c r="R46" s="1574" t="s">
        <v>10</v>
      </c>
      <c r="S46" s="1575">
        <f t="shared" si="12"/>
        <v>100</v>
      </c>
      <c r="T46" s="1574" t="s">
        <v>10</v>
      </c>
      <c r="U46" s="1575">
        <f t="shared" si="13"/>
        <v>100</v>
      </c>
      <c r="V46" s="1574" t="s">
        <v>10</v>
      </c>
      <c r="W46" s="1575">
        <f t="shared" si="14"/>
        <v>100</v>
      </c>
      <c r="X46" s="1568"/>
      <c r="Y46" s="3899"/>
      <c r="Z46" s="1576">
        <f t="shared" si="15"/>
        <v>111</v>
      </c>
      <c r="AA46" s="1577">
        <f t="shared" si="3"/>
        <v>1</v>
      </c>
      <c r="AB46" s="1577">
        <f t="shared" si="4"/>
        <v>1</v>
      </c>
      <c r="AC46" s="1577">
        <f t="shared" si="5"/>
        <v>1</v>
      </c>
    </row>
    <row r="47" spans="1:29" ht="15">
      <c r="A47" s="607" t="s">
        <v>736</v>
      </c>
      <c r="B47" s="887"/>
      <c r="C47" s="2606" t="s">
        <v>9</v>
      </c>
      <c r="D47" s="2607"/>
      <c r="E47" s="2608">
        <v>16000</v>
      </c>
      <c r="F47" s="2609"/>
      <c r="G47" s="2610">
        <v>17000</v>
      </c>
      <c r="H47" s="2611"/>
      <c r="I47" s="2608">
        <v>16000</v>
      </c>
      <c r="J47" s="2611"/>
      <c r="K47" s="1607"/>
      <c r="L47" s="2144"/>
      <c r="M47" s="2145"/>
      <c r="N47" s="2134"/>
      <c r="O47" s="2145"/>
      <c r="P47" s="3752" t="str">
        <f>A47</f>
        <v>成交单价（元/平方米）</v>
      </c>
      <c r="Q47" s="3752"/>
      <c r="R47" s="3898">
        <f>E47</f>
        <v>16000</v>
      </c>
      <c r="S47" s="3898"/>
      <c r="T47" s="3898">
        <f>G47</f>
        <v>17000</v>
      </c>
      <c r="U47" s="3898"/>
      <c r="V47" s="3898">
        <f>I47</f>
        <v>16000</v>
      </c>
      <c r="W47" s="3898"/>
      <c r="X47" s="1560"/>
      <c r="Y47" s="1582"/>
      <c r="Z47" s="1560"/>
      <c r="AA47" s="1560"/>
      <c r="AB47" s="1560"/>
      <c r="AC47" s="1560"/>
    </row>
    <row r="48" spans="1:29" ht="15.75" thickBot="1">
      <c r="A48" s="615" t="s">
        <v>2761</v>
      </c>
      <c r="B48" s="888"/>
      <c r="C48" s="2612" t="e">
        <f>R49</f>
        <v>#DIV/0!</v>
      </c>
      <c r="D48" s="2613"/>
      <c r="E48" s="2614" t="e">
        <f>R48</f>
        <v>#DIV/0!</v>
      </c>
      <c r="F48" s="2614"/>
      <c r="G48" s="2612" t="e">
        <f>T48</f>
        <v>#DIV/0!</v>
      </c>
      <c r="H48" s="2613"/>
      <c r="I48" s="2614" t="e">
        <f>V48</f>
        <v>#DIV/0!</v>
      </c>
      <c r="J48" s="2613"/>
      <c r="K48" s="1608"/>
      <c r="L48" s="2144"/>
      <c r="M48" s="2145"/>
      <c r="N48" s="2145"/>
      <c r="O48" s="2145"/>
      <c r="P48" s="3752" t="str">
        <f>A48</f>
        <v>比较价格（元/平方米）</v>
      </c>
      <c r="Q48" s="3752"/>
      <c r="R48" s="3898" t="e">
        <f>IF(F1="售价",ROUND(PRODUCT(R47,AA7:AA46),0),ROUND(PRODUCT(R47,AA7:AA46),1))</f>
        <v>#DIV/0!</v>
      </c>
      <c r="S48" s="3898"/>
      <c r="T48" s="3898" t="e">
        <f>IF(F1="售价",ROUND(PRODUCT(T47,AB7:AB46),0),ROUND(PRODUCT(T47,AB7:AB46),1))</f>
        <v>#DIV/0!</v>
      </c>
      <c r="U48" s="3898"/>
      <c r="V48" s="3898" t="e">
        <f>IF(F1="售价",ROUND(PRODUCT(V47,AC7:AC46),0),ROUND(PRODUCT(V47,AC7:AC46),1))</f>
        <v>#DIV/0!</v>
      </c>
      <c r="W48" s="3898"/>
      <c r="X48" s="1560"/>
      <c r="Y48" s="1560"/>
      <c r="Z48" s="1560"/>
      <c r="AA48" s="1560"/>
      <c r="AB48" s="1560"/>
      <c r="AC48" s="1560"/>
    </row>
    <row r="49" spans="1:29" ht="15.75" thickBot="1">
      <c r="A49" s="621" t="s">
        <v>2935</v>
      </c>
      <c r="B49" s="622"/>
      <c r="C49" s="2615" t="e">
        <f>R49</f>
        <v>#DIV/0!</v>
      </c>
      <c r="D49" s="2615"/>
      <c r="E49" s="2615"/>
      <c r="F49" s="2615"/>
      <c r="G49" s="2615"/>
      <c r="H49" s="2615"/>
      <c r="I49" s="2615"/>
      <c r="J49" s="2615"/>
      <c r="K49" s="1609"/>
      <c r="L49" s="2144"/>
      <c r="M49" s="2145"/>
      <c r="N49" s="2145"/>
      <c r="O49" s="2145"/>
      <c r="P49" s="3773" t="str">
        <f>A49</f>
        <v>估价对象XX用房的比较价格（楼面单价，元/平方米）</v>
      </c>
      <c r="Q49" s="3774"/>
      <c r="R49" s="3897" t="e">
        <f>IF(F1="售价",ROUND(AVERAGE(R48:V48),0),ROUND(AVERAGE(R48:V48),1))</f>
        <v>#DIV/0!</v>
      </c>
      <c r="S49" s="3897"/>
      <c r="T49" s="3897"/>
      <c r="U49" s="3897"/>
      <c r="V49" s="3897"/>
      <c r="W49" s="3897"/>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6.25E-2</v>
      </c>
      <c r="F54" s="627" t="str">
        <f>IF(OR(E54&gt;=0.3,E54&lt;=-0.3),"超过30%","")</f>
        <v/>
      </c>
      <c r="G54" s="626">
        <f>IF(G47&lt;I47,I47/G47-1,G47/I47-1)</f>
        <v>6.25E-2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82" t="str">
        <f>YEAR(C7)&amp;"-"&amp;MONTH(C7)</f>
        <v>2019-7</v>
      </c>
      <c r="D58" s="2782">
        <f>EDATE(C58,-1)</f>
        <v>43617</v>
      </c>
      <c r="E58" s="2782">
        <f t="shared" ref="E58:O58" si="16">EDATE(D58,-1)</f>
        <v>43586</v>
      </c>
      <c r="F58" s="2782">
        <f t="shared" si="16"/>
        <v>43556</v>
      </c>
      <c r="G58" s="2782">
        <f t="shared" si="16"/>
        <v>43525</v>
      </c>
      <c r="H58" s="2782">
        <f t="shared" si="16"/>
        <v>43497</v>
      </c>
      <c r="I58" s="2782">
        <f t="shared" si="16"/>
        <v>43466</v>
      </c>
      <c r="J58" s="2782">
        <f t="shared" si="16"/>
        <v>43435</v>
      </c>
      <c r="K58" s="2782">
        <f t="shared" si="16"/>
        <v>43405</v>
      </c>
      <c r="L58" s="2782">
        <f t="shared" si="16"/>
        <v>43374</v>
      </c>
      <c r="M58" s="2782">
        <f t="shared" si="16"/>
        <v>43344</v>
      </c>
      <c r="N58" s="2782">
        <f t="shared" si="16"/>
        <v>43313</v>
      </c>
      <c r="O58" s="2782">
        <f t="shared" si="16"/>
        <v>43282</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0（含）-2</v>
      </c>
      <c r="D67" s="682" t="str">
        <f t="shared" ref="D67:L67" si="18">D68&amp;"（含）"&amp;"-"&amp;E68</f>
        <v>2（含）-4</v>
      </c>
      <c r="E67" s="682" t="str">
        <f t="shared" si="18"/>
        <v>4（含）-6</v>
      </c>
      <c r="F67" s="682" t="str">
        <f t="shared" si="18"/>
        <v>6（含）-8</v>
      </c>
      <c r="G67" s="682" t="str">
        <f t="shared" si="18"/>
        <v>8（含）-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2</v>
      </c>
      <c r="E68" s="541">
        <v>4</v>
      </c>
      <c r="F68" s="541">
        <v>6</v>
      </c>
      <c r="G68" s="541">
        <v>8</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98</v>
      </c>
      <c r="E104" s="671">
        <v>96</v>
      </c>
      <c r="F104" s="671">
        <v>94</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5" zoomScale="80" zoomScaleNormal="80" workbookViewId="0">
      <selection activeCell="I11" sqref="I1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9" t="s">
        <v>3011</v>
      </c>
      <c r="E1" s="506"/>
      <c r="F1" s="2785" t="s">
        <v>3023</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7640.8289999999979</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758" t="s">
        <v>522</v>
      </c>
      <c r="D4" s="3759"/>
      <c r="E4" s="3782" t="s">
        <v>523</v>
      </c>
      <c r="F4" s="3783"/>
      <c r="G4" s="3758" t="s">
        <v>524</v>
      </c>
      <c r="H4" s="3759"/>
      <c r="I4" s="3758" t="s">
        <v>525</v>
      </c>
      <c r="J4" s="3759"/>
      <c r="K4" s="514" t="s">
        <v>526</v>
      </c>
      <c r="L4" s="2133"/>
      <c r="M4" s="2134"/>
      <c r="N4" s="2134"/>
      <c r="O4" s="2134"/>
      <c r="P4" s="3760" t="s">
        <v>527</v>
      </c>
      <c r="Q4" s="3761"/>
      <c r="R4" s="3746" t="s">
        <v>523</v>
      </c>
      <c r="S4" s="3747"/>
      <c r="T4" s="3746" t="s">
        <v>524</v>
      </c>
      <c r="U4" s="3747"/>
      <c r="V4" s="3766" t="s">
        <v>525</v>
      </c>
      <c r="W4" s="3766"/>
      <c r="X4" s="1568"/>
      <c r="Y4" s="3746" t="s">
        <v>527</v>
      </c>
      <c r="Z4" s="3747"/>
      <c r="AA4" s="3741" t="s">
        <v>523</v>
      </c>
      <c r="AB4" s="3766" t="s">
        <v>524</v>
      </c>
      <c r="AC4" s="3741" t="s">
        <v>525</v>
      </c>
    </row>
    <row r="5" spans="1:29" ht="15">
      <c r="A5" s="515"/>
      <c r="B5" s="516"/>
      <c r="C5" s="3769" t="s">
        <v>2929</v>
      </c>
      <c r="D5" s="3770"/>
      <c r="E5" s="3895" t="s">
        <v>3024</v>
      </c>
      <c r="F5" s="3785"/>
      <c r="G5" s="3769" t="s">
        <v>2931</v>
      </c>
      <c r="H5" s="3770"/>
      <c r="I5" s="3769" t="s">
        <v>2932</v>
      </c>
      <c r="J5" s="3770"/>
      <c r="K5" s="514"/>
      <c r="L5" s="2133"/>
      <c r="M5" s="2134"/>
      <c r="N5" s="2134"/>
      <c r="O5" s="2134"/>
      <c r="P5" s="3762"/>
      <c r="Q5" s="3763"/>
      <c r="R5" s="3748"/>
      <c r="S5" s="3749"/>
      <c r="T5" s="3748"/>
      <c r="U5" s="3749"/>
      <c r="V5" s="3766"/>
      <c r="W5" s="3766"/>
      <c r="X5" s="1568"/>
      <c r="Y5" s="3748"/>
      <c r="Z5" s="3749"/>
      <c r="AA5" s="3742"/>
      <c r="AB5" s="3766"/>
      <c r="AC5" s="3742"/>
    </row>
    <row r="6" spans="1:29" ht="15.75" thickBot="1">
      <c r="A6" s="517"/>
      <c r="B6" s="518"/>
      <c r="C6" s="3767" t="s">
        <v>2933</v>
      </c>
      <c r="D6" s="3768"/>
      <c r="E6" s="3786" t="s">
        <v>2933</v>
      </c>
      <c r="F6" s="3787"/>
      <c r="G6" s="3767" t="s">
        <v>2933</v>
      </c>
      <c r="H6" s="3768"/>
      <c r="I6" s="3767" t="s">
        <v>2933</v>
      </c>
      <c r="J6" s="3768"/>
      <c r="K6" s="514" t="s">
        <v>528</v>
      </c>
      <c r="L6" s="2133"/>
      <c r="M6" s="2134"/>
      <c r="N6" s="2134"/>
      <c r="O6" s="2134"/>
      <c r="P6" s="3764"/>
      <c r="Q6" s="3765"/>
      <c r="R6" s="3748"/>
      <c r="S6" s="3749"/>
      <c r="T6" s="3750"/>
      <c r="U6" s="3751"/>
      <c r="V6" s="3766"/>
      <c r="W6" s="3766"/>
      <c r="X6" s="1568"/>
      <c r="Y6" s="3750"/>
      <c r="Z6" s="3751"/>
      <c r="AA6" s="3743"/>
      <c r="AB6" s="3766"/>
      <c r="AC6" s="3743"/>
    </row>
    <row r="7" spans="1:29" s="1220" customFormat="1" ht="15.75" thickBot="1">
      <c r="A7" s="2890"/>
      <c r="B7" s="2897" t="s">
        <v>529</v>
      </c>
      <c r="C7" s="519">
        <f>'数据-取费表'!B2</f>
        <v>43649</v>
      </c>
      <c r="D7" s="520">
        <v>100</v>
      </c>
      <c r="E7" s="521">
        <v>43525</v>
      </c>
      <c r="F7" s="522">
        <f>SUMIF(58:58,YEAR(E7)&amp;"-"&amp;MONTH(E7),59:59)</f>
        <v>0</v>
      </c>
      <c r="G7" s="521">
        <v>43525</v>
      </c>
      <c r="H7" s="520">
        <f>SUMIF(58:58,YEAR(G7)&amp;"-"&amp;MONTH(G7),59:59)</f>
        <v>0</v>
      </c>
      <c r="I7" s="521">
        <v>43525</v>
      </c>
      <c r="J7" s="520">
        <f>SUMIF(58:58,YEAR(I7)&amp;"-"&amp;MONTH(I7),59:59)</f>
        <v>0</v>
      </c>
      <c r="K7" s="524"/>
      <c r="L7" s="2135"/>
      <c r="M7" s="2136"/>
      <c r="N7" s="2136"/>
      <c r="O7" s="2136"/>
      <c r="P7" s="3744" t="s">
        <v>530</v>
      </c>
      <c r="Q7" s="3753"/>
      <c r="R7" s="1569" t="s">
        <v>8</v>
      </c>
      <c r="S7" s="1570">
        <f t="shared" ref="S7:S15" si="0">F7</f>
        <v>0</v>
      </c>
      <c r="T7" s="1569" t="s">
        <v>8</v>
      </c>
      <c r="U7" s="1570">
        <f t="shared" ref="U7:U15" si="1">H7</f>
        <v>0</v>
      </c>
      <c r="V7" s="1569" t="s">
        <v>8</v>
      </c>
      <c r="W7" s="1570">
        <f t="shared" ref="W7:W15" si="2">J7</f>
        <v>0</v>
      </c>
      <c r="X7" s="1571"/>
      <c r="Y7" s="3744" t="s">
        <v>530</v>
      </c>
      <c r="Z7" s="3745"/>
      <c r="AA7" s="1572" t="e">
        <f>D7/F7</f>
        <v>#DIV/0!</v>
      </c>
      <c r="AB7" s="1572" t="e">
        <f>D7/H7</f>
        <v>#DIV/0!</v>
      </c>
      <c r="AC7" s="1572" t="e">
        <f>D7/J7</f>
        <v>#DIV/0!</v>
      </c>
    </row>
    <row r="8" spans="1:29" s="1220"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524"/>
      <c r="L8" s="2135"/>
      <c r="M8" s="2136"/>
      <c r="N8" s="2136"/>
      <c r="O8" s="2136"/>
      <c r="P8" s="3744" t="s">
        <v>533</v>
      </c>
      <c r="Q8" s="3745"/>
      <c r="R8" s="1569" t="s">
        <v>8</v>
      </c>
      <c r="S8" s="1570">
        <f t="shared" si="0"/>
        <v>100</v>
      </c>
      <c r="T8" s="1569" t="s">
        <v>8</v>
      </c>
      <c r="U8" s="1570">
        <f t="shared" si="1"/>
        <v>100</v>
      </c>
      <c r="V8" s="1569" t="s">
        <v>8</v>
      </c>
      <c r="W8" s="1570">
        <f t="shared" si="2"/>
        <v>100</v>
      </c>
      <c r="X8" s="1571"/>
      <c r="Y8" s="3744" t="s">
        <v>533</v>
      </c>
      <c r="Z8" s="3745"/>
      <c r="AA8" s="1572">
        <f t="shared" ref="AA8:AA46" si="3">D8/F8</f>
        <v>1</v>
      </c>
      <c r="AB8" s="1572">
        <f t="shared" ref="AB8:AB46" si="4">D8/H8</f>
        <v>1</v>
      </c>
      <c r="AC8" s="1572">
        <f t="shared" ref="AC8:AC46" si="5">D8/J8</f>
        <v>1</v>
      </c>
    </row>
    <row r="9" spans="1:29" s="1220" customFormat="1" ht="15">
      <c r="A9" s="2892"/>
      <c r="B9" s="2899" t="s">
        <v>2757</v>
      </c>
      <c r="C9" s="3178" t="s">
        <v>3025</v>
      </c>
      <c r="D9" s="254">
        <v>100</v>
      </c>
      <c r="E9" s="3178" t="s">
        <v>3025</v>
      </c>
      <c r="F9" s="254">
        <f>SUMIF(63:63,E9,64:64)-SUMIF(63:63,C9,64:64)+100</f>
        <v>100</v>
      </c>
      <c r="G9" s="3178" t="s">
        <v>3025</v>
      </c>
      <c r="H9" s="254">
        <f>SUMIF(63:63,G9,64:64)-SUMIF(63:63,C9,64:64)+100</f>
        <v>100</v>
      </c>
      <c r="I9" s="3178" t="s">
        <v>3025</v>
      </c>
      <c r="J9" s="254">
        <f>SUMIF(63:63,I9,64:64)-SUMIF(63:63,C9,64:64)+100</f>
        <v>100</v>
      </c>
      <c r="K9" s="524"/>
      <c r="L9" s="2135"/>
      <c r="M9" s="2136"/>
      <c r="N9" s="2136"/>
      <c r="O9" s="2137"/>
      <c r="P9" s="3752" t="s">
        <v>535</v>
      </c>
      <c r="Q9" s="1151" t="str">
        <f t="shared" ref="Q9:Q15" si="6">B9</f>
        <v>用途</v>
      </c>
      <c r="R9" s="1569" t="s">
        <v>8</v>
      </c>
      <c r="S9" s="1570">
        <f t="shared" si="0"/>
        <v>100</v>
      </c>
      <c r="T9" s="1569" t="s">
        <v>8</v>
      </c>
      <c r="U9" s="1570">
        <f t="shared" si="1"/>
        <v>100</v>
      </c>
      <c r="V9" s="1569" t="s">
        <v>8</v>
      </c>
      <c r="W9" s="1570">
        <f t="shared" si="2"/>
        <v>100</v>
      </c>
      <c r="X9" s="1571"/>
      <c r="Y9" s="3709" t="s">
        <v>536</v>
      </c>
      <c r="Z9" s="1150" t="str">
        <f t="shared" ref="Z9:Z15" si="7">Q9</f>
        <v>用途</v>
      </c>
      <c r="AA9" s="1572">
        <f t="shared" si="3"/>
        <v>1</v>
      </c>
      <c r="AB9" s="1572">
        <f t="shared" si="4"/>
        <v>1</v>
      </c>
      <c r="AC9" s="1572">
        <f t="shared" si="5"/>
        <v>1</v>
      </c>
    </row>
    <row r="10" spans="1:29" s="1338" customFormat="1" ht="27">
      <c r="A10" s="2893"/>
      <c r="B10" s="2898" t="s">
        <v>2758</v>
      </c>
      <c r="C10" s="861" t="s">
        <v>3026</v>
      </c>
      <c r="D10" s="255">
        <v>100</v>
      </c>
      <c r="E10" s="861" t="s">
        <v>3026</v>
      </c>
      <c r="F10" s="255">
        <f>SUMIF(65:65,E10,66:66)-SUMIF(65:65,C10,66:66)+100</f>
        <v>100</v>
      </c>
      <c r="G10" s="861" t="s">
        <v>3026</v>
      </c>
      <c r="H10" s="255">
        <f>SUMIF(65:65,G10,66:66)-SUMIF(65:65,C10,66:66)+100</f>
        <v>100</v>
      </c>
      <c r="I10" s="861" t="s">
        <v>3026</v>
      </c>
      <c r="J10" s="255">
        <f>SUMIF(65:65,I10,66:66)-SUMIF(65:65,C10,66:66)+100</f>
        <v>100</v>
      </c>
      <c r="K10" s="584"/>
      <c r="L10" s="2138"/>
      <c r="M10" s="2178"/>
      <c r="N10" s="2178"/>
      <c r="O10" s="2139"/>
      <c r="P10" s="3752"/>
      <c r="Q10" s="1151" t="str">
        <f t="shared" si="6"/>
        <v>土地使用年限（年）</v>
      </c>
      <c r="R10" s="1569" t="s">
        <v>8</v>
      </c>
      <c r="S10" s="1570">
        <f t="shared" si="0"/>
        <v>100</v>
      </c>
      <c r="T10" s="1569" t="s">
        <v>8</v>
      </c>
      <c r="U10" s="1570">
        <f t="shared" si="1"/>
        <v>100</v>
      </c>
      <c r="V10" s="1569" t="s">
        <v>8</v>
      </c>
      <c r="W10" s="1570">
        <f t="shared" si="2"/>
        <v>100</v>
      </c>
      <c r="X10" s="1571"/>
      <c r="Y10" s="3709"/>
      <c r="Z10" s="1150" t="str">
        <f t="shared" si="7"/>
        <v>土地使用年限（年）</v>
      </c>
      <c r="AA10" s="1572">
        <f t="shared" si="3"/>
        <v>1</v>
      </c>
      <c r="AB10" s="1572">
        <f t="shared" si="4"/>
        <v>1</v>
      </c>
      <c r="AC10" s="1572">
        <f t="shared" si="5"/>
        <v>1</v>
      </c>
    </row>
    <row r="11" spans="1:29" ht="15">
      <c r="A11" s="2894"/>
      <c r="B11" s="2898" t="s">
        <v>2759</v>
      </c>
      <c r="C11" s="533">
        <v>7.5</v>
      </c>
      <c r="D11" s="255">
        <v>100</v>
      </c>
      <c r="E11" s="533">
        <v>3</v>
      </c>
      <c r="F11" s="255">
        <f>LOOKUP(E11,68:68,69:69)-LOOKUP(C11,68:68,69:69)+100</f>
        <v>104</v>
      </c>
      <c r="G11" s="534">
        <v>3.5</v>
      </c>
      <c r="H11" s="255">
        <f>LOOKUP(G11,68:68,69:69)-LOOKUP(C11,68:68,69:69)+100</f>
        <v>104</v>
      </c>
      <c r="I11" s="533">
        <v>4.37</v>
      </c>
      <c r="J11" s="255">
        <f>LOOKUP(I11,68:68,69:69)-LOOKUP(C11,68:68,69:69)+100</f>
        <v>102</v>
      </c>
      <c r="K11" s="584">
        <v>2</v>
      </c>
      <c r="L11" s="2140"/>
      <c r="M11" s="2134"/>
      <c r="N11" s="2134"/>
      <c r="O11" s="2141"/>
      <c r="P11" s="3752"/>
      <c r="Q11" s="1151" t="str">
        <f t="shared" si="6"/>
        <v>容积率</v>
      </c>
      <c r="R11" s="1569" t="s">
        <v>8</v>
      </c>
      <c r="S11" s="1570">
        <f t="shared" si="0"/>
        <v>104</v>
      </c>
      <c r="T11" s="1569" t="s">
        <v>8</v>
      </c>
      <c r="U11" s="1570">
        <f t="shared" si="1"/>
        <v>104</v>
      </c>
      <c r="V11" s="1569" t="s">
        <v>8</v>
      </c>
      <c r="W11" s="1570">
        <f t="shared" si="2"/>
        <v>102</v>
      </c>
      <c r="X11" s="1571"/>
      <c r="Y11" s="3709"/>
      <c r="Z11" s="1150" t="str">
        <f t="shared" si="7"/>
        <v>容积率</v>
      </c>
      <c r="AA11" s="1572">
        <f t="shared" si="3"/>
        <v>0.96153846153846156</v>
      </c>
      <c r="AB11" s="1572">
        <f t="shared" si="4"/>
        <v>0.96153846153846156</v>
      </c>
      <c r="AC11" s="1572">
        <f t="shared" si="5"/>
        <v>0.98039215686274506</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752"/>
      <c r="Q12" s="1151">
        <f t="shared" si="6"/>
        <v>111</v>
      </c>
      <c r="R12" s="1569" t="s">
        <v>8</v>
      </c>
      <c r="S12" s="1570">
        <f t="shared" si="0"/>
        <v>100</v>
      </c>
      <c r="T12" s="1569" t="s">
        <v>8</v>
      </c>
      <c r="U12" s="1570">
        <f t="shared" si="1"/>
        <v>100</v>
      </c>
      <c r="V12" s="1569" t="s">
        <v>8</v>
      </c>
      <c r="W12" s="1570">
        <f t="shared" si="2"/>
        <v>100</v>
      </c>
      <c r="X12" s="1571"/>
      <c r="Y12" s="3709"/>
      <c r="Z12" s="1150">
        <f t="shared" si="7"/>
        <v>111</v>
      </c>
      <c r="AA12" s="1572">
        <f>D12/F12</f>
        <v>1</v>
      </c>
      <c r="AB12" s="1572">
        <f>D12/H12</f>
        <v>1</v>
      </c>
      <c r="AC12" s="1572">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752"/>
      <c r="Q13" s="1151">
        <f t="shared" si="6"/>
        <v>111</v>
      </c>
      <c r="R13" s="1569" t="s">
        <v>8</v>
      </c>
      <c r="S13" s="1570">
        <f t="shared" si="0"/>
        <v>100</v>
      </c>
      <c r="T13" s="1569" t="s">
        <v>8</v>
      </c>
      <c r="U13" s="1570">
        <f t="shared" si="1"/>
        <v>100</v>
      </c>
      <c r="V13" s="1569" t="s">
        <v>8</v>
      </c>
      <c r="W13" s="1570">
        <f t="shared" si="2"/>
        <v>100</v>
      </c>
      <c r="X13" s="1571"/>
      <c r="Y13" s="3709"/>
      <c r="Z13" s="1150">
        <f t="shared" si="7"/>
        <v>111</v>
      </c>
      <c r="AA13" s="1572">
        <f t="shared" si="3"/>
        <v>1</v>
      </c>
      <c r="AB13" s="1572">
        <f t="shared" si="4"/>
        <v>1</v>
      </c>
      <c r="AC13" s="1572">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752"/>
      <c r="Q14" s="1151">
        <f t="shared" si="6"/>
        <v>111</v>
      </c>
      <c r="R14" s="1569" t="s">
        <v>8</v>
      </c>
      <c r="S14" s="1570">
        <f t="shared" si="0"/>
        <v>100</v>
      </c>
      <c r="T14" s="1569" t="s">
        <v>8</v>
      </c>
      <c r="U14" s="1570">
        <f t="shared" si="1"/>
        <v>100</v>
      </c>
      <c r="V14" s="1569" t="s">
        <v>8</v>
      </c>
      <c r="W14" s="1570">
        <f t="shared" si="2"/>
        <v>100</v>
      </c>
      <c r="X14" s="1571"/>
      <c r="Y14" s="3709"/>
      <c r="Z14" s="1150">
        <f t="shared" si="7"/>
        <v>111</v>
      </c>
      <c r="AA14" s="1572">
        <f t="shared" si="3"/>
        <v>1</v>
      </c>
      <c r="AB14" s="1572">
        <f t="shared" si="4"/>
        <v>1</v>
      </c>
      <c r="AC14" s="1572">
        <f t="shared" si="5"/>
        <v>1</v>
      </c>
    </row>
    <row r="15" spans="1:29" ht="71.25">
      <c r="A15" s="2888"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754" t="s">
        <v>540</v>
      </c>
      <c r="Q15" s="1573" t="str">
        <f t="shared" si="6"/>
        <v>商业繁华度</v>
      </c>
      <c r="R15" s="1574" t="s">
        <v>8</v>
      </c>
      <c r="S15" s="1575">
        <f t="shared" si="0"/>
        <v>100</v>
      </c>
      <c r="T15" s="1574" t="s">
        <v>8</v>
      </c>
      <c r="U15" s="1575">
        <f t="shared" si="1"/>
        <v>100</v>
      </c>
      <c r="V15" s="1574" t="s">
        <v>8</v>
      </c>
      <c r="W15" s="1575">
        <f t="shared" si="2"/>
        <v>100</v>
      </c>
      <c r="X15" s="1568"/>
      <c r="Y15" s="375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755"/>
      <c r="Q16" s="1573"/>
      <c r="R16" s="1574"/>
      <c r="S16" s="1575"/>
      <c r="T16" s="1574"/>
      <c r="U16" s="1575"/>
      <c r="V16" s="1574"/>
      <c r="W16" s="1575"/>
      <c r="X16" s="1568"/>
      <c r="Y16" s="375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755"/>
      <c r="Q17" s="1573" t="str">
        <f>B17</f>
        <v>交通便捷度</v>
      </c>
      <c r="R17" s="1574" t="s">
        <v>8</v>
      </c>
      <c r="S17" s="1575">
        <f>F17</f>
        <v>100</v>
      </c>
      <c r="T17" s="1574" t="s">
        <v>8</v>
      </c>
      <c r="U17" s="1575">
        <f>H17</f>
        <v>100</v>
      </c>
      <c r="V17" s="1574" t="s">
        <v>8</v>
      </c>
      <c r="W17" s="1575">
        <f>J17</f>
        <v>100</v>
      </c>
      <c r="X17" s="1568"/>
      <c r="Y17" s="375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755"/>
      <c r="Q18" s="1573"/>
      <c r="R18" s="1574"/>
      <c r="S18" s="1575"/>
      <c r="T18" s="1574"/>
      <c r="U18" s="1575"/>
      <c r="V18" s="1574"/>
      <c r="W18" s="1575"/>
      <c r="X18" s="1568"/>
      <c r="Y18" s="3755"/>
      <c r="Z18" s="1576"/>
      <c r="AA18" s="1577">
        <v>1</v>
      </c>
      <c r="AB18" s="1577">
        <v>1</v>
      </c>
      <c r="AC18" s="1577">
        <v>1</v>
      </c>
    </row>
    <row r="19" spans="1:29" ht="42.75">
      <c r="A19" s="532"/>
      <c r="B19" s="2579"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755"/>
      <c r="Q19" s="1573" t="str">
        <f>B19</f>
        <v>公共配套设施</v>
      </c>
      <c r="R19" s="1574" t="s">
        <v>8</v>
      </c>
      <c r="S19" s="1575">
        <f>F19</f>
        <v>100</v>
      </c>
      <c r="T19" s="1574" t="s">
        <v>8</v>
      </c>
      <c r="U19" s="1575">
        <f>H19</f>
        <v>100</v>
      </c>
      <c r="V19" s="1574" t="s">
        <v>8</v>
      </c>
      <c r="W19" s="1575">
        <f>J19</f>
        <v>100</v>
      </c>
      <c r="X19" s="1568"/>
      <c r="Y19" s="375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755"/>
      <c r="Q20" s="1573"/>
      <c r="R20" s="1574"/>
      <c r="S20" s="1575"/>
      <c r="T20" s="1574"/>
      <c r="U20" s="1575"/>
      <c r="V20" s="1574"/>
      <c r="W20" s="1575"/>
      <c r="X20" s="1568"/>
      <c r="Y20" s="3755"/>
      <c r="Z20" s="1576"/>
      <c r="AA20" s="1577">
        <v>1</v>
      </c>
      <c r="AB20" s="1577">
        <v>1</v>
      </c>
      <c r="AC20" s="1577">
        <v>1</v>
      </c>
    </row>
    <row r="21" spans="1:29" ht="28.5">
      <c r="A21" s="532"/>
      <c r="B21" s="2572"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755"/>
      <c r="Q21" s="2558" t="str">
        <f>B21</f>
        <v>基础设施水平</v>
      </c>
      <c r="R21" s="1574" t="s">
        <v>8</v>
      </c>
      <c r="S21" s="1575">
        <f>F21</f>
        <v>100</v>
      </c>
      <c r="T21" s="1574" t="s">
        <v>8</v>
      </c>
      <c r="U21" s="1575">
        <f>H21</f>
        <v>100</v>
      </c>
      <c r="V21" s="1574" t="s">
        <v>8</v>
      </c>
      <c r="W21" s="1575">
        <f>J21</f>
        <v>100</v>
      </c>
      <c r="X21" s="2560"/>
      <c r="Y21" s="3755"/>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2"/>
      <c r="M22" s="2134"/>
      <c r="N22" s="2134"/>
      <c r="O22" s="2141"/>
      <c r="P22" s="3755"/>
      <c r="Q22" s="2558"/>
      <c r="R22" s="1574"/>
      <c r="S22" s="1575"/>
      <c r="T22" s="1574"/>
      <c r="U22" s="1575"/>
      <c r="V22" s="1574"/>
      <c r="W22" s="1575"/>
      <c r="X22" s="2560"/>
      <c r="Y22" s="3755"/>
      <c r="Z22" s="2559"/>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755"/>
      <c r="Q23" s="1573" t="str">
        <f>B23</f>
        <v>自然及人文环境</v>
      </c>
      <c r="R23" s="1574" t="s">
        <v>8</v>
      </c>
      <c r="S23" s="1575">
        <f>F23</f>
        <v>100</v>
      </c>
      <c r="T23" s="1574" t="s">
        <v>8</v>
      </c>
      <c r="U23" s="1575">
        <f>H23</f>
        <v>100</v>
      </c>
      <c r="V23" s="1574" t="s">
        <v>8</v>
      </c>
      <c r="W23" s="1575">
        <f>J23</f>
        <v>100</v>
      </c>
      <c r="X23" s="1568"/>
      <c r="Y23" s="375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755"/>
      <c r="Q24" s="1573"/>
      <c r="R24" s="1574"/>
      <c r="S24" s="1575"/>
      <c r="T24" s="1574"/>
      <c r="U24" s="1575"/>
      <c r="V24" s="1574"/>
      <c r="W24" s="1575"/>
      <c r="X24" s="1568"/>
      <c r="Y24" s="375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755"/>
      <c r="Q25" s="1573" t="str">
        <f t="shared" ref="Q25:Q46" si="11">B25</f>
        <v>临街状况</v>
      </c>
      <c r="R25" s="1574" t="s">
        <v>8</v>
      </c>
      <c r="S25" s="1575">
        <f>F25</f>
        <v>100</v>
      </c>
      <c r="T25" s="1574" t="s">
        <v>8</v>
      </c>
      <c r="U25" s="1575">
        <f>H25</f>
        <v>100</v>
      </c>
      <c r="V25" s="1574" t="s">
        <v>8</v>
      </c>
      <c r="W25" s="1575">
        <f>J25</f>
        <v>100</v>
      </c>
      <c r="X25" s="1568"/>
      <c r="Y25" s="375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755"/>
      <c r="Q26" s="1573" t="str">
        <f t="shared" si="11"/>
        <v>平面位置/可视性</v>
      </c>
      <c r="R26" s="1574" t="s">
        <v>8</v>
      </c>
      <c r="S26" s="1575">
        <f>F26</f>
        <v>100</v>
      </c>
      <c r="T26" s="1574" t="s">
        <v>8</v>
      </c>
      <c r="U26" s="1575">
        <f>H26</f>
        <v>100</v>
      </c>
      <c r="V26" s="1574" t="s">
        <v>8</v>
      </c>
      <c r="W26" s="1575">
        <f>J26</f>
        <v>100</v>
      </c>
      <c r="X26" s="1568"/>
      <c r="Y26" s="375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755"/>
      <c r="Q27" s="1151" t="str">
        <f t="shared" si="11"/>
        <v>人流量</v>
      </c>
      <c r="R27" s="1569" t="s">
        <v>8</v>
      </c>
      <c r="S27" s="1570">
        <f>F27</f>
        <v>100</v>
      </c>
      <c r="T27" s="1569" t="s">
        <v>8</v>
      </c>
      <c r="U27" s="1570">
        <f>H27</f>
        <v>100</v>
      </c>
      <c r="V27" s="1569" t="s">
        <v>8</v>
      </c>
      <c r="W27" s="1570">
        <f>J27</f>
        <v>100</v>
      </c>
      <c r="X27" s="1571"/>
      <c r="Y27" s="375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75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75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755"/>
      <c r="Q29" s="1573">
        <f t="shared" si="11"/>
        <v>111</v>
      </c>
      <c r="R29" s="1574" t="s">
        <v>8</v>
      </c>
      <c r="S29" s="1575">
        <f t="shared" si="12"/>
        <v>100</v>
      </c>
      <c r="T29" s="1574" t="s">
        <v>8</v>
      </c>
      <c r="U29" s="1575">
        <f t="shared" si="13"/>
        <v>100</v>
      </c>
      <c r="V29" s="1574" t="s">
        <v>8</v>
      </c>
      <c r="W29" s="1575">
        <f t="shared" si="14"/>
        <v>100</v>
      </c>
      <c r="X29" s="1568"/>
      <c r="Y29" s="375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755"/>
      <c r="Q30" s="1573">
        <f t="shared" si="11"/>
        <v>111</v>
      </c>
      <c r="R30" s="1574" t="s">
        <v>8</v>
      </c>
      <c r="S30" s="1575">
        <f t="shared" si="12"/>
        <v>100</v>
      </c>
      <c r="T30" s="1574" t="s">
        <v>8</v>
      </c>
      <c r="U30" s="1575">
        <f t="shared" si="13"/>
        <v>100</v>
      </c>
      <c r="V30" s="1574" t="s">
        <v>8</v>
      </c>
      <c r="W30" s="1575">
        <f t="shared" si="14"/>
        <v>100</v>
      </c>
      <c r="X30" s="1568"/>
      <c r="Y30" s="3755"/>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755"/>
      <c r="Q31" s="1573">
        <f t="shared" si="11"/>
        <v>111</v>
      </c>
      <c r="R31" s="1574" t="s">
        <v>8</v>
      </c>
      <c r="S31" s="1575">
        <f t="shared" si="12"/>
        <v>100</v>
      </c>
      <c r="T31" s="1574" t="s">
        <v>8</v>
      </c>
      <c r="U31" s="1575">
        <f t="shared" si="13"/>
        <v>100</v>
      </c>
      <c r="V31" s="1574" t="s">
        <v>8</v>
      </c>
      <c r="W31" s="1575">
        <f t="shared" si="14"/>
        <v>100</v>
      </c>
      <c r="X31" s="1568"/>
      <c r="Y31" s="3755"/>
      <c r="Z31" s="1576">
        <f t="shared" si="15"/>
        <v>111</v>
      </c>
      <c r="AA31" s="1577">
        <f t="shared" si="3"/>
        <v>1</v>
      </c>
      <c r="AB31" s="1577">
        <f t="shared" si="4"/>
        <v>1</v>
      </c>
      <c r="AC31" s="1577">
        <f t="shared" si="5"/>
        <v>1</v>
      </c>
    </row>
    <row r="32" spans="1:29" ht="15">
      <c r="A32" s="2885"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756" t="s">
        <v>550</v>
      </c>
      <c r="Q32" s="1573" t="str">
        <f t="shared" si="11"/>
        <v>商业类型</v>
      </c>
      <c r="R32" s="1574" t="s">
        <v>8</v>
      </c>
      <c r="S32" s="1575">
        <f t="shared" si="12"/>
        <v>100</v>
      </c>
      <c r="T32" s="1574" t="s">
        <v>8</v>
      </c>
      <c r="U32" s="1575">
        <f t="shared" si="13"/>
        <v>100</v>
      </c>
      <c r="V32" s="1574" t="s">
        <v>8</v>
      </c>
      <c r="W32" s="1575">
        <f t="shared" si="14"/>
        <v>100</v>
      </c>
      <c r="X32" s="1568"/>
      <c r="Y32" s="3757" t="s">
        <v>550</v>
      </c>
      <c r="Z32" s="1576" t="str">
        <f t="shared" si="15"/>
        <v>商业类型</v>
      </c>
      <c r="AA32" s="1577">
        <f t="shared" si="3"/>
        <v>1</v>
      </c>
      <c r="AB32" s="1577">
        <f t="shared" si="4"/>
        <v>1</v>
      </c>
      <c r="AC32" s="1577">
        <f t="shared" si="5"/>
        <v>1</v>
      </c>
    </row>
    <row r="33" spans="1:29" s="1339" customFormat="1" ht="15">
      <c r="A33" s="603"/>
      <c r="B33" s="527" t="s">
        <v>726</v>
      </c>
      <c r="C33" s="880">
        <f>'数据-基础表'!A16</f>
        <v>76408.289999999994</v>
      </c>
      <c r="D33" s="255">
        <v>100</v>
      </c>
      <c r="E33" s="534">
        <v>66820</v>
      </c>
      <c r="F33" s="863">
        <f>LOOKUP(E33,103:103,104:104)-LOOKUP(C33,103:103,104:104)+100</f>
        <v>100</v>
      </c>
      <c r="G33" s="533">
        <v>362797</v>
      </c>
      <c r="H33" s="255">
        <f>LOOKUP(G33,103:103,104:104)-LOOKUP(C33,103:103,104:104)+100</f>
        <v>94</v>
      </c>
      <c r="I33" s="533">
        <v>407514</v>
      </c>
      <c r="J33" s="255">
        <f>LOOKUP(I33,103:103,104:104)-LOOKUP(C33,103:103,104:104)+100</f>
        <v>94</v>
      </c>
      <c r="K33" s="581"/>
      <c r="L33" s="2140"/>
      <c r="M33" s="2171"/>
      <c r="N33" s="2171"/>
      <c r="O33" s="2143"/>
      <c r="P33" s="3757"/>
      <c r="Q33" s="1606" t="str">
        <f t="shared" si="11"/>
        <v>项目建筑规模</v>
      </c>
      <c r="R33" s="1578" t="s">
        <v>8</v>
      </c>
      <c r="S33" s="1579">
        <f t="shared" si="12"/>
        <v>100</v>
      </c>
      <c r="T33" s="1578" t="s">
        <v>8</v>
      </c>
      <c r="U33" s="1579">
        <f t="shared" si="13"/>
        <v>94</v>
      </c>
      <c r="V33" s="1578" t="s">
        <v>8</v>
      </c>
      <c r="W33" s="1579">
        <f t="shared" si="14"/>
        <v>94</v>
      </c>
      <c r="X33" s="1580"/>
      <c r="Y33" s="3757"/>
      <c r="Z33" s="1581" t="str">
        <f t="shared" si="15"/>
        <v>项目建筑规模</v>
      </c>
      <c r="AA33" s="1577">
        <f t="shared" si="3"/>
        <v>1</v>
      </c>
      <c r="AB33" s="1577">
        <f t="shared" si="4"/>
        <v>1.0638297872340425</v>
      </c>
      <c r="AC33" s="1577">
        <f t="shared" si="5"/>
        <v>1.0638297872340425</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757"/>
      <c r="Q34" s="1573" t="str">
        <f t="shared" si="11"/>
        <v>建筑结构</v>
      </c>
      <c r="R34" s="1574" t="s">
        <v>8</v>
      </c>
      <c r="S34" s="1575">
        <f t="shared" si="12"/>
        <v>100</v>
      </c>
      <c r="T34" s="1574" t="s">
        <v>8</v>
      </c>
      <c r="U34" s="1575">
        <f t="shared" si="13"/>
        <v>100</v>
      </c>
      <c r="V34" s="1574" t="s">
        <v>8</v>
      </c>
      <c r="W34" s="1575">
        <f t="shared" si="14"/>
        <v>100</v>
      </c>
      <c r="X34" s="1568"/>
      <c r="Y34" s="3757"/>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757"/>
      <c r="Q35" s="1573" t="str">
        <f t="shared" si="11"/>
        <v>公共部分装修</v>
      </c>
      <c r="R35" s="1574" t="s">
        <v>8</v>
      </c>
      <c r="S35" s="1575">
        <f t="shared" si="12"/>
        <v>100</v>
      </c>
      <c r="T35" s="1574" t="s">
        <v>8</v>
      </c>
      <c r="U35" s="1575">
        <f t="shared" si="13"/>
        <v>100</v>
      </c>
      <c r="V35" s="1574" t="s">
        <v>8</v>
      </c>
      <c r="W35" s="1575">
        <f t="shared" si="14"/>
        <v>100</v>
      </c>
      <c r="X35" s="1568"/>
      <c r="Y35" s="3757"/>
      <c r="Z35" s="1576" t="str">
        <f t="shared" si="15"/>
        <v>公共部分装修</v>
      </c>
      <c r="AA35" s="1577">
        <f t="shared" si="3"/>
        <v>1</v>
      </c>
      <c r="AB35" s="1577">
        <f t="shared" si="4"/>
        <v>1</v>
      </c>
      <c r="AC35" s="1577">
        <f t="shared" si="5"/>
        <v>1</v>
      </c>
    </row>
    <row r="36" spans="1:29" ht="15">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c r="L36" s="2142"/>
      <c r="M36" s="2134"/>
      <c r="N36" s="2134"/>
      <c r="O36" s="2141"/>
      <c r="P36" s="3757"/>
      <c r="Q36" s="1573" t="str">
        <f t="shared" si="11"/>
        <v>成新度</v>
      </c>
      <c r="R36" s="1574" t="s">
        <v>8</v>
      </c>
      <c r="S36" s="1575">
        <f t="shared" si="12"/>
        <v>100</v>
      </c>
      <c r="T36" s="1574" t="s">
        <v>8</v>
      </c>
      <c r="U36" s="1575">
        <f t="shared" si="13"/>
        <v>100</v>
      </c>
      <c r="V36" s="1574" t="s">
        <v>8</v>
      </c>
      <c r="W36" s="1575">
        <f t="shared" si="14"/>
        <v>100</v>
      </c>
      <c r="X36" s="1568"/>
      <c r="Y36" s="3757"/>
      <c r="Z36" s="1576" t="str">
        <f t="shared" si="15"/>
        <v>成新度</v>
      </c>
      <c r="AA36" s="1577">
        <f t="shared" si="3"/>
        <v>1</v>
      </c>
      <c r="AB36" s="1577">
        <f t="shared" si="4"/>
        <v>1</v>
      </c>
      <c r="AC36" s="1577">
        <f t="shared" si="5"/>
        <v>1</v>
      </c>
    </row>
    <row r="37" spans="1:29" s="1220"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757"/>
      <c r="Q37" s="1151" t="str">
        <f t="shared" si="11"/>
        <v>市政基础设施</v>
      </c>
      <c r="R37" s="1569" t="s">
        <v>8</v>
      </c>
      <c r="S37" s="1570">
        <f t="shared" si="12"/>
        <v>100</v>
      </c>
      <c r="T37" s="1569" t="s">
        <v>8</v>
      </c>
      <c r="U37" s="1570">
        <f t="shared" si="13"/>
        <v>100</v>
      </c>
      <c r="V37" s="1569" t="s">
        <v>8</v>
      </c>
      <c r="W37" s="1570">
        <f t="shared" si="14"/>
        <v>100</v>
      </c>
      <c r="X37" s="1571"/>
      <c r="Y37" s="3757"/>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757" t="s">
        <v>766</v>
      </c>
      <c r="Q38" s="1573" t="str">
        <f t="shared" si="11"/>
        <v>业态</v>
      </c>
      <c r="R38" s="1574" t="s">
        <v>8</v>
      </c>
      <c r="S38" s="1575">
        <f t="shared" si="12"/>
        <v>100</v>
      </c>
      <c r="T38" s="1574" t="s">
        <v>8</v>
      </c>
      <c r="U38" s="1575">
        <f t="shared" si="13"/>
        <v>100</v>
      </c>
      <c r="V38" s="1574" t="s">
        <v>8</v>
      </c>
      <c r="W38" s="1575">
        <f t="shared" si="14"/>
        <v>100</v>
      </c>
      <c r="X38" s="1568"/>
      <c r="Y38" s="3757"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757"/>
      <c r="Q39" s="1573" t="str">
        <f t="shared" si="11"/>
        <v>层高</v>
      </c>
      <c r="R39" s="1574" t="s">
        <v>8</v>
      </c>
      <c r="S39" s="1575">
        <f t="shared" si="12"/>
        <v>100</v>
      </c>
      <c r="T39" s="1574" t="s">
        <v>8</v>
      </c>
      <c r="U39" s="1575">
        <f t="shared" si="13"/>
        <v>100</v>
      </c>
      <c r="V39" s="1574" t="s">
        <v>8</v>
      </c>
      <c r="W39" s="1575">
        <f t="shared" si="14"/>
        <v>100</v>
      </c>
      <c r="X39" s="1568"/>
      <c r="Y39" s="3757"/>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757"/>
      <c r="Q40" s="1573" t="str">
        <f t="shared" si="11"/>
        <v>单套建筑面积</v>
      </c>
      <c r="R40" s="1574" t="s">
        <v>8</v>
      </c>
      <c r="S40" s="1575">
        <f t="shared" si="12"/>
        <v>100</v>
      </c>
      <c r="T40" s="1574" t="s">
        <v>8</v>
      </c>
      <c r="U40" s="1575">
        <f t="shared" si="13"/>
        <v>100</v>
      </c>
      <c r="V40" s="1574" t="s">
        <v>8</v>
      </c>
      <c r="W40" s="1575">
        <f t="shared" si="14"/>
        <v>100</v>
      </c>
      <c r="X40" s="1568"/>
      <c r="Y40" s="3757"/>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757"/>
      <c r="Q41" s="1606" t="str">
        <f t="shared" si="11"/>
        <v>进深比</v>
      </c>
      <c r="R41" s="1578" t="s">
        <v>8</v>
      </c>
      <c r="S41" s="1579">
        <f t="shared" si="12"/>
        <v>100</v>
      </c>
      <c r="T41" s="1578" t="s">
        <v>8</v>
      </c>
      <c r="U41" s="1579">
        <f t="shared" si="13"/>
        <v>100</v>
      </c>
      <c r="V41" s="1578" t="s">
        <v>8</v>
      </c>
      <c r="W41" s="1579">
        <f t="shared" si="14"/>
        <v>100</v>
      </c>
      <c r="X41" s="1580"/>
      <c r="Y41" s="3757"/>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757"/>
      <c r="Q42" s="1573" t="str">
        <f t="shared" si="11"/>
        <v>内部装修</v>
      </c>
      <c r="R42" s="1574" t="s">
        <v>8</v>
      </c>
      <c r="S42" s="1575">
        <f t="shared" si="12"/>
        <v>100</v>
      </c>
      <c r="T42" s="1574" t="s">
        <v>8</v>
      </c>
      <c r="U42" s="1575">
        <f t="shared" si="13"/>
        <v>100</v>
      </c>
      <c r="V42" s="1574" t="s">
        <v>8</v>
      </c>
      <c r="W42" s="1575">
        <f t="shared" si="14"/>
        <v>100</v>
      </c>
      <c r="X42" s="1568"/>
      <c r="Y42" s="3757"/>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757"/>
      <c r="Q43" s="1573" t="str">
        <f t="shared" si="11"/>
        <v>内部装修维护情况</v>
      </c>
      <c r="R43" s="1574" t="s">
        <v>8</v>
      </c>
      <c r="S43" s="1575">
        <f t="shared" si="12"/>
        <v>100</v>
      </c>
      <c r="T43" s="1574" t="s">
        <v>8</v>
      </c>
      <c r="U43" s="1575">
        <f t="shared" si="13"/>
        <v>100</v>
      </c>
      <c r="V43" s="1574" t="s">
        <v>8</v>
      </c>
      <c r="W43" s="1575">
        <f t="shared" si="14"/>
        <v>100</v>
      </c>
      <c r="X43" s="1568"/>
      <c r="Y43" s="375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757"/>
      <c r="Q44" s="1151">
        <f t="shared" si="11"/>
        <v>111</v>
      </c>
      <c r="R44" s="1569" t="s">
        <v>8</v>
      </c>
      <c r="S44" s="1570">
        <f t="shared" si="12"/>
        <v>100</v>
      </c>
      <c r="T44" s="1569" t="s">
        <v>8</v>
      </c>
      <c r="U44" s="1570">
        <f t="shared" si="13"/>
        <v>100</v>
      </c>
      <c r="V44" s="1569" t="s">
        <v>8</v>
      </c>
      <c r="W44" s="1570">
        <f t="shared" si="14"/>
        <v>100</v>
      </c>
      <c r="X44" s="1571"/>
      <c r="Y44" s="375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757"/>
      <c r="Q45" s="1573">
        <f t="shared" si="11"/>
        <v>111</v>
      </c>
      <c r="R45" s="1574" t="s">
        <v>8</v>
      </c>
      <c r="S45" s="1575">
        <f t="shared" si="12"/>
        <v>100</v>
      </c>
      <c r="T45" s="1574" t="s">
        <v>8</v>
      </c>
      <c r="U45" s="1575">
        <f t="shared" si="13"/>
        <v>100</v>
      </c>
      <c r="V45" s="1574" t="s">
        <v>8</v>
      </c>
      <c r="W45" s="1575">
        <f t="shared" si="14"/>
        <v>100</v>
      </c>
      <c r="X45" s="1568"/>
      <c r="Y45" s="3757"/>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899"/>
      <c r="Q46" s="1573">
        <f t="shared" si="11"/>
        <v>111</v>
      </c>
      <c r="R46" s="1574" t="s">
        <v>8</v>
      </c>
      <c r="S46" s="1575">
        <f t="shared" si="12"/>
        <v>100</v>
      </c>
      <c r="T46" s="1574" t="s">
        <v>8</v>
      </c>
      <c r="U46" s="1575">
        <f t="shared" si="13"/>
        <v>100</v>
      </c>
      <c r="V46" s="1574" t="s">
        <v>8</v>
      </c>
      <c r="W46" s="1575">
        <f t="shared" si="14"/>
        <v>100</v>
      </c>
      <c r="X46" s="1568"/>
      <c r="Y46" s="3899"/>
      <c r="Z46" s="1576">
        <f t="shared" si="15"/>
        <v>111</v>
      </c>
      <c r="AA46" s="1577">
        <f t="shared" si="3"/>
        <v>1</v>
      </c>
      <c r="AB46" s="1577">
        <f t="shared" si="4"/>
        <v>1</v>
      </c>
      <c r="AC46" s="1577">
        <f t="shared" si="5"/>
        <v>1</v>
      </c>
    </row>
    <row r="47" spans="1:29" ht="15">
      <c r="A47" s="607" t="s">
        <v>736</v>
      </c>
      <c r="B47" s="887"/>
      <c r="C47" s="2606" t="s">
        <v>1</v>
      </c>
      <c r="D47" s="2607"/>
      <c r="E47" s="2608">
        <v>35111</v>
      </c>
      <c r="F47" s="2609"/>
      <c r="G47" s="2610">
        <v>33950</v>
      </c>
      <c r="H47" s="2611"/>
      <c r="I47" s="2608">
        <v>33250</v>
      </c>
      <c r="J47" s="2611"/>
      <c r="K47" s="1612"/>
      <c r="L47" s="2144"/>
      <c r="M47" s="2145"/>
      <c r="N47" s="2134"/>
      <c r="O47" s="2145"/>
      <c r="P47" s="3752" t="str">
        <f>A47</f>
        <v>成交单价（元/平方米）</v>
      </c>
      <c r="Q47" s="3752"/>
      <c r="R47" s="3898">
        <f>E47</f>
        <v>35111</v>
      </c>
      <c r="S47" s="3898"/>
      <c r="T47" s="3898">
        <f>G47</f>
        <v>33950</v>
      </c>
      <c r="U47" s="3898"/>
      <c r="V47" s="3898">
        <f>I47</f>
        <v>33250</v>
      </c>
      <c r="W47" s="3898"/>
      <c r="X47" s="1560"/>
      <c r="Y47" s="1582"/>
      <c r="Z47" s="1560"/>
      <c r="AA47" s="1560"/>
      <c r="AB47" s="1560"/>
      <c r="AC47" s="1560"/>
    </row>
    <row r="48" spans="1:29" ht="15.75" thickBot="1">
      <c r="A48" s="615" t="s">
        <v>2761</v>
      </c>
      <c r="B48" s="888"/>
      <c r="C48" s="2612" t="e">
        <f>R49</f>
        <v>#DIV/0!</v>
      </c>
      <c r="D48" s="2613"/>
      <c r="E48" s="2614" t="e">
        <f>R48</f>
        <v>#DIV/0!</v>
      </c>
      <c r="F48" s="2614"/>
      <c r="G48" s="2612" t="e">
        <f>T48</f>
        <v>#DIV/0!</v>
      </c>
      <c r="H48" s="2613"/>
      <c r="I48" s="2614" t="e">
        <f>V48</f>
        <v>#DIV/0!</v>
      </c>
      <c r="J48" s="2613"/>
      <c r="K48" s="1613"/>
      <c r="L48" s="2144"/>
      <c r="M48" s="2145"/>
      <c r="N48" s="2134"/>
      <c r="O48" s="2145"/>
      <c r="P48" s="3752" t="str">
        <f>A48</f>
        <v>比较价格（元/平方米）</v>
      </c>
      <c r="Q48" s="3752"/>
      <c r="R48" s="3898" t="e">
        <f>IF(F1="售价",ROUND(PRODUCT(R47,AA7:AA46),0),ROUND(PRODUCT(R47,AA7:AA46),1))</f>
        <v>#DIV/0!</v>
      </c>
      <c r="S48" s="3898"/>
      <c r="T48" s="3898" t="e">
        <f>IF(F1="售价",ROUND(PRODUCT(T47,AB7:AB46),0),ROUND(PRODUCT(T47,AB7:AB46),1))</f>
        <v>#DIV/0!</v>
      </c>
      <c r="U48" s="3898"/>
      <c r="V48" s="3898" t="e">
        <f>IF(F1="售价",ROUND(PRODUCT(V47,AC7:AC46),0),ROUND(PRODUCT(V47,AC7:AC46),1))</f>
        <v>#DIV/0!</v>
      </c>
      <c r="W48" s="3898"/>
      <c r="X48" s="1560"/>
      <c r="Y48" s="1560"/>
      <c r="Z48" s="1560"/>
      <c r="AA48" s="1560"/>
      <c r="AB48" s="1560"/>
      <c r="AC48" s="1560"/>
    </row>
    <row r="49" spans="1:29" ht="15.75" thickBot="1">
      <c r="A49" s="621" t="s">
        <v>2935</v>
      </c>
      <c r="B49" s="622"/>
      <c r="C49" s="2615" t="e">
        <f>R49</f>
        <v>#DIV/0!</v>
      </c>
      <c r="D49" s="2615"/>
      <c r="E49" s="2615"/>
      <c r="F49" s="2615"/>
      <c r="G49" s="2615"/>
      <c r="H49" s="2615"/>
      <c r="I49" s="2615"/>
      <c r="J49" s="2615"/>
      <c r="K49" s="1614"/>
      <c r="L49" s="2144"/>
      <c r="M49" s="2145"/>
      <c r="N49" s="2134"/>
      <c r="O49" s="2145"/>
      <c r="P49" s="3773" t="str">
        <f>A49</f>
        <v>估价对象XX用房的比较价格（楼面单价，元/平方米）</v>
      </c>
      <c r="Q49" s="3774"/>
      <c r="R49" s="3897" t="e">
        <f>IF(F1="售价",ROUND(AVERAGE(R48:V48),0),ROUND(AVERAGE(R48:V48),1))</f>
        <v>#DIV/0!</v>
      </c>
      <c r="S49" s="3897"/>
      <c r="T49" s="3897"/>
      <c r="U49" s="3897"/>
      <c r="V49" s="3897"/>
      <c r="W49" s="3897"/>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3.4197349042709879E-2</v>
      </c>
      <c r="F54" s="627" t="str">
        <f>IF(OR(E54&gt;=0.3,E54&lt;=-0.3),"超过30%","")</f>
        <v/>
      </c>
      <c r="G54" s="626">
        <f>IF(G47&lt;I47,I47/G47-1,G47/I47-1)</f>
        <v>2.1052631578947434E-2</v>
      </c>
      <c r="H54" s="627" t="str">
        <f>IF(OR(G54&gt;=0.3,G54&lt;=-0.3),"超过30%","")</f>
        <v/>
      </c>
      <c r="I54" s="626">
        <f>IF(I47&lt;E47,E47/I47-1,I47/E47-1)</f>
        <v>5.5969924812030003E-2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80" t="str">
        <f>YEAR(C7)&amp;"-"&amp;MONTH(C7)</f>
        <v>2019-7</v>
      </c>
      <c r="D58" s="2782">
        <f>EDATE(C58,-1)</f>
        <v>43617</v>
      </c>
      <c r="E58" s="2782">
        <f t="shared" ref="E58:O58" si="16">EDATE(D58,-1)</f>
        <v>43586</v>
      </c>
      <c r="F58" s="2782">
        <f t="shared" si="16"/>
        <v>43556</v>
      </c>
      <c r="G58" s="2782">
        <f t="shared" si="16"/>
        <v>43525</v>
      </c>
      <c r="H58" s="2782">
        <f t="shared" si="16"/>
        <v>43497</v>
      </c>
      <c r="I58" s="2782">
        <f t="shared" si="16"/>
        <v>43466</v>
      </c>
      <c r="J58" s="2782">
        <f t="shared" si="16"/>
        <v>43435</v>
      </c>
      <c r="K58" s="2782">
        <f t="shared" si="16"/>
        <v>43405</v>
      </c>
      <c r="L58" s="2782">
        <f t="shared" si="16"/>
        <v>43374</v>
      </c>
      <c r="M58" s="2782">
        <f t="shared" si="16"/>
        <v>43344</v>
      </c>
      <c r="N58" s="2782">
        <f t="shared" si="16"/>
        <v>43313</v>
      </c>
      <c r="O58" s="2782">
        <f t="shared" si="16"/>
        <v>43282</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0（含）-2</v>
      </c>
      <c r="D67" s="682" t="str">
        <f t="shared" ref="D67:L67" si="17">D68&amp;"（含）"&amp;"-"&amp;E68</f>
        <v>2（含）-4</v>
      </c>
      <c r="E67" s="682" t="str">
        <f t="shared" si="17"/>
        <v>4（含）-6</v>
      </c>
      <c r="F67" s="682" t="str">
        <f t="shared" si="17"/>
        <v>6（含）-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2</v>
      </c>
      <c r="E68" s="541">
        <v>4</v>
      </c>
      <c r="F68" s="541">
        <v>6</v>
      </c>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2">D103&amp;"(含)"&amp;"-"&amp;E103</f>
        <v>100000(含)-200000</v>
      </c>
      <c r="E102" s="708" t="str">
        <f t="shared" si="22"/>
        <v>200000(含)-300000</v>
      </c>
      <c r="F102" s="708" t="str">
        <f t="shared" si="22"/>
        <v>300000(含)-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98</v>
      </c>
      <c r="E104" s="671">
        <v>96</v>
      </c>
      <c r="F104" s="671">
        <v>94</v>
      </c>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5"/>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758" t="s">
        <v>522</v>
      </c>
      <c r="D4" s="3759"/>
      <c r="E4" s="3782" t="s">
        <v>523</v>
      </c>
      <c r="F4" s="3783"/>
      <c r="G4" s="3758" t="s">
        <v>524</v>
      </c>
      <c r="H4" s="3759"/>
      <c r="I4" s="3758" t="s">
        <v>525</v>
      </c>
      <c r="J4" s="3759"/>
      <c r="K4" s="514" t="s">
        <v>526</v>
      </c>
      <c r="L4" s="2133"/>
      <c r="M4" s="2134"/>
      <c r="N4" s="2134"/>
      <c r="O4" s="2134"/>
      <c r="P4" s="3900" t="s">
        <v>527</v>
      </c>
      <c r="Q4" s="3761"/>
      <c r="R4" s="3746" t="s">
        <v>523</v>
      </c>
      <c r="S4" s="3747"/>
      <c r="T4" s="3746" t="s">
        <v>524</v>
      </c>
      <c r="U4" s="3747"/>
      <c r="V4" s="3766" t="s">
        <v>525</v>
      </c>
      <c r="W4" s="3766"/>
      <c r="X4" s="1568"/>
      <c r="Y4" s="3746" t="s">
        <v>527</v>
      </c>
      <c r="Z4" s="3747"/>
      <c r="AA4" s="3741" t="s">
        <v>523</v>
      </c>
      <c r="AB4" s="3741" t="s">
        <v>524</v>
      </c>
      <c r="AC4" s="3741" t="s">
        <v>525</v>
      </c>
    </row>
    <row r="5" spans="1:29" ht="15">
      <c r="A5" s="515"/>
      <c r="B5" s="516"/>
      <c r="C5" s="3769" t="s">
        <v>2929</v>
      </c>
      <c r="D5" s="3770"/>
      <c r="E5" s="3784" t="s">
        <v>2930</v>
      </c>
      <c r="F5" s="3785"/>
      <c r="G5" s="3769" t="s">
        <v>2931</v>
      </c>
      <c r="H5" s="3770"/>
      <c r="I5" s="3769" t="s">
        <v>2932</v>
      </c>
      <c r="J5" s="3770"/>
      <c r="K5" s="514"/>
      <c r="L5" s="2133"/>
      <c r="M5" s="2134"/>
      <c r="N5" s="2134"/>
      <c r="O5" s="2134"/>
      <c r="P5" s="3901"/>
      <c r="Q5" s="3763"/>
      <c r="R5" s="3748"/>
      <c r="S5" s="3749"/>
      <c r="T5" s="3748"/>
      <c r="U5" s="3749"/>
      <c r="V5" s="3766"/>
      <c r="W5" s="3766"/>
      <c r="X5" s="1568"/>
      <c r="Y5" s="3748"/>
      <c r="Z5" s="3749"/>
      <c r="AA5" s="3742"/>
      <c r="AB5" s="3742"/>
      <c r="AC5" s="3742"/>
    </row>
    <row r="6" spans="1:29" ht="15.75" thickBot="1">
      <c r="A6" s="517"/>
      <c r="B6" s="518"/>
      <c r="C6" s="3767" t="s">
        <v>2933</v>
      </c>
      <c r="D6" s="3768"/>
      <c r="E6" s="3786" t="s">
        <v>2933</v>
      </c>
      <c r="F6" s="3787"/>
      <c r="G6" s="3767" t="s">
        <v>2933</v>
      </c>
      <c r="H6" s="3768"/>
      <c r="I6" s="3767" t="s">
        <v>2933</v>
      </c>
      <c r="J6" s="3768"/>
      <c r="K6" s="514" t="s">
        <v>528</v>
      </c>
      <c r="L6" s="2133"/>
      <c r="M6" s="2134"/>
      <c r="N6" s="2134"/>
      <c r="O6" s="2134"/>
      <c r="P6" s="3902"/>
      <c r="Q6" s="3765"/>
      <c r="R6" s="3748"/>
      <c r="S6" s="3749"/>
      <c r="T6" s="3750"/>
      <c r="U6" s="3751"/>
      <c r="V6" s="3766"/>
      <c r="W6" s="3766"/>
      <c r="X6" s="1568"/>
      <c r="Y6" s="3750"/>
      <c r="Z6" s="3751"/>
      <c r="AA6" s="3743"/>
      <c r="AB6" s="3743"/>
      <c r="AC6" s="3743"/>
    </row>
    <row r="7" spans="1:29" s="1220" customFormat="1" ht="15.75" thickBot="1">
      <c r="A7" s="2890"/>
      <c r="B7" s="2897" t="s">
        <v>529</v>
      </c>
      <c r="C7" s="519">
        <f>'数据-取费表'!B2</f>
        <v>43649</v>
      </c>
      <c r="D7" s="520">
        <v>100</v>
      </c>
      <c r="E7" s="521"/>
      <c r="F7" s="522">
        <f>SUMIF(59:59,YEAR(E7)&amp;"-"&amp;MONTH(E7),60:60)</f>
        <v>0</v>
      </c>
      <c r="G7" s="521"/>
      <c r="H7" s="520">
        <f>SUMIF(59:59,YEAR(G7)&amp;"-"&amp;MONTH(G7),60:60)</f>
        <v>0</v>
      </c>
      <c r="I7" s="521"/>
      <c r="J7" s="520">
        <f>SUMIF(59:59,YEAR(I7)&amp;"-"&amp;MONTH(I7),60:60)</f>
        <v>0</v>
      </c>
      <c r="K7" s="524"/>
      <c r="L7" s="2135"/>
      <c r="M7" s="2136"/>
      <c r="N7" s="2136"/>
      <c r="O7" s="2136"/>
      <c r="P7" s="3753" t="s">
        <v>530</v>
      </c>
      <c r="Q7" s="3753"/>
      <c r="R7" s="1569" t="s">
        <v>8</v>
      </c>
      <c r="S7" s="1570">
        <f t="shared" ref="S7:S15" si="0">F7</f>
        <v>0</v>
      </c>
      <c r="T7" s="1569" t="s">
        <v>8</v>
      </c>
      <c r="U7" s="1570">
        <f t="shared" ref="U7:U15" si="1">H7</f>
        <v>0</v>
      </c>
      <c r="V7" s="1569" t="s">
        <v>8</v>
      </c>
      <c r="W7" s="1570">
        <f t="shared" ref="W7:W15" si="2">J7</f>
        <v>0</v>
      </c>
      <c r="X7" s="1571"/>
      <c r="Y7" s="3744" t="s">
        <v>530</v>
      </c>
      <c r="Z7" s="3745"/>
      <c r="AA7" s="1572" t="e">
        <f>D7/F7</f>
        <v>#DIV/0!</v>
      </c>
      <c r="AB7" s="1572" t="e">
        <f>D7/H7</f>
        <v>#DIV/0!</v>
      </c>
      <c r="AC7" s="1572" t="e">
        <f>D7/J7</f>
        <v>#DIV/0!</v>
      </c>
    </row>
    <row r="8" spans="1:29" s="1220"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753" t="s">
        <v>533</v>
      </c>
      <c r="Q8" s="3745"/>
      <c r="R8" s="1569" t="s">
        <v>8</v>
      </c>
      <c r="S8" s="1570">
        <f t="shared" si="0"/>
        <v>0</v>
      </c>
      <c r="T8" s="1569" t="s">
        <v>8</v>
      </c>
      <c r="U8" s="1570">
        <f t="shared" si="1"/>
        <v>0</v>
      </c>
      <c r="V8" s="1569" t="s">
        <v>8</v>
      </c>
      <c r="W8" s="1570">
        <f t="shared" si="2"/>
        <v>0</v>
      </c>
      <c r="X8" s="1571"/>
      <c r="Y8" s="3744" t="s">
        <v>533</v>
      </c>
      <c r="Z8" s="3745"/>
      <c r="AA8" s="1572" t="e">
        <f t="shared" ref="AA8:AA47" si="3">D8/F8</f>
        <v>#DIV/0!</v>
      </c>
      <c r="AB8" s="1572" t="e">
        <f t="shared" ref="AB8:AB47" si="4">D8/H8</f>
        <v>#DIV/0!</v>
      </c>
      <c r="AC8" s="1572" t="e">
        <f t="shared" ref="AC8:AC47" si="5">D8/J8</f>
        <v>#DIV/0!</v>
      </c>
    </row>
    <row r="9" spans="1:29" s="1220" customFormat="1" ht="15">
      <c r="A9" s="2892"/>
      <c r="B9" s="2899" t="s">
        <v>2757</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752" t="s">
        <v>535</v>
      </c>
      <c r="Q9" s="1151" t="str">
        <f t="shared" ref="Q9:Q15" si="6">B9</f>
        <v>用途</v>
      </c>
      <c r="R9" s="1569" t="s">
        <v>8</v>
      </c>
      <c r="S9" s="1570">
        <f t="shared" si="0"/>
        <v>100</v>
      </c>
      <c r="T9" s="1569" t="s">
        <v>8</v>
      </c>
      <c r="U9" s="1570">
        <f t="shared" si="1"/>
        <v>100</v>
      </c>
      <c r="V9" s="1569" t="s">
        <v>8</v>
      </c>
      <c r="W9" s="1570">
        <f t="shared" si="2"/>
        <v>100</v>
      </c>
      <c r="X9" s="1571"/>
      <c r="Y9" s="3709" t="s">
        <v>536</v>
      </c>
      <c r="Z9" s="1150" t="str">
        <f t="shared" ref="Z9:Z15" si="7">Q9</f>
        <v>用途</v>
      </c>
      <c r="AA9" s="1572">
        <f t="shared" si="3"/>
        <v>1</v>
      </c>
      <c r="AB9" s="1572">
        <f t="shared" si="4"/>
        <v>1</v>
      </c>
      <c r="AC9" s="1572">
        <f t="shared" si="5"/>
        <v>1</v>
      </c>
    </row>
    <row r="10" spans="1:29" s="1338" customFormat="1" ht="27">
      <c r="A10" s="2893"/>
      <c r="B10" s="2898" t="s">
        <v>2758</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752"/>
      <c r="Q10" s="1151" t="str">
        <f t="shared" si="6"/>
        <v>土地使用年限（年）</v>
      </c>
      <c r="R10" s="1569" t="s">
        <v>8</v>
      </c>
      <c r="S10" s="1570">
        <f t="shared" si="0"/>
        <v>100</v>
      </c>
      <c r="T10" s="1569" t="s">
        <v>8</v>
      </c>
      <c r="U10" s="1570">
        <f t="shared" si="1"/>
        <v>100</v>
      </c>
      <c r="V10" s="1569" t="s">
        <v>8</v>
      </c>
      <c r="W10" s="1570">
        <f t="shared" si="2"/>
        <v>100</v>
      </c>
      <c r="X10" s="1571"/>
      <c r="Y10" s="3709"/>
      <c r="Z10" s="1150" t="str">
        <f t="shared" si="7"/>
        <v>土地使用年限（年）</v>
      </c>
      <c r="AA10" s="1572">
        <f t="shared" si="3"/>
        <v>1</v>
      </c>
      <c r="AB10" s="1572">
        <f t="shared" si="4"/>
        <v>1</v>
      </c>
      <c r="AC10" s="1572">
        <f t="shared" si="5"/>
        <v>1</v>
      </c>
    </row>
    <row r="11" spans="1:29" ht="15">
      <c r="A11" s="2894"/>
      <c r="B11" s="2898"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752"/>
      <c r="Q11" s="1151" t="str">
        <f t="shared" si="6"/>
        <v>容积率</v>
      </c>
      <c r="R11" s="1569" t="s">
        <v>8</v>
      </c>
      <c r="S11" s="1570" t="e">
        <f t="shared" si="0"/>
        <v>#N/A</v>
      </c>
      <c r="T11" s="1569" t="s">
        <v>8</v>
      </c>
      <c r="U11" s="1570" t="e">
        <f t="shared" si="1"/>
        <v>#N/A</v>
      </c>
      <c r="V11" s="1569" t="s">
        <v>8</v>
      </c>
      <c r="W11" s="1570" t="e">
        <f t="shared" si="2"/>
        <v>#N/A</v>
      </c>
      <c r="X11" s="1571"/>
      <c r="Y11" s="3709"/>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752"/>
      <c r="Q12" s="1151">
        <f t="shared" si="6"/>
        <v>111</v>
      </c>
      <c r="R12" s="1569" t="s">
        <v>8</v>
      </c>
      <c r="S12" s="1570">
        <f t="shared" si="0"/>
        <v>100</v>
      </c>
      <c r="T12" s="1569" t="s">
        <v>8</v>
      </c>
      <c r="U12" s="1570">
        <f t="shared" si="1"/>
        <v>100</v>
      </c>
      <c r="V12" s="1569" t="s">
        <v>8</v>
      </c>
      <c r="W12" s="1570">
        <f t="shared" si="2"/>
        <v>100</v>
      </c>
      <c r="X12" s="1571"/>
      <c r="Y12" s="3709"/>
      <c r="Z12" s="1150">
        <f t="shared" si="7"/>
        <v>111</v>
      </c>
      <c r="AA12" s="1572">
        <f>D12/F12</f>
        <v>1</v>
      </c>
      <c r="AB12" s="1572">
        <f>D12/H12</f>
        <v>1</v>
      </c>
      <c r="AC12" s="1572">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752"/>
      <c r="Q13" s="1151">
        <f t="shared" si="6"/>
        <v>111</v>
      </c>
      <c r="R13" s="1569" t="s">
        <v>8</v>
      </c>
      <c r="S13" s="1570">
        <f t="shared" si="0"/>
        <v>100</v>
      </c>
      <c r="T13" s="1569" t="s">
        <v>8</v>
      </c>
      <c r="U13" s="1570">
        <f t="shared" si="1"/>
        <v>100</v>
      </c>
      <c r="V13" s="1569" t="s">
        <v>8</v>
      </c>
      <c r="W13" s="1570">
        <f t="shared" si="2"/>
        <v>100</v>
      </c>
      <c r="X13" s="1571"/>
      <c r="Y13" s="3709"/>
      <c r="Z13" s="1150">
        <f t="shared" si="7"/>
        <v>111</v>
      </c>
      <c r="AA13" s="1572">
        <f t="shared" si="3"/>
        <v>1</v>
      </c>
      <c r="AB13" s="1572">
        <f t="shared" si="4"/>
        <v>1</v>
      </c>
      <c r="AC13" s="1572">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752"/>
      <c r="Q14" s="1151">
        <f t="shared" si="6"/>
        <v>111</v>
      </c>
      <c r="R14" s="1569" t="s">
        <v>8</v>
      </c>
      <c r="S14" s="1570">
        <f t="shared" si="0"/>
        <v>100</v>
      </c>
      <c r="T14" s="1569" t="s">
        <v>8</v>
      </c>
      <c r="U14" s="1570">
        <f t="shared" si="1"/>
        <v>100</v>
      </c>
      <c r="V14" s="1569" t="s">
        <v>8</v>
      </c>
      <c r="W14" s="1570">
        <f t="shared" si="2"/>
        <v>100</v>
      </c>
      <c r="X14" s="1571"/>
      <c r="Y14" s="3709"/>
      <c r="Z14" s="1150">
        <f t="shared" si="7"/>
        <v>111</v>
      </c>
      <c r="AA14" s="1572">
        <f t="shared" si="3"/>
        <v>1</v>
      </c>
      <c r="AB14" s="1572">
        <f t="shared" si="4"/>
        <v>1</v>
      </c>
      <c r="AC14" s="1572">
        <f t="shared" si="5"/>
        <v>1</v>
      </c>
    </row>
    <row r="15" spans="1:29" ht="71.25">
      <c r="A15" s="2888"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754" t="s">
        <v>540</v>
      </c>
      <c r="Q15" s="1573" t="str">
        <f t="shared" si="6"/>
        <v>办公集聚程度</v>
      </c>
      <c r="R15" s="1574" t="s">
        <v>8</v>
      </c>
      <c r="S15" s="1575">
        <f t="shared" si="0"/>
        <v>100</v>
      </c>
      <c r="T15" s="1574" t="s">
        <v>8</v>
      </c>
      <c r="U15" s="1575">
        <f t="shared" si="1"/>
        <v>100</v>
      </c>
      <c r="V15" s="1574" t="s">
        <v>8</v>
      </c>
      <c r="W15" s="1575">
        <f t="shared" si="2"/>
        <v>100</v>
      </c>
      <c r="X15" s="1568"/>
      <c r="Y15" s="375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755"/>
      <c r="Q16" s="1573"/>
      <c r="R16" s="1574"/>
      <c r="S16" s="1575"/>
      <c r="T16" s="1574"/>
      <c r="U16" s="1575"/>
      <c r="V16" s="1574"/>
      <c r="W16" s="1575"/>
      <c r="X16" s="1568"/>
      <c r="Y16" s="375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755"/>
      <c r="Q17" s="1573" t="str">
        <f>B17</f>
        <v>交通便捷度</v>
      </c>
      <c r="R17" s="1574" t="s">
        <v>8</v>
      </c>
      <c r="S17" s="1575">
        <f>F17</f>
        <v>100</v>
      </c>
      <c r="T17" s="1574" t="s">
        <v>8</v>
      </c>
      <c r="U17" s="1575">
        <f>H17</f>
        <v>100</v>
      </c>
      <c r="V17" s="1574" t="s">
        <v>8</v>
      </c>
      <c r="W17" s="1575">
        <f>J17</f>
        <v>100</v>
      </c>
      <c r="X17" s="1568"/>
      <c r="Y17" s="375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755"/>
      <c r="Q18" s="1573"/>
      <c r="R18" s="1574"/>
      <c r="S18" s="1575"/>
      <c r="T18" s="1574"/>
      <c r="U18" s="1575"/>
      <c r="V18" s="1574"/>
      <c r="W18" s="1575"/>
      <c r="X18" s="1568"/>
      <c r="Y18" s="3755"/>
      <c r="Z18" s="1576"/>
      <c r="AA18" s="1577">
        <v>1</v>
      </c>
      <c r="AB18" s="1577">
        <v>1</v>
      </c>
      <c r="AC18" s="1577">
        <v>1</v>
      </c>
    </row>
    <row r="19" spans="1:29" ht="42.75">
      <c r="A19" s="532"/>
      <c r="B19" s="2582"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755"/>
      <c r="Q19" s="1573" t="str">
        <f>B19</f>
        <v>公共配套设施</v>
      </c>
      <c r="R19" s="1574" t="s">
        <v>8</v>
      </c>
      <c r="S19" s="1575">
        <f>F19</f>
        <v>100</v>
      </c>
      <c r="T19" s="1574" t="s">
        <v>8</v>
      </c>
      <c r="U19" s="1575">
        <f>H19</f>
        <v>100</v>
      </c>
      <c r="V19" s="1574" t="s">
        <v>8</v>
      </c>
      <c r="W19" s="1575">
        <f>J19</f>
        <v>100</v>
      </c>
      <c r="X19" s="1568"/>
      <c r="Y19" s="375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755"/>
      <c r="Q20" s="1573"/>
      <c r="R20" s="1574"/>
      <c r="S20" s="1575"/>
      <c r="T20" s="1574"/>
      <c r="U20" s="1575"/>
      <c r="V20" s="1574"/>
      <c r="W20" s="1575"/>
      <c r="X20" s="1568"/>
      <c r="Y20" s="3755"/>
      <c r="Z20" s="1576"/>
      <c r="AA20" s="1577">
        <v>1</v>
      </c>
      <c r="AB20" s="1577">
        <v>1</v>
      </c>
      <c r="AC20" s="1577">
        <v>1</v>
      </c>
    </row>
    <row r="21" spans="1:29" ht="28.5">
      <c r="A21" s="532"/>
      <c r="B21" s="2570"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755"/>
      <c r="Q21" s="2558" t="str">
        <f>B21</f>
        <v>基础设施水平</v>
      </c>
      <c r="R21" s="1574" t="s">
        <v>8</v>
      </c>
      <c r="S21" s="1575">
        <f>F21</f>
        <v>100</v>
      </c>
      <c r="T21" s="1574" t="s">
        <v>8</v>
      </c>
      <c r="U21" s="1575">
        <f>H21</f>
        <v>100</v>
      </c>
      <c r="V21" s="1574" t="s">
        <v>8</v>
      </c>
      <c r="W21" s="1575">
        <f>J21</f>
        <v>100</v>
      </c>
      <c r="X21" s="2560"/>
      <c r="Y21" s="3755"/>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2"/>
      <c r="M22" s="2134"/>
      <c r="N22" s="2134"/>
      <c r="O22" s="2134"/>
      <c r="P22" s="3755"/>
      <c r="Q22" s="2558"/>
      <c r="R22" s="1574"/>
      <c r="S22" s="1575"/>
      <c r="T22" s="1574"/>
      <c r="U22" s="1575"/>
      <c r="V22" s="1574"/>
      <c r="W22" s="1575"/>
      <c r="X22" s="2560"/>
      <c r="Y22" s="3755"/>
      <c r="Z22" s="2559"/>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755"/>
      <c r="Q23" s="1573" t="str">
        <f>B23</f>
        <v>环境质量</v>
      </c>
      <c r="R23" s="1574" t="s">
        <v>8</v>
      </c>
      <c r="S23" s="1575">
        <f>F23</f>
        <v>100</v>
      </c>
      <c r="T23" s="1574" t="s">
        <v>8</v>
      </c>
      <c r="U23" s="1575">
        <f>H23</f>
        <v>100</v>
      </c>
      <c r="V23" s="1574" t="s">
        <v>8</v>
      </c>
      <c r="W23" s="1575">
        <f>J23</f>
        <v>100</v>
      </c>
      <c r="X23" s="1568"/>
      <c r="Y23" s="375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755"/>
      <c r="Q24" s="1573"/>
      <c r="R24" s="1574"/>
      <c r="S24" s="1575"/>
      <c r="T24" s="1574"/>
      <c r="U24" s="1575"/>
      <c r="V24" s="1574"/>
      <c r="W24" s="1575"/>
      <c r="X24" s="1568"/>
      <c r="Y24" s="375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755"/>
      <c r="Q25" s="1573" t="str">
        <f>B25</f>
        <v>毗邻道路的类型与等级</v>
      </c>
      <c r="R25" s="1574" t="s">
        <v>8</v>
      </c>
      <c r="S25" s="1575">
        <f>F25</f>
        <v>100</v>
      </c>
      <c r="T25" s="1574" t="s">
        <v>8</v>
      </c>
      <c r="U25" s="1575">
        <f>H25</f>
        <v>100</v>
      </c>
      <c r="V25" s="1574" t="s">
        <v>8</v>
      </c>
      <c r="W25" s="1575">
        <f>J25</f>
        <v>100</v>
      </c>
      <c r="X25" s="1568"/>
      <c r="Y25" s="375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755"/>
      <c r="Q26" s="1573"/>
      <c r="R26" s="1574"/>
      <c r="S26" s="1575"/>
      <c r="T26" s="1574"/>
      <c r="U26" s="1575"/>
      <c r="V26" s="1574"/>
      <c r="W26" s="1575"/>
      <c r="X26" s="1568"/>
      <c r="Y26" s="375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755"/>
      <c r="Q27" s="1573" t="str">
        <f t="shared" ref="Q27:Q47" si="11">B27</f>
        <v>楼层</v>
      </c>
      <c r="R27" s="1574" t="s">
        <v>8</v>
      </c>
      <c r="S27" s="1575">
        <f>F27</f>
        <v>100</v>
      </c>
      <c r="T27" s="1574" t="s">
        <v>8</v>
      </c>
      <c r="U27" s="1575">
        <f>H27</f>
        <v>100</v>
      </c>
      <c r="V27" s="1574" t="s">
        <v>8</v>
      </c>
      <c r="W27" s="1575">
        <f>J27</f>
        <v>100</v>
      </c>
      <c r="X27" s="1568"/>
      <c r="Y27" s="375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755"/>
      <c r="Q28" s="1151" t="str">
        <f t="shared" si="11"/>
        <v>朝向</v>
      </c>
      <c r="R28" s="1569" t="s">
        <v>8</v>
      </c>
      <c r="S28" s="1570">
        <f>F28</f>
        <v>100</v>
      </c>
      <c r="T28" s="1569" t="s">
        <v>8</v>
      </c>
      <c r="U28" s="1570">
        <f>H28</f>
        <v>100</v>
      </c>
      <c r="V28" s="1569" t="s">
        <v>8</v>
      </c>
      <c r="W28" s="1570">
        <f>J28</f>
        <v>100</v>
      </c>
      <c r="X28" s="1571"/>
      <c r="Y28" s="375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755"/>
      <c r="Q29" s="1573">
        <f t="shared" si="11"/>
        <v>111</v>
      </c>
      <c r="R29" s="1574" t="s">
        <v>8</v>
      </c>
      <c r="S29" s="1575">
        <f t="shared" ref="S29:S47" si="12">F29</f>
        <v>100</v>
      </c>
      <c r="T29" s="1574" t="s">
        <v>8</v>
      </c>
      <c r="U29" s="1575">
        <f t="shared" ref="U29:U47" si="13">H29</f>
        <v>100</v>
      </c>
      <c r="V29" s="1574" t="s">
        <v>8</v>
      </c>
      <c r="W29" s="1575">
        <f t="shared" ref="W29:W47" si="14">J29</f>
        <v>100</v>
      </c>
      <c r="X29" s="1568"/>
      <c r="Y29" s="375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755"/>
      <c r="Q30" s="1573">
        <f t="shared" si="11"/>
        <v>111</v>
      </c>
      <c r="R30" s="1574" t="s">
        <v>8</v>
      </c>
      <c r="S30" s="1575">
        <f t="shared" si="12"/>
        <v>100</v>
      </c>
      <c r="T30" s="1574" t="s">
        <v>8</v>
      </c>
      <c r="U30" s="1575">
        <f t="shared" si="13"/>
        <v>100</v>
      </c>
      <c r="V30" s="1574" t="s">
        <v>8</v>
      </c>
      <c r="W30" s="1575">
        <f t="shared" si="14"/>
        <v>100</v>
      </c>
      <c r="X30" s="1568"/>
      <c r="Y30" s="375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755"/>
      <c r="Q31" s="1573">
        <f t="shared" si="11"/>
        <v>111</v>
      </c>
      <c r="R31" s="1574" t="s">
        <v>8</v>
      </c>
      <c r="S31" s="1575">
        <f t="shared" si="12"/>
        <v>100</v>
      </c>
      <c r="T31" s="1574" t="s">
        <v>8</v>
      </c>
      <c r="U31" s="1575">
        <f t="shared" si="13"/>
        <v>100</v>
      </c>
      <c r="V31" s="1574" t="s">
        <v>8</v>
      </c>
      <c r="W31" s="1575">
        <f t="shared" si="14"/>
        <v>100</v>
      </c>
      <c r="X31" s="1568"/>
      <c r="Y31" s="3755"/>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755"/>
      <c r="Q32" s="1573">
        <f t="shared" si="11"/>
        <v>111</v>
      </c>
      <c r="R32" s="1574" t="s">
        <v>8</v>
      </c>
      <c r="S32" s="1575">
        <f t="shared" si="12"/>
        <v>100</v>
      </c>
      <c r="T32" s="1574" t="s">
        <v>8</v>
      </c>
      <c r="U32" s="1575">
        <f t="shared" si="13"/>
        <v>100</v>
      </c>
      <c r="V32" s="1574" t="s">
        <v>8</v>
      </c>
      <c r="W32" s="1575">
        <f t="shared" si="14"/>
        <v>100</v>
      </c>
      <c r="X32" s="1568"/>
      <c r="Y32" s="3755"/>
      <c r="Z32" s="1576">
        <f t="shared" si="15"/>
        <v>111</v>
      </c>
      <c r="AA32" s="1577">
        <f t="shared" si="3"/>
        <v>1</v>
      </c>
      <c r="AB32" s="1577">
        <f t="shared" si="4"/>
        <v>1</v>
      </c>
      <c r="AC32" s="1577">
        <f t="shared" si="5"/>
        <v>1</v>
      </c>
    </row>
    <row r="33" spans="1:29" ht="15">
      <c r="A33" s="2885"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756" t="s">
        <v>550</v>
      </c>
      <c r="Q33" s="1573" t="str">
        <f t="shared" si="11"/>
        <v>建筑类型</v>
      </c>
      <c r="R33" s="1574" t="s">
        <v>8</v>
      </c>
      <c r="S33" s="1575">
        <f t="shared" si="12"/>
        <v>100</v>
      </c>
      <c r="T33" s="1574" t="s">
        <v>8</v>
      </c>
      <c r="U33" s="1575">
        <f t="shared" si="13"/>
        <v>100</v>
      </c>
      <c r="V33" s="1574" t="s">
        <v>8</v>
      </c>
      <c r="W33" s="1575">
        <f t="shared" si="14"/>
        <v>100</v>
      </c>
      <c r="X33" s="1568"/>
      <c r="Y33" s="3757"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757"/>
      <c r="Q34" s="1606" t="str">
        <f t="shared" si="11"/>
        <v>项目建筑规模</v>
      </c>
      <c r="R34" s="1578" t="s">
        <v>8</v>
      </c>
      <c r="S34" s="1579" t="e">
        <f t="shared" si="12"/>
        <v>#N/A</v>
      </c>
      <c r="T34" s="1578" t="s">
        <v>8</v>
      </c>
      <c r="U34" s="1579" t="e">
        <f t="shared" si="13"/>
        <v>#N/A</v>
      </c>
      <c r="V34" s="1578" t="s">
        <v>8</v>
      </c>
      <c r="W34" s="1579" t="e">
        <f t="shared" si="14"/>
        <v>#N/A</v>
      </c>
      <c r="X34" s="1580"/>
      <c r="Y34" s="3757"/>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757"/>
      <c r="Q35" s="1573" t="str">
        <f t="shared" si="11"/>
        <v>建筑结构</v>
      </c>
      <c r="R35" s="1574" t="s">
        <v>8</v>
      </c>
      <c r="S35" s="1575">
        <f t="shared" si="12"/>
        <v>100</v>
      </c>
      <c r="T35" s="1574" t="s">
        <v>8</v>
      </c>
      <c r="U35" s="1575">
        <f t="shared" si="13"/>
        <v>100</v>
      </c>
      <c r="V35" s="1574" t="s">
        <v>8</v>
      </c>
      <c r="W35" s="1575">
        <f t="shared" si="14"/>
        <v>100</v>
      </c>
      <c r="X35" s="1568"/>
      <c r="Y35" s="3757"/>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757"/>
      <c r="Q36" s="1573" t="str">
        <f t="shared" si="11"/>
        <v>公共部分装修</v>
      </c>
      <c r="R36" s="1574" t="s">
        <v>8</v>
      </c>
      <c r="S36" s="1575">
        <f t="shared" si="12"/>
        <v>100</v>
      </c>
      <c r="T36" s="1574" t="s">
        <v>8</v>
      </c>
      <c r="U36" s="1575">
        <f t="shared" si="13"/>
        <v>100</v>
      </c>
      <c r="V36" s="1574" t="s">
        <v>8</v>
      </c>
      <c r="W36" s="1575">
        <f t="shared" si="14"/>
        <v>100</v>
      </c>
      <c r="X36" s="1568"/>
      <c r="Y36" s="3757"/>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757"/>
      <c r="Q37" s="1573" t="str">
        <f t="shared" si="11"/>
        <v>成新度</v>
      </c>
      <c r="R37" s="1574" t="s">
        <v>8</v>
      </c>
      <c r="S37" s="1575" t="e">
        <f t="shared" si="12"/>
        <v>#N/A</v>
      </c>
      <c r="T37" s="1574" t="s">
        <v>8</v>
      </c>
      <c r="U37" s="1575" t="e">
        <f t="shared" si="13"/>
        <v>#N/A</v>
      </c>
      <c r="V37" s="1574" t="s">
        <v>8</v>
      </c>
      <c r="W37" s="1575" t="e">
        <f t="shared" si="14"/>
        <v>#N/A</v>
      </c>
      <c r="X37" s="1568"/>
      <c r="Y37" s="3757"/>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757"/>
      <c r="Q38" s="1151" t="str">
        <f t="shared" si="11"/>
        <v>写字楼等级</v>
      </c>
      <c r="R38" s="1569" t="s">
        <v>8</v>
      </c>
      <c r="S38" s="1570">
        <f t="shared" si="12"/>
        <v>100</v>
      </c>
      <c r="T38" s="1569" t="s">
        <v>8</v>
      </c>
      <c r="U38" s="1570">
        <f t="shared" si="13"/>
        <v>100</v>
      </c>
      <c r="V38" s="1569" t="s">
        <v>8</v>
      </c>
      <c r="W38" s="1570">
        <f t="shared" si="14"/>
        <v>100</v>
      </c>
      <c r="X38" s="1571"/>
      <c r="Y38" s="3757"/>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757" t="s">
        <v>550</v>
      </c>
      <c r="Q39" s="1573" t="str">
        <f t="shared" si="11"/>
        <v>物业管理</v>
      </c>
      <c r="R39" s="1574" t="s">
        <v>8</v>
      </c>
      <c r="S39" s="1575">
        <f t="shared" si="12"/>
        <v>100</v>
      </c>
      <c r="T39" s="1574" t="s">
        <v>8</v>
      </c>
      <c r="U39" s="1575">
        <f t="shared" si="13"/>
        <v>100</v>
      </c>
      <c r="V39" s="1574" t="s">
        <v>8</v>
      </c>
      <c r="W39" s="1575">
        <f t="shared" si="14"/>
        <v>100</v>
      </c>
      <c r="X39" s="1568"/>
      <c r="Y39" s="3757" t="s">
        <v>550</v>
      </c>
      <c r="Z39" s="1576" t="str">
        <f t="shared" si="15"/>
        <v>物业管理</v>
      </c>
      <c r="AA39" s="1577">
        <f t="shared" si="3"/>
        <v>1</v>
      </c>
      <c r="AB39" s="1577">
        <f t="shared" si="4"/>
        <v>1</v>
      </c>
      <c r="AC39" s="1577">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757"/>
      <c r="Q40" s="1573" t="str">
        <f t="shared" si="11"/>
        <v>市政基础设施</v>
      </c>
      <c r="R40" s="1574" t="s">
        <v>8</v>
      </c>
      <c r="S40" s="1575">
        <f t="shared" si="12"/>
        <v>100</v>
      </c>
      <c r="T40" s="1574" t="s">
        <v>8</v>
      </c>
      <c r="U40" s="1575">
        <f t="shared" si="13"/>
        <v>100</v>
      </c>
      <c r="V40" s="1574" t="s">
        <v>8</v>
      </c>
      <c r="W40" s="1575">
        <f t="shared" si="14"/>
        <v>100</v>
      </c>
      <c r="X40" s="1568"/>
      <c r="Y40" s="3757"/>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757"/>
      <c r="Q41" s="1573" t="str">
        <f t="shared" si="11"/>
        <v>层高</v>
      </c>
      <c r="R41" s="1574" t="s">
        <v>8</v>
      </c>
      <c r="S41" s="1575">
        <f t="shared" si="12"/>
        <v>100</v>
      </c>
      <c r="T41" s="1574" t="s">
        <v>8</v>
      </c>
      <c r="U41" s="1575">
        <f t="shared" si="13"/>
        <v>100</v>
      </c>
      <c r="V41" s="1574" t="s">
        <v>8</v>
      </c>
      <c r="W41" s="1575">
        <f t="shared" si="14"/>
        <v>100</v>
      </c>
      <c r="X41" s="1568"/>
      <c r="Y41" s="3757"/>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757"/>
      <c r="Q42" s="1606" t="str">
        <f t="shared" si="11"/>
        <v>单套建筑面积</v>
      </c>
      <c r="R42" s="1578" t="s">
        <v>8</v>
      </c>
      <c r="S42" s="1579">
        <f t="shared" si="12"/>
        <v>100</v>
      </c>
      <c r="T42" s="1578" t="s">
        <v>8</v>
      </c>
      <c r="U42" s="1579">
        <f t="shared" si="13"/>
        <v>100</v>
      </c>
      <c r="V42" s="1578" t="s">
        <v>8</v>
      </c>
      <c r="W42" s="1579">
        <f t="shared" si="14"/>
        <v>100</v>
      </c>
      <c r="X42" s="1580"/>
      <c r="Y42" s="3757"/>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757"/>
      <c r="Q43" s="1573" t="str">
        <f t="shared" si="11"/>
        <v>内部装修</v>
      </c>
      <c r="R43" s="1574" t="s">
        <v>8</v>
      </c>
      <c r="S43" s="1575">
        <f t="shared" si="12"/>
        <v>100</v>
      </c>
      <c r="T43" s="1574" t="s">
        <v>8</v>
      </c>
      <c r="U43" s="1575">
        <f t="shared" si="13"/>
        <v>100</v>
      </c>
      <c r="V43" s="1574" t="s">
        <v>8</v>
      </c>
      <c r="W43" s="1575">
        <f t="shared" si="14"/>
        <v>100</v>
      </c>
      <c r="X43" s="1568"/>
      <c r="Y43" s="3757"/>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757"/>
      <c r="Q44" s="1573" t="str">
        <f t="shared" si="11"/>
        <v>内部装修维护情况</v>
      </c>
      <c r="R44" s="1574" t="s">
        <v>8</v>
      </c>
      <c r="S44" s="1575">
        <f t="shared" si="12"/>
        <v>100</v>
      </c>
      <c r="T44" s="1574" t="s">
        <v>8</v>
      </c>
      <c r="U44" s="1575">
        <f t="shared" si="13"/>
        <v>100</v>
      </c>
      <c r="V44" s="1574" t="s">
        <v>8</v>
      </c>
      <c r="W44" s="1575">
        <f t="shared" si="14"/>
        <v>100</v>
      </c>
      <c r="X44" s="1568"/>
      <c r="Y44" s="375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757"/>
      <c r="Q45" s="1151">
        <f t="shared" si="11"/>
        <v>111</v>
      </c>
      <c r="R45" s="1569" t="s">
        <v>8</v>
      </c>
      <c r="S45" s="1570">
        <f t="shared" si="12"/>
        <v>100</v>
      </c>
      <c r="T45" s="1569" t="s">
        <v>8</v>
      </c>
      <c r="U45" s="1570">
        <f t="shared" si="13"/>
        <v>100</v>
      </c>
      <c r="V45" s="1569" t="s">
        <v>8</v>
      </c>
      <c r="W45" s="1570">
        <f t="shared" si="14"/>
        <v>100</v>
      </c>
      <c r="X45" s="1571"/>
      <c r="Y45" s="375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757"/>
      <c r="Q46" s="1573">
        <f t="shared" si="11"/>
        <v>111</v>
      </c>
      <c r="R46" s="1574" t="s">
        <v>8</v>
      </c>
      <c r="S46" s="1575">
        <f t="shared" si="12"/>
        <v>100</v>
      </c>
      <c r="T46" s="1574" t="s">
        <v>8</v>
      </c>
      <c r="U46" s="1575">
        <f t="shared" si="13"/>
        <v>100</v>
      </c>
      <c r="V46" s="1574" t="s">
        <v>8</v>
      </c>
      <c r="W46" s="1575">
        <f t="shared" si="14"/>
        <v>100</v>
      </c>
      <c r="X46" s="1568"/>
      <c r="Y46" s="3757"/>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899"/>
      <c r="Q47" s="1573">
        <f t="shared" si="11"/>
        <v>111</v>
      </c>
      <c r="R47" s="1574" t="s">
        <v>8</v>
      </c>
      <c r="S47" s="1575">
        <f t="shared" si="12"/>
        <v>100</v>
      </c>
      <c r="T47" s="1574" t="s">
        <v>8</v>
      </c>
      <c r="U47" s="1575">
        <f t="shared" si="13"/>
        <v>100</v>
      </c>
      <c r="V47" s="1574" t="s">
        <v>8</v>
      </c>
      <c r="W47" s="1575">
        <f t="shared" si="14"/>
        <v>100</v>
      </c>
      <c r="X47" s="1568"/>
      <c r="Y47" s="3899"/>
      <c r="Z47" s="1576">
        <f t="shared" si="15"/>
        <v>111</v>
      </c>
      <c r="AA47" s="1577">
        <f t="shared" si="3"/>
        <v>1</v>
      </c>
      <c r="AB47" s="1577">
        <f t="shared" si="4"/>
        <v>1</v>
      </c>
      <c r="AC47" s="1577">
        <f t="shared" si="5"/>
        <v>1</v>
      </c>
    </row>
    <row r="48" spans="1:29" ht="15">
      <c r="A48" s="607" t="s">
        <v>736</v>
      </c>
      <c r="B48" s="887"/>
      <c r="C48" s="2606" t="s">
        <v>1</v>
      </c>
      <c r="D48" s="2607"/>
      <c r="E48" s="2608"/>
      <c r="F48" s="2609"/>
      <c r="G48" s="2610"/>
      <c r="H48" s="2611"/>
      <c r="I48" s="2608"/>
      <c r="J48" s="2611"/>
      <c r="K48" s="1612"/>
      <c r="L48" s="2144"/>
      <c r="M48" s="2134"/>
      <c r="N48" s="2134"/>
      <c r="O48" s="2134"/>
      <c r="P48" s="3774" t="str">
        <f>A48</f>
        <v>成交单价（元/平方米）</v>
      </c>
      <c r="Q48" s="3752"/>
      <c r="R48" s="3898">
        <f>E48</f>
        <v>0</v>
      </c>
      <c r="S48" s="3898"/>
      <c r="T48" s="3898">
        <f>G48</f>
        <v>0</v>
      </c>
      <c r="U48" s="3898"/>
      <c r="V48" s="3898">
        <f>I48</f>
        <v>0</v>
      </c>
      <c r="W48" s="3898"/>
      <c r="X48" s="1560"/>
      <c r="Y48" s="1582"/>
      <c r="Z48" s="1560"/>
      <c r="AA48" s="1560"/>
      <c r="AB48" s="1560"/>
      <c r="AC48" s="1560"/>
    </row>
    <row r="49" spans="1:29" ht="15.75" thickBot="1">
      <c r="A49" s="615" t="s">
        <v>2761</v>
      </c>
      <c r="B49" s="888"/>
      <c r="C49" s="2612" t="e">
        <f>R50</f>
        <v>#DIV/0!</v>
      </c>
      <c r="D49" s="2613"/>
      <c r="E49" s="2614" t="e">
        <f>R49</f>
        <v>#DIV/0!</v>
      </c>
      <c r="F49" s="2614"/>
      <c r="G49" s="2612" t="e">
        <f>T49</f>
        <v>#DIV/0!</v>
      </c>
      <c r="H49" s="2613"/>
      <c r="I49" s="2614" t="e">
        <f>V49</f>
        <v>#DIV/0!</v>
      </c>
      <c r="J49" s="2613"/>
      <c r="K49" s="1613"/>
      <c r="L49" s="2144"/>
      <c r="M49" s="2134"/>
      <c r="N49" s="2134"/>
      <c r="O49" s="2134"/>
      <c r="P49" s="3774" t="str">
        <f>A49</f>
        <v>比较价格（元/平方米）</v>
      </c>
      <c r="Q49" s="3752"/>
      <c r="R49" s="3898" t="e">
        <f>IF(F1="售价",ROUND(PRODUCT(R48,AA7:AA47),0),ROUND(PRODUCT(R48,AA7:AA47),1))</f>
        <v>#DIV/0!</v>
      </c>
      <c r="S49" s="3898"/>
      <c r="T49" s="3898" t="e">
        <f>IF(F1="售价",ROUND(PRODUCT(T48,AB7:AB47),0),ROUND(PRODUCT(T48,AB7:AB47),1))</f>
        <v>#DIV/0!</v>
      </c>
      <c r="U49" s="3898"/>
      <c r="V49" s="3898" t="e">
        <f>IF(F1="售价",ROUND(PRODUCT(V48,AC7:AC47),0),ROUND(PRODUCT(V48,AC7:AC47),1))</f>
        <v>#DIV/0!</v>
      </c>
      <c r="W49" s="3898"/>
      <c r="X49" s="1560"/>
      <c r="Y49" s="1560"/>
      <c r="Z49" s="1560"/>
      <c r="AA49" s="1560"/>
      <c r="AB49" s="1560"/>
      <c r="AC49" s="1560"/>
    </row>
    <row r="50" spans="1:29" ht="15.75" thickBot="1">
      <c r="A50" s="621" t="s">
        <v>2935</v>
      </c>
      <c r="B50" s="622"/>
      <c r="C50" s="2615" t="e">
        <f>R50</f>
        <v>#DIV/0!</v>
      </c>
      <c r="D50" s="2615"/>
      <c r="E50" s="2615"/>
      <c r="F50" s="2615"/>
      <c r="G50" s="2615"/>
      <c r="H50" s="2615"/>
      <c r="I50" s="2615"/>
      <c r="J50" s="2615"/>
      <c r="K50" s="1614"/>
      <c r="L50" s="2144"/>
      <c r="M50" s="2134"/>
      <c r="N50" s="2134"/>
      <c r="O50" s="2134"/>
      <c r="P50" s="3903" t="str">
        <f>A50</f>
        <v>估价对象XX用房的比较价格（楼面单价，元/平方米）</v>
      </c>
      <c r="Q50" s="3774"/>
      <c r="R50" s="3897" t="e">
        <f>IF(F1="售价",ROUND(AVERAGE(R49:V49),0),ROUND(AVERAGE(R49:V49),1))</f>
        <v>#DIV/0!</v>
      </c>
      <c r="S50" s="3897"/>
      <c r="T50" s="3897"/>
      <c r="U50" s="3897"/>
      <c r="V50" s="3897"/>
      <c r="W50" s="3897"/>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780" t="str">
        <f>YEAR(C7)&amp;"-"&amp;MONTH(C7)</f>
        <v>2019-7</v>
      </c>
      <c r="D59" s="2782">
        <f>EDATE(C59,-1)</f>
        <v>43617</v>
      </c>
      <c r="E59" s="2782">
        <f t="shared" ref="E59:O59" si="16">EDATE(D59,-1)</f>
        <v>43586</v>
      </c>
      <c r="F59" s="2782">
        <f t="shared" si="16"/>
        <v>43556</v>
      </c>
      <c r="G59" s="2782">
        <f t="shared" si="16"/>
        <v>43525</v>
      </c>
      <c r="H59" s="2782">
        <f t="shared" si="16"/>
        <v>43497</v>
      </c>
      <c r="I59" s="2782">
        <f t="shared" si="16"/>
        <v>43466</v>
      </c>
      <c r="J59" s="2782">
        <f t="shared" si="16"/>
        <v>43435</v>
      </c>
      <c r="K59" s="2782">
        <f t="shared" si="16"/>
        <v>43405</v>
      </c>
      <c r="L59" s="2782">
        <f t="shared" si="16"/>
        <v>43374</v>
      </c>
      <c r="M59" s="2782">
        <f t="shared" si="16"/>
        <v>43344</v>
      </c>
      <c r="N59" s="2782">
        <f t="shared" si="16"/>
        <v>43313</v>
      </c>
      <c r="O59" s="2782">
        <f t="shared" si="16"/>
        <v>43282</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2559</v>
      </c>
      <c r="C83" s="2577" t="s">
        <v>2560</v>
      </c>
      <c r="D83" s="2577" t="s">
        <v>2561</v>
      </c>
      <c r="E83" s="2577" t="s">
        <v>2562</v>
      </c>
      <c r="F83" s="2577" t="s">
        <v>2563</v>
      </c>
      <c r="G83" s="2577" t="s">
        <v>2564</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758" t="s">
        <v>522</v>
      </c>
      <c r="D4" s="3759"/>
      <c r="E4" s="3782" t="s">
        <v>523</v>
      </c>
      <c r="F4" s="3783"/>
      <c r="G4" s="3758" t="s">
        <v>524</v>
      </c>
      <c r="H4" s="3759"/>
      <c r="I4" s="3758" t="s">
        <v>525</v>
      </c>
      <c r="J4" s="3759"/>
      <c r="K4" s="514" t="s">
        <v>526</v>
      </c>
      <c r="L4" s="2133"/>
      <c r="M4" s="2134"/>
      <c r="N4" s="2134"/>
      <c r="O4" s="2134"/>
      <c r="P4" s="3760" t="s">
        <v>527</v>
      </c>
      <c r="Q4" s="3761"/>
      <c r="R4" s="3746" t="s">
        <v>523</v>
      </c>
      <c r="S4" s="3747"/>
      <c r="T4" s="3746" t="s">
        <v>524</v>
      </c>
      <c r="U4" s="3747"/>
      <c r="V4" s="3766" t="s">
        <v>525</v>
      </c>
      <c r="W4" s="3766"/>
      <c r="X4" s="1568"/>
      <c r="Y4" s="3746" t="s">
        <v>527</v>
      </c>
      <c r="Z4" s="3747"/>
      <c r="AA4" s="3741" t="s">
        <v>523</v>
      </c>
      <c r="AB4" s="3742" t="s">
        <v>524</v>
      </c>
      <c r="AC4" s="3741" t="s">
        <v>525</v>
      </c>
    </row>
    <row r="5" spans="1:29" ht="15">
      <c r="A5" s="515"/>
      <c r="B5" s="516"/>
      <c r="C5" s="3769" t="s">
        <v>2929</v>
      </c>
      <c r="D5" s="3770"/>
      <c r="E5" s="3784" t="s">
        <v>2930</v>
      </c>
      <c r="F5" s="3785"/>
      <c r="G5" s="3769" t="s">
        <v>2931</v>
      </c>
      <c r="H5" s="3770"/>
      <c r="I5" s="3769" t="s">
        <v>2932</v>
      </c>
      <c r="J5" s="3770"/>
      <c r="K5" s="514"/>
      <c r="L5" s="2133"/>
      <c r="M5" s="2134"/>
      <c r="N5" s="2134"/>
      <c r="O5" s="2134"/>
      <c r="P5" s="3762"/>
      <c r="Q5" s="3763"/>
      <c r="R5" s="3748"/>
      <c r="S5" s="3749"/>
      <c r="T5" s="3748"/>
      <c r="U5" s="3749"/>
      <c r="V5" s="3766"/>
      <c r="W5" s="3766"/>
      <c r="X5" s="1568"/>
      <c r="Y5" s="3748"/>
      <c r="Z5" s="3749"/>
      <c r="AA5" s="3742"/>
      <c r="AB5" s="3742"/>
      <c r="AC5" s="3742"/>
    </row>
    <row r="6" spans="1:29" ht="15.75" thickBot="1">
      <c r="A6" s="517"/>
      <c r="B6" s="518"/>
      <c r="C6" s="3767" t="s">
        <v>2933</v>
      </c>
      <c r="D6" s="3768"/>
      <c r="E6" s="3786" t="s">
        <v>2933</v>
      </c>
      <c r="F6" s="3787"/>
      <c r="G6" s="3767" t="s">
        <v>2933</v>
      </c>
      <c r="H6" s="3768"/>
      <c r="I6" s="3767" t="s">
        <v>2933</v>
      </c>
      <c r="J6" s="3768"/>
      <c r="K6" s="514" t="s">
        <v>528</v>
      </c>
      <c r="L6" s="2133"/>
      <c r="M6" s="2134"/>
      <c r="N6" s="2134"/>
      <c r="O6" s="2134"/>
      <c r="P6" s="3764"/>
      <c r="Q6" s="3765"/>
      <c r="R6" s="3748"/>
      <c r="S6" s="3749"/>
      <c r="T6" s="3750"/>
      <c r="U6" s="3751"/>
      <c r="V6" s="3766"/>
      <c r="W6" s="3766"/>
      <c r="X6" s="1568"/>
      <c r="Y6" s="3750"/>
      <c r="Z6" s="3751"/>
      <c r="AA6" s="3743"/>
      <c r="AB6" s="3743"/>
      <c r="AC6" s="3743"/>
    </row>
    <row r="7" spans="1:29" s="1220" customFormat="1" ht="15.75" thickBot="1">
      <c r="A7" s="2890"/>
      <c r="B7" s="2897" t="s">
        <v>529</v>
      </c>
      <c r="C7" s="519">
        <f>'数据-取费表'!B2</f>
        <v>43649</v>
      </c>
      <c r="D7" s="520">
        <v>100</v>
      </c>
      <c r="E7" s="521"/>
      <c r="F7" s="522">
        <f>SUMIF(52:52,YEAR(E7)&amp;"-"&amp;MONTH(E7),53:53)</f>
        <v>0</v>
      </c>
      <c r="G7" s="521"/>
      <c r="H7" s="520">
        <f>SUMIF(52:52,YEAR(G7)&amp;"-"&amp;MONTH(G7),53:53)</f>
        <v>0</v>
      </c>
      <c r="I7" s="521"/>
      <c r="J7" s="520">
        <f>SUMIF(52:52,YEAR(I7)&amp;"-"&amp;MONTH(I7),53:53)</f>
        <v>0</v>
      </c>
      <c r="K7" s="524"/>
      <c r="L7" s="2135"/>
      <c r="M7" s="2136"/>
      <c r="N7" s="2136"/>
      <c r="O7" s="2136"/>
      <c r="P7" s="3744" t="s">
        <v>530</v>
      </c>
      <c r="Q7" s="3753"/>
      <c r="R7" s="1569" t="s">
        <v>8</v>
      </c>
      <c r="S7" s="1570">
        <f t="shared" ref="S7:S15" si="0">F7</f>
        <v>0</v>
      </c>
      <c r="T7" s="1569" t="s">
        <v>8</v>
      </c>
      <c r="U7" s="1570">
        <f t="shared" ref="U7:U15" si="1">H7</f>
        <v>0</v>
      </c>
      <c r="V7" s="1569" t="s">
        <v>8</v>
      </c>
      <c r="W7" s="1570">
        <f t="shared" ref="W7:W15" si="2">J7</f>
        <v>0</v>
      </c>
      <c r="X7" s="1571"/>
      <c r="Y7" s="3744" t="s">
        <v>530</v>
      </c>
      <c r="Z7" s="3745"/>
      <c r="AA7" s="1572" t="e">
        <f>D7/F7</f>
        <v>#DIV/0!</v>
      </c>
      <c r="AB7" s="1572" t="e">
        <f>D7/H7</f>
        <v>#DIV/0!</v>
      </c>
      <c r="AC7" s="1572" t="e">
        <f>D7/J7</f>
        <v>#DIV/0!</v>
      </c>
    </row>
    <row r="8" spans="1:29" s="1220"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744" t="s">
        <v>533</v>
      </c>
      <c r="Q8" s="3745"/>
      <c r="R8" s="1569" t="s">
        <v>8</v>
      </c>
      <c r="S8" s="1570">
        <f t="shared" si="0"/>
        <v>0</v>
      </c>
      <c r="T8" s="1569" t="s">
        <v>8</v>
      </c>
      <c r="U8" s="1570">
        <f t="shared" si="1"/>
        <v>0</v>
      </c>
      <c r="V8" s="1569" t="s">
        <v>8</v>
      </c>
      <c r="W8" s="1570">
        <f t="shared" si="2"/>
        <v>0</v>
      </c>
      <c r="X8" s="1571"/>
      <c r="Y8" s="3744" t="s">
        <v>533</v>
      </c>
      <c r="Z8" s="3745"/>
      <c r="AA8" s="1572" t="e">
        <f t="shared" ref="AA8:AA40" si="3">D8/F8</f>
        <v>#DIV/0!</v>
      </c>
      <c r="AB8" s="1572" t="e">
        <f t="shared" ref="AB8:AB40" si="4">D8/H8</f>
        <v>#DIV/0!</v>
      </c>
      <c r="AC8" s="1572" t="e">
        <f t="shared" ref="AC8:AC40" si="5">D8/J8</f>
        <v>#DIV/0!</v>
      </c>
    </row>
    <row r="9" spans="1:29" s="1220" customFormat="1" ht="15">
      <c r="A9" s="2892"/>
      <c r="B9" s="2899" t="s">
        <v>2757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752" t="s">
        <v>535</v>
      </c>
      <c r="Q9" s="1151" t="str">
        <f t="shared" ref="Q9:Q15" si="6">B9</f>
        <v>用途</v>
      </c>
      <c r="R9" s="1569" t="s">
        <v>8</v>
      </c>
      <c r="S9" s="1570">
        <f t="shared" si="0"/>
        <v>100</v>
      </c>
      <c r="T9" s="1569" t="s">
        <v>8</v>
      </c>
      <c r="U9" s="1570">
        <f t="shared" si="1"/>
        <v>100</v>
      </c>
      <c r="V9" s="1569" t="s">
        <v>8</v>
      </c>
      <c r="W9" s="1570">
        <f t="shared" si="2"/>
        <v>100</v>
      </c>
      <c r="X9" s="1571"/>
      <c r="Y9" s="3709" t="s">
        <v>536</v>
      </c>
      <c r="Z9" s="1150" t="str">
        <f t="shared" ref="Z9:Z15" si="7">Q9</f>
        <v>用途</v>
      </c>
      <c r="AA9" s="1572">
        <f t="shared" si="3"/>
        <v>1</v>
      </c>
      <c r="AB9" s="1572">
        <f t="shared" si="4"/>
        <v>1</v>
      </c>
      <c r="AC9" s="1572">
        <f t="shared" si="5"/>
        <v>1</v>
      </c>
    </row>
    <row r="10" spans="1:29" s="1338" customFormat="1" ht="27">
      <c r="A10" s="2893"/>
      <c r="B10" s="2898" t="s">
        <v>2758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752"/>
      <c r="Q10" s="1151" t="str">
        <f t="shared" si="6"/>
        <v>土地使用年限（年）</v>
      </c>
      <c r="R10" s="1569" t="s">
        <v>8</v>
      </c>
      <c r="S10" s="1570">
        <f t="shared" si="0"/>
        <v>100</v>
      </c>
      <c r="T10" s="1569" t="s">
        <v>8</v>
      </c>
      <c r="U10" s="1570">
        <f t="shared" si="1"/>
        <v>100</v>
      </c>
      <c r="V10" s="1569" t="s">
        <v>8</v>
      </c>
      <c r="W10" s="1570">
        <f t="shared" si="2"/>
        <v>100</v>
      </c>
      <c r="X10" s="1571"/>
      <c r="Y10" s="3709"/>
      <c r="Z10" s="1150" t="str">
        <f t="shared" si="7"/>
        <v>土地使用年限（年）</v>
      </c>
      <c r="AA10" s="1572">
        <f t="shared" si="3"/>
        <v>1</v>
      </c>
      <c r="AB10" s="1572">
        <f t="shared" si="4"/>
        <v>1</v>
      </c>
      <c r="AC10" s="1572">
        <f t="shared" si="5"/>
        <v>1</v>
      </c>
    </row>
    <row r="11" spans="1:29" ht="15">
      <c r="A11" s="2894"/>
      <c r="B11" s="2898"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752"/>
      <c r="Q11" s="1151" t="str">
        <f t="shared" si="6"/>
        <v>容积率</v>
      </c>
      <c r="R11" s="1569" t="s">
        <v>8</v>
      </c>
      <c r="S11" s="1570" t="e">
        <f t="shared" si="0"/>
        <v>#N/A</v>
      </c>
      <c r="T11" s="1569" t="s">
        <v>8</v>
      </c>
      <c r="U11" s="1570" t="e">
        <f t="shared" si="1"/>
        <v>#N/A</v>
      </c>
      <c r="V11" s="1569" t="s">
        <v>8</v>
      </c>
      <c r="W11" s="1570" t="e">
        <f t="shared" si="2"/>
        <v>#N/A</v>
      </c>
      <c r="X11" s="1571"/>
      <c r="Y11" s="3709"/>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752"/>
      <c r="Q12" s="1151">
        <f t="shared" si="6"/>
        <v>111</v>
      </c>
      <c r="R12" s="1569" t="s">
        <v>8</v>
      </c>
      <c r="S12" s="1570">
        <f t="shared" si="0"/>
        <v>100</v>
      </c>
      <c r="T12" s="1569" t="s">
        <v>8</v>
      </c>
      <c r="U12" s="1570">
        <f t="shared" si="1"/>
        <v>100</v>
      </c>
      <c r="V12" s="1569" t="s">
        <v>8</v>
      </c>
      <c r="W12" s="1570">
        <f t="shared" si="2"/>
        <v>100</v>
      </c>
      <c r="X12" s="1571"/>
      <c r="Y12" s="3709"/>
      <c r="Z12" s="1150">
        <f t="shared" si="7"/>
        <v>111</v>
      </c>
      <c r="AA12" s="1572">
        <f>D12/F12</f>
        <v>1</v>
      </c>
      <c r="AB12" s="1572">
        <f>D12/H12</f>
        <v>1</v>
      </c>
      <c r="AC12" s="1572">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752"/>
      <c r="Q13" s="1151">
        <f t="shared" si="6"/>
        <v>111</v>
      </c>
      <c r="R13" s="1569" t="s">
        <v>8</v>
      </c>
      <c r="S13" s="1570">
        <f t="shared" si="0"/>
        <v>100</v>
      </c>
      <c r="T13" s="1569" t="s">
        <v>8</v>
      </c>
      <c r="U13" s="1570">
        <f t="shared" si="1"/>
        <v>100</v>
      </c>
      <c r="V13" s="1569" t="s">
        <v>8</v>
      </c>
      <c r="W13" s="1570">
        <f t="shared" si="2"/>
        <v>100</v>
      </c>
      <c r="X13" s="1571"/>
      <c r="Y13" s="3709"/>
      <c r="Z13" s="1150">
        <f t="shared" si="7"/>
        <v>111</v>
      </c>
      <c r="AA13" s="1572">
        <f t="shared" si="3"/>
        <v>1</v>
      </c>
      <c r="AB13" s="1572">
        <f t="shared" si="4"/>
        <v>1</v>
      </c>
      <c r="AC13" s="1572">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752"/>
      <c r="Q14" s="1151">
        <f t="shared" si="6"/>
        <v>111</v>
      </c>
      <c r="R14" s="1569" t="s">
        <v>8</v>
      </c>
      <c r="S14" s="1570">
        <f t="shared" si="0"/>
        <v>100</v>
      </c>
      <c r="T14" s="1569" t="s">
        <v>8</v>
      </c>
      <c r="U14" s="1570">
        <f t="shared" si="1"/>
        <v>100</v>
      </c>
      <c r="V14" s="1569" t="s">
        <v>8</v>
      </c>
      <c r="W14" s="1570">
        <f t="shared" si="2"/>
        <v>100</v>
      </c>
      <c r="X14" s="1571"/>
      <c r="Y14" s="3709"/>
      <c r="Z14" s="1150">
        <f t="shared" si="7"/>
        <v>111</v>
      </c>
      <c r="AA14" s="1572">
        <f t="shared" si="3"/>
        <v>1</v>
      </c>
      <c r="AB14" s="1572">
        <f t="shared" si="4"/>
        <v>1</v>
      </c>
      <c r="AC14" s="1572">
        <f t="shared" si="5"/>
        <v>1</v>
      </c>
    </row>
    <row r="15" spans="1:29" ht="57">
      <c r="A15" s="2888"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754" t="s">
        <v>540</v>
      </c>
      <c r="Q15" s="1573" t="str">
        <f t="shared" si="6"/>
        <v>产业集聚程度</v>
      </c>
      <c r="R15" s="1574" t="s">
        <v>8</v>
      </c>
      <c r="S15" s="1575">
        <f t="shared" si="0"/>
        <v>100</v>
      </c>
      <c r="T15" s="1574" t="s">
        <v>8</v>
      </c>
      <c r="U15" s="1575">
        <f t="shared" si="1"/>
        <v>100</v>
      </c>
      <c r="V15" s="1574" t="s">
        <v>8</v>
      </c>
      <c r="W15" s="1575">
        <f t="shared" si="2"/>
        <v>100</v>
      </c>
      <c r="X15" s="1568"/>
      <c r="Y15" s="375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755"/>
      <c r="Q16" s="1573"/>
      <c r="R16" s="1574"/>
      <c r="S16" s="1575"/>
      <c r="T16" s="1574"/>
      <c r="U16" s="1575"/>
      <c r="V16" s="1574"/>
      <c r="W16" s="1575"/>
      <c r="X16" s="1568"/>
      <c r="Y16" s="375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755"/>
      <c r="Q17" s="1573" t="str">
        <f>B17</f>
        <v>交通便捷度</v>
      </c>
      <c r="R17" s="1574" t="s">
        <v>8</v>
      </c>
      <c r="S17" s="1575">
        <f>F17</f>
        <v>100</v>
      </c>
      <c r="T17" s="1574" t="s">
        <v>8</v>
      </c>
      <c r="U17" s="1575">
        <f>H17</f>
        <v>100</v>
      </c>
      <c r="V17" s="1574" t="s">
        <v>8</v>
      </c>
      <c r="W17" s="1575">
        <f>J17</f>
        <v>100</v>
      </c>
      <c r="X17" s="1568"/>
      <c r="Y17" s="375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755"/>
      <c r="Q18" s="1573"/>
      <c r="R18" s="1574"/>
      <c r="S18" s="1575"/>
      <c r="T18" s="1574"/>
      <c r="U18" s="1575"/>
      <c r="V18" s="1574"/>
      <c r="W18" s="1575"/>
      <c r="X18" s="1568"/>
      <c r="Y18" s="3755"/>
      <c r="Z18" s="1576"/>
      <c r="AA18" s="1577">
        <v>1</v>
      </c>
      <c r="AB18" s="1577">
        <v>1</v>
      </c>
      <c r="AC18" s="1577">
        <v>1</v>
      </c>
    </row>
    <row r="19" spans="1:29" ht="42.75">
      <c r="A19" s="532"/>
      <c r="B19" s="2582"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755"/>
      <c r="Q19" s="1573" t="str">
        <f>B19</f>
        <v>公共配套设施</v>
      </c>
      <c r="R19" s="1574" t="s">
        <v>8</v>
      </c>
      <c r="S19" s="1575">
        <f>F19</f>
        <v>100</v>
      </c>
      <c r="T19" s="1574" t="s">
        <v>8</v>
      </c>
      <c r="U19" s="1575">
        <f>H19</f>
        <v>100</v>
      </c>
      <c r="V19" s="1574" t="s">
        <v>8</v>
      </c>
      <c r="W19" s="1575">
        <f>J19</f>
        <v>100</v>
      </c>
      <c r="X19" s="1568"/>
      <c r="Y19" s="375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755"/>
      <c r="Q20" s="1573"/>
      <c r="R20" s="1574"/>
      <c r="S20" s="1575"/>
      <c r="T20" s="1574"/>
      <c r="U20" s="1575"/>
      <c r="V20" s="1574"/>
      <c r="W20" s="1575"/>
      <c r="X20" s="1568"/>
      <c r="Y20" s="3755"/>
      <c r="Z20" s="1576"/>
      <c r="AA20" s="1577">
        <v>1</v>
      </c>
      <c r="AB20" s="1577">
        <v>1</v>
      </c>
      <c r="AC20" s="1577">
        <v>1</v>
      </c>
    </row>
    <row r="21" spans="1:29" ht="28.5">
      <c r="A21" s="532"/>
      <c r="B21" s="2570"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755"/>
      <c r="Q21" s="2558" t="str">
        <f>B21</f>
        <v>基础设施水平</v>
      </c>
      <c r="R21" s="1574" t="s">
        <v>8</v>
      </c>
      <c r="S21" s="1575">
        <f>F21</f>
        <v>100</v>
      </c>
      <c r="T21" s="1574" t="s">
        <v>8</v>
      </c>
      <c r="U21" s="1575">
        <f>H21</f>
        <v>100</v>
      </c>
      <c r="V21" s="1574" t="s">
        <v>8</v>
      </c>
      <c r="W21" s="1575">
        <f>J21</f>
        <v>100</v>
      </c>
      <c r="X21" s="2560"/>
      <c r="Y21" s="3755"/>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2"/>
      <c r="M22" s="2134"/>
      <c r="N22" s="2134"/>
      <c r="O22" s="2141"/>
      <c r="P22" s="3755"/>
      <c r="Q22" s="2558"/>
      <c r="R22" s="1574"/>
      <c r="S22" s="1575"/>
      <c r="T22" s="1574"/>
      <c r="U22" s="1575"/>
      <c r="V22" s="1574"/>
      <c r="W22" s="1575"/>
      <c r="X22" s="2560"/>
      <c r="Y22" s="3755"/>
      <c r="Z22" s="2559"/>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755"/>
      <c r="Q23" s="1573" t="str">
        <f>B23</f>
        <v>环境质量</v>
      </c>
      <c r="R23" s="1574" t="s">
        <v>8</v>
      </c>
      <c r="S23" s="1575">
        <f>F23</f>
        <v>100</v>
      </c>
      <c r="T23" s="1574" t="s">
        <v>8</v>
      </c>
      <c r="U23" s="1575">
        <f>H23</f>
        <v>100</v>
      </c>
      <c r="V23" s="1574" t="s">
        <v>8</v>
      </c>
      <c r="W23" s="1575">
        <f>J23</f>
        <v>100</v>
      </c>
      <c r="X23" s="1568"/>
      <c r="Y23" s="375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755"/>
      <c r="Q24" s="1573"/>
      <c r="R24" s="1574"/>
      <c r="S24" s="1575"/>
      <c r="T24" s="1574"/>
      <c r="U24" s="1575"/>
      <c r="V24" s="1574"/>
      <c r="W24" s="1575"/>
      <c r="X24" s="1568"/>
      <c r="Y24" s="375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755"/>
      <c r="Q25" s="1573">
        <f>B25</f>
        <v>111</v>
      </c>
      <c r="R25" s="1574" t="s">
        <v>8</v>
      </c>
      <c r="S25" s="1575">
        <f>F25</f>
        <v>100</v>
      </c>
      <c r="T25" s="1574" t="s">
        <v>8</v>
      </c>
      <c r="U25" s="1575">
        <f>H25</f>
        <v>100</v>
      </c>
      <c r="V25" s="1574" t="s">
        <v>8</v>
      </c>
      <c r="W25" s="1575">
        <f>J25</f>
        <v>100</v>
      </c>
      <c r="X25" s="1568"/>
      <c r="Y25" s="375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755"/>
      <c r="Q26" s="1573">
        <f t="shared" ref="Q26:Q40" si="11">B26</f>
        <v>111</v>
      </c>
      <c r="R26" s="1574" t="s">
        <v>8</v>
      </c>
      <c r="S26" s="1575">
        <f>F26</f>
        <v>100</v>
      </c>
      <c r="T26" s="1574" t="s">
        <v>8</v>
      </c>
      <c r="U26" s="1575">
        <f>H26</f>
        <v>100</v>
      </c>
      <c r="V26" s="1574" t="s">
        <v>8</v>
      </c>
      <c r="W26" s="1575">
        <f>J26</f>
        <v>100</v>
      </c>
      <c r="X26" s="1568"/>
      <c r="Y26" s="375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755"/>
      <c r="Q27" s="1151">
        <f t="shared" si="11"/>
        <v>111</v>
      </c>
      <c r="R27" s="1569" t="s">
        <v>8</v>
      </c>
      <c r="S27" s="1570">
        <f>F27</f>
        <v>100</v>
      </c>
      <c r="T27" s="1569" t="s">
        <v>8</v>
      </c>
      <c r="U27" s="1570">
        <f>H27</f>
        <v>100</v>
      </c>
      <c r="V27" s="1569" t="s">
        <v>8</v>
      </c>
      <c r="W27" s="1570">
        <f>J27</f>
        <v>100</v>
      </c>
      <c r="X27" s="1571"/>
      <c r="Y27" s="375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755"/>
      <c r="Q28" s="1573">
        <f t="shared" si="11"/>
        <v>111</v>
      </c>
      <c r="R28" s="1574" t="s">
        <v>8</v>
      </c>
      <c r="S28" s="1575">
        <f t="shared" ref="S28:S40" si="12">F28</f>
        <v>100</v>
      </c>
      <c r="T28" s="1574" t="s">
        <v>8</v>
      </c>
      <c r="U28" s="1575">
        <f t="shared" ref="U28:U40" si="13">H28</f>
        <v>100</v>
      </c>
      <c r="V28" s="1574" t="s">
        <v>8</v>
      </c>
      <c r="W28" s="1575">
        <f t="shared" ref="W28:W40" si="14">J28</f>
        <v>100</v>
      </c>
      <c r="X28" s="1568"/>
      <c r="Y28" s="3755"/>
      <c r="Z28" s="1576">
        <f t="shared" ref="Z28:Z40" si="15">Q28</f>
        <v>111</v>
      </c>
      <c r="AA28" s="1577">
        <f t="shared" si="3"/>
        <v>1</v>
      </c>
      <c r="AB28" s="1577">
        <f t="shared" si="4"/>
        <v>1</v>
      </c>
      <c r="AC28" s="1577">
        <f t="shared" si="5"/>
        <v>1</v>
      </c>
    </row>
    <row r="29" spans="1:29" ht="15">
      <c r="A29" s="2885"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756" t="s">
        <v>550</v>
      </c>
      <c r="Q29" s="1573" t="str">
        <f t="shared" si="11"/>
        <v>建筑类型</v>
      </c>
      <c r="R29" s="1574" t="s">
        <v>8</v>
      </c>
      <c r="S29" s="1575">
        <f t="shared" si="12"/>
        <v>100</v>
      </c>
      <c r="T29" s="1574" t="s">
        <v>8</v>
      </c>
      <c r="U29" s="1575">
        <f t="shared" si="13"/>
        <v>100</v>
      </c>
      <c r="V29" s="1574" t="s">
        <v>8</v>
      </c>
      <c r="W29" s="1575">
        <f t="shared" si="14"/>
        <v>100</v>
      </c>
      <c r="X29" s="1568"/>
      <c r="Y29" s="3757"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757"/>
      <c r="Q30" s="1606" t="str">
        <f t="shared" si="11"/>
        <v>项目建筑规模</v>
      </c>
      <c r="R30" s="1578" t="s">
        <v>8</v>
      </c>
      <c r="S30" s="1579" t="e">
        <f t="shared" si="12"/>
        <v>#N/A</v>
      </c>
      <c r="T30" s="1578" t="s">
        <v>8</v>
      </c>
      <c r="U30" s="1579" t="e">
        <f t="shared" si="13"/>
        <v>#N/A</v>
      </c>
      <c r="V30" s="1578" t="s">
        <v>8</v>
      </c>
      <c r="W30" s="1579" t="e">
        <f t="shared" si="14"/>
        <v>#N/A</v>
      </c>
      <c r="X30" s="1580"/>
      <c r="Y30" s="3757"/>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757"/>
      <c r="Q31" s="1573" t="str">
        <f t="shared" si="11"/>
        <v>建筑结构</v>
      </c>
      <c r="R31" s="1574" t="s">
        <v>8</v>
      </c>
      <c r="S31" s="1575">
        <f t="shared" si="12"/>
        <v>100</v>
      </c>
      <c r="T31" s="1574" t="s">
        <v>8</v>
      </c>
      <c r="U31" s="1575">
        <f t="shared" si="13"/>
        <v>100</v>
      </c>
      <c r="V31" s="1574" t="s">
        <v>8</v>
      </c>
      <c r="W31" s="1575">
        <f t="shared" si="14"/>
        <v>100</v>
      </c>
      <c r="X31" s="1568"/>
      <c r="Y31" s="3757"/>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757"/>
      <c r="Q32" s="1573" t="str">
        <f t="shared" si="11"/>
        <v>公共部分装修</v>
      </c>
      <c r="R32" s="1574" t="s">
        <v>8</v>
      </c>
      <c r="S32" s="1575">
        <f t="shared" si="12"/>
        <v>100</v>
      </c>
      <c r="T32" s="1574" t="s">
        <v>8</v>
      </c>
      <c r="U32" s="1575">
        <f t="shared" si="13"/>
        <v>100</v>
      </c>
      <c r="V32" s="1574" t="s">
        <v>8</v>
      </c>
      <c r="W32" s="1575">
        <f t="shared" si="14"/>
        <v>100</v>
      </c>
      <c r="X32" s="1568"/>
      <c r="Y32" s="3757"/>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757"/>
      <c r="Q33" s="1573" t="str">
        <f t="shared" si="11"/>
        <v>成新度</v>
      </c>
      <c r="R33" s="1574" t="s">
        <v>8</v>
      </c>
      <c r="S33" s="1575" t="e">
        <f t="shared" si="12"/>
        <v>#N/A</v>
      </c>
      <c r="T33" s="1574" t="s">
        <v>8</v>
      </c>
      <c r="U33" s="1575" t="e">
        <f t="shared" si="13"/>
        <v>#N/A</v>
      </c>
      <c r="V33" s="1574" t="s">
        <v>8</v>
      </c>
      <c r="W33" s="1575" t="e">
        <f t="shared" si="14"/>
        <v>#N/A</v>
      </c>
      <c r="X33" s="1568"/>
      <c r="Y33" s="3757"/>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757"/>
      <c r="Q34" s="1151" t="str">
        <f t="shared" si="11"/>
        <v>物业管理</v>
      </c>
      <c r="R34" s="1569" t="s">
        <v>8</v>
      </c>
      <c r="S34" s="1570">
        <f t="shared" si="12"/>
        <v>100</v>
      </c>
      <c r="T34" s="1569" t="s">
        <v>8</v>
      </c>
      <c r="U34" s="1570">
        <f t="shared" si="13"/>
        <v>100</v>
      </c>
      <c r="V34" s="1569" t="s">
        <v>8</v>
      </c>
      <c r="W34" s="1570">
        <f t="shared" si="14"/>
        <v>100</v>
      </c>
      <c r="X34" s="1571"/>
      <c r="Y34" s="3757"/>
      <c r="Z34" s="1150" t="str">
        <f t="shared" si="15"/>
        <v>物业管理</v>
      </c>
      <c r="AA34" s="1572">
        <f t="shared" si="3"/>
        <v>1</v>
      </c>
      <c r="AB34" s="1572">
        <f t="shared" si="4"/>
        <v>1</v>
      </c>
      <c r="AC34" s="1572">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757" t="s">
        <v>550</v>
      </c>
      <c r="Q35" s="1573" t="str">
        <f t="shared" si="11"/>
        <v>市政基础设施</v>
      </c>
      <c r="R35" s="1574" t="s">
        <v>8</v>
      </c>
      <c r="S35" s="1575">
        <f t="shared" si="12"/>
        <v>100</v>
      </c>
      <c r="T35" s="1574" t="s">
        <v>8</v>
      </c>
      <c r="U35" s="1575">
        <f t="shared" si="13"/>
        <v>100</v>
      </c>
      <c r="V35" s="1574" t="s">
        <v>8</v>
      </c>
      <c r="W35" s="1575">
        <f t="shared" si="14"/>
        <v>100</v>
      </c>
      <c r="X35" s="1568"/>
      <c r="Y35" s="3757"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757"/>
      <c r="Q36" s="1573" t="str">
        <f t="shared" si="11"/>
        <v>内部装修</v>
      </c>
      <c r="R36" s="1574" t="s">
        <v>8</v>
      </c>
      <c r="S36" s="1575">
        <f t="shared" si="12"/>
        <v>100</v>
      </c>
      <c r="T36" s="1574" t="s">
        <v>8</v>
      </c>
      <c r="U36" s="1575">
        <f t="shared" si="13"/>
        <v>100</v>
      </c>
      <c r="V36" s="1574" t="s">
        <v>8</v>
      </c>
      <c r="W36" s="1575">
        <f t="shared" si="14"/>
        <v>100</v>
      </c>
      <c r="X36" s="1568"/>
      <c r="Y36" s="3757"/>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757"/>
      <c r="Q37" s="1573" t="str">
        <f t="shared" si="11"/>
        <v>内部装修状况</v>
      </c>
      <c r="R37" s="1574" t="s">
        <v>8</v>
      </c>
      <c r="S37" s="1575">
        <f t="shared" si="12"/>
        <v>100</v>
      </c>
      <c r="T37" s="1574" t="s">
        <v>8</v>
      </c>
      <c r="U37" s="1575">
        <f t="shared" si="13"/>
        <v>100</v>
      </c>
      <c r="V37" s="1574" t="s">
        <v>8</v>
      </c>
      <c r="W37" s="1575">
        <f t="shared" si="14"/>
        <v>100</v>
      </c>
      <c r="X37" s="1568"/>
      <c r="Y37" s="375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757"/>
      <c r="Q38" s="1606">
        <f t="shared" si="11"/>
        <v>111</v>
      </c>
      <c r="R38" s="1578" t="s">
        <v>8</v>
      </c>
      <c r="S38" s="1579">
        <f t="shared" si="12"/>
        <v>100</v>
      </c>
      <c r="T38" s="1578" t="s">
        <v>8</v>
      </c>
      <c r="U38" s="1579">
        <f t="shared" si="13"/>
        <v>100</v>
      </c>
      <c r="V38" s="1578" t="s">
        <v>8</v>
      </c>
      <c r="W38" s="1579">
        <f t="shared" si="14"/>
        <v>100</v>
      </c>
      <c r="X38" s="1580"/>
      <c r="Y38" s="375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757"/>
      <c r="Q39" s="1573">
        <f t="shared" si="11"/>
        <v>111</v>
      </c>
      <c r="R39" s="1574" t="s">
        <v>8</v>
      </c>
      <c r="S39" s="1575">
        <f t="shared" si="12"/>
        <v>100</v>
      </c>
      <c r="T39" s="1574" t="s">
        <v>8</v>
      </c>
      <c r="U39" s="1575">
        <f t="shared" si="13"/>
        <v>100</v>
      </c>
      <c r="V39" s="1574" t="s">
        <v>8</v>
      </c>
      <c r="W39" s="1575">
        <f t="shared" si="14"/>
        <v>100</v>
      </c>
      <c r="X39" s="1568"/>
      <c r="Y39" s="3757"/>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899"/>
      <c r="Q40" s="1573">
        <f t="shared" si="11"/>
        <v>111</v>
      </c>
      <c r="R40" s="1574" t="s">
        <v>8</v>
      </c>
      <c r="S40" s="1575">
        <f t="shared" si="12"/>
        <v>100</v>
      </c>
      <c r="T40" s="1574" t="s">
        <v>8</v>
      </c>
      <c r="U40" s="1575">
        <f t="shared" si="13"/>
        <v>100</v>
      </c>
      <c r="V40" s="1574" t="s">
        <v>8</v>
      </c>
      <c r="W40" s="1575">
        <f t="shared" si="14"/>
        <v>100</v>
      </c>
      <c r="X40" s="1568"/>
      <c r="Y40" s="3899"/>
      <c r="Z40" s="1576">
        <f t="shared" si="15"/>
        <v>111</v>
      </c>
      <c r="AA40" s="1577">
        <f t="shared" si="3"/>
        <v>1</v>
      </c>
      <c r="AB40" s="1577">
        <f t="shared" si="4"/>
        <v>1</v>
      </c>
      <c r="AC40" s="1577">
        <f t="shared" si="5"/>
        <v>1</v>
      </c>
    </row>
    <row r="41" spans="1:29" ht="15">
      <c r="A41" s="607" t="s">
        <v>736</v>
      </c>
      <c r="B41" s="887"/>
      <c r="C41" s="2606" t="s">
        <v>1</v>
      </c>
      <c r="D41" s="2607"/>
      <c r="E41" s="2608"/>
      <c r="F41" s="2609"/>
      <c r="G41" s="2610"/>
      <c r="H41" s="2611"/>
      <c r="I41" s="2608"/>
      <c r="J41" s="2611"/>
      <c r="K41" s="1612"/>
      <c r="L41" s="2144"/>
      <c r="M41" s="2145"/>
      <c r="N41" s="2134"/>
      <c r="O41" s="2145"/>
      <c r="P41" s="3752" t="str">
        <f>A41</f>
        <v>成交单价（元/平方米）</v>
      </c>
      <c r="Q41" s="3752"/>
      <c r="R41" s="3898">
        <f>E41</f>
        <v>0</v>
      </c>
      <c r="S41" s="3898"/>
      <c r="T41" s="3898">
        <f>G41</f>
        <v>0</v>
      </c>
      <c r="U41" s="3898"/>
      <c r="V41" s="3898">
        <f>I41</f>
        <v>0</v>
      </c>
      <c r="W41" s="3898"/>
      <c r="X41" s="1560"/>
      <c r="Y41" s="1582"/>
      <c r="Z41" s="1560"/>
      <c r="AA41" s="1560"/>
      <c r="AB41" s="1560"/>
      <c r="AC41" s="1560"/>
    </row>
    <row r="42" spans="1:29" ht="15.75" thickBot="1">
      <c r="A42" s="615" t="s">
        <v>2761</v>
      </c>
      <c r="B42" s="888"/>
      <c r="C42" s="2612" t="e">
        <f>R43</f>
        <v>#DIV/0!</v>
      </c>
      <c r="D42" s="2613"/>
      <c r="E42" s="2614" t="e">
        <f>R42</f>
        <v>#DIV/0!</v>
      </c>
      <c r="F42" s="2614"/>
      <c r="G42" s="2612" t="e">
        <f>T42</f>
        <v>#DIV/0!</v>
      </c>
      <c r="H42" s="2613"/>
      <c r="I42" s="2614" t="e">
        <f>V42</f>
        <v>#DIV/0!</v>
      </c>
      <c r="J42" s="2613"/>
      <c r="K42" s="1613"/>
      <c r="L42" s="2144"/>
      <c r="M42" s="2145"/>
      <c r="N42" s="2134"/>
      <c r="O42" s="2145"/>
      <c r="P42" s="3752" t="str">
        <f>A42</f>
        <v>比较价格（元/平方米）</v>
      </c>
      <c r="Q42" s="3752"/>
      <c r="R42" s="3898" t="e">
        <f>IF(F1="售价",ROUND(PRODUCT(R41,AA7:AA40),0),ROUND(PRODUCT(R41,AA7:AA40),1))</f>
        <v>#DIV/0!</v>
      </c>
      <c r="S42" s="3898"/>
      <c r="T42" s="3898" t="e">
        <f>IF(F1="售价",ROUND(PRODUCT(T41,AB7:AB40),0),ROUND(PRODUCT(T41,AB7:AB40),1))</f>
        <v>#DIV/0!</v>
      </c>
      <c r="U42" s="3898"/>
      <c r="V42" s="3898" t="e">
        <f>IF(F1="售价",ROUND(PRODUCT(V41,AC7:AC40),0),ROUND(PRODUCT(V41,AC7:AC40),1))</f>
        <v>#DIV/0!</v>
      </c>
      <c r="W42" s="3898"/>
      <c r="X42" s="1560"/>
      <c r="Y42" s="1560"/>
      <c r="Z42" s="1560"/>
      <c r="AA42" s="1560"/>
      <c r="AB42" s="1560"/>
      <c r="AC42" s="1560"/>
    </row>
    <row r="43" spans="1:29" ht="15.75" thickBot="1">
      <c r="A43" s="621" t="s">
        <v>2935</v>
      </c>
      <c r="B43" s="622"/>
      <c r="C43" s="2615" t="e">
        <f>R43</f>
        <v>#DIV/0!</v>
      </c>
      <c r="D43" s="2615"/>
      <c r="E43" s="2615"/>
      <c r="F43" s="2615"/>
      <c r="G43" s="2615"/>
      <c r="H43" s="2615"/>
      <c r="I43" s="2615"/>
      <c r="J43" s="2615"/>
      <c r="K43" s="1614"/>
      <c r="L43" s="2144"/>
      <c r="M43" s="2145"/>
      <c r="N43" s="2145"/>
      <c r="O43" s="2145"/>
      <c r="P43" s="3773" t="str">
        <f>A43</f>
        <v>估价对象XX用房的比较价格（楼面单价，元/平方米）</v>
      </c>
      <c r="Q43" s="3774"/>
      <c r="R43" s="3897" t="e">
        <f>IF(F1="售价",ROUND(AVERAGE(R42:V42),0),ROUND(AVERAGE(R42:V42),1))</f>
        <v>#DIV/0!</v>
      </c>
      <c r="S43" s="3897"/>
      <c r="T43" s="3897"/>
      <c r="U43" s="3897"/>
      <c r="V43" s="3897"/>
      <c r="W43" s="3897"/>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780" t="str">
        <f>YEAR(C7)&amp;"-"&amp;MONTH(C7)</f>
        <v>2019-7</v>
      </c>
      <c r="D52" s="2782">
        <f>EDATE(C52,-1)</f>
        <v>43617</v>
      </c>
      <c r="E52" s="2782">
        <f t="shared" ref="E52:O52" si="16">EDATE(D52,-1)</f>
        <v>43586</v>
      </c>
      <c r="F52" s="2782">
        <f t="shared" si="16"/>
        <v>43556</v>
      </c>
      <c r="G52" s="2782">
        <f t="shared" si="16"/>
        <v>43525</v>
      </c>
      <c r="H52" s="2782">
        <f t="shared" si="16"/>
        <v>43497</v>
      </c>
      <c r="I52" s="2782">
        <f t="shared" si="16"/>
        <v>43466</v>
      </c>
      <c r="J52" s="2782">
        <f t="shared" si="16"/>
        <v>43435</v>
      </c>
      <c r="K52" s="2782">
        <f t="shared" si="16"/>
        <v>43405</v>
      </c>
      <c r="L52" s="2782">
        <f t="shared" si="16"/>
        <v>43374</v>
      </c>
      <c r="M52" s="2782">
        <f t="shared" si="16"/>
        <v>43344</v>
      </c>
      <c r="N52" s="2782">
        <f t="shared" si="16"/>
        <v>43313</v>
      </c>
      <c r="O52" s="2782">
        <f t="shared" si="16"/>
        <v>43282</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2559</v>
      </c>
      <c r="C76" s="2577" t="s">
        <v>2560</v>
      </c>
      <c r="D76" s="2577" t="s">
        <v>2561</v>
      </c>
      <c r="E76" s="2577" t="s">
        <v>2562</v>
      </c>
      <c r="F76" s="2577" t="s">
        <v>2563</v>
      </c>
      <c r="G76" s="2577"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758" t="s">
        <v>798</v>
      </c>
      <c r="D4" s="3759"/>
      <c r="E4" s="3758" t="s">
        <v>799</v>
      </c>
      <c r="F4" s="3759"/>
      <c r="G4" s="3758" t="s">
        <v>800</v>
      </c>
      <c r="H4" s="3759"/>
      <c r="I4" s="3758" t="s">
        <v>801</v>
      </c>
      <c r="J4" s="3759"/>
      <c r="K4" s="514" t="s">
        <v>802</v>
      </c>
      <c r="L4" s="2133"/>
      <c r="M4" s="2134"/>
      <c r="N4" s="2134"/>
      <c r="O4" s="2134"/>
      <c r="P4" s="3760" t="s">
        <v>803</v>
      </c>
      <c r="Q4" s="3761"/>
      <c r="R4" s="3746" t="s">
        <v>799</v>
      </c>
      <c r="S4" s="3747"/>
      <c r="T4" s="3746" t="s">
        <v>800</v>
      </c>
      <c r="U4" s="3747"/>
      <c r="V4" s="3766" t="s">
        <v>801</v>
      </c>
      <c r="W4" s="3766"/>
      <c r="X4" s="1568"/>
      <c r="Y4" s="3746" t="s">
        <v>803</v>
      </c>
      <c r="Z4" s="3747"/>
      <c r="AA4" s="3741" t="s">
        <v>799</v>
      </c>
      <c r="AB4" s="3742" t="s">
        <v>800</v>
      </c>
      <c r="AC4" s="3741" t="s">
        <v>801</v>
      </c>
    </row>
    <row r="5" spans="1:29" ht="15">
      <c r="A5" s="515"/>
      <c r="B5" s="516"/>
      <c r="C5" s="3769" t="s">
        <v>2929</v>
      </c>
      <c r="D5" s="3770"/>
      <c r="E5" s="3769" t="s">
        <v>2930</v>
      </c>
      <c r="F5" s="3770"/>
      <c r="G5" s="3769" t="s">
        <v>2931</v>
      </c>
      <c r="H5" s="3770"/>
      <c r="I5" s="3769" t="s">
        <v>2932</v>
      </c>
      <c r="J5" s="3770"/>
      <c r="K5" s="514"/>
      <c r="L5" s="2133"/>
      <c r="M5" s="2134"/>
      <c r="N5" s="2134"/>
      <c r="O5" s="2134"/>
      <c r="P5" s="3762"/>
      <c r="Q5" s="3763"/>
      <c r="R5" s="3748"/>
      <c r="S5" s="3749"/>
      <c r="T5" s="3748"/>
      <c r="U5" s="3749"/>
      <c r="V5" s="3766"/>
      <c r="W5" s="3766"/>
      <c r="X5" s="1568"/>
      <c r="Y5" s="3748"/>
      <c r="Z5" s="3749"/>
      <c r="AA5" s="3742"/>
      <c r="AB5" s="3742"/>
      <c r="AC5" s="3742"/>
    </row>
    <row r="6" spans="1:29" ht="15.75" thickBot="1">
      <c r="A6" s="517"/>
      <c r="B6" s="518"/>
      <c r="C6" s="3767" t="s">
        <v>2933</v>
      </c>
      <c r="D6" s="3768"/>
      <c r="E6" s="3771" t="s">
        <v>2933</v>
      </c>
      <c r="F6" s="3772"/>
      <c r="G6" s="3767" t="s">
        <v>2933</v>
      </c>
      <c r="H6" s="3768"/>
      <c r="I6" s="3767" t="s">
        <v>2933</v>
      </c>
      <c r="J6" s="3768"/>
      <c r="K6" s="514" t="s">
        <v>528</v>
      </c>
      <c r="L6" s="2133"/>
      <c r="M6" s="2134"/>
      <c r="N6" s="2134"/>
      <c r="O6" s="2134"/>
      <c r="P6" s="3764"/>
      <c r="Q6" s="3765"/>
      <c r="R6" s="3748"/>
      <c r="S6" s="3749"/>
      <c r="T6" s="3750"/>
      <c r="U6" s="3751"/>
      <c r="V6" s="3766"/>
      <c r="W6" s="3766"/>
      <c r="X6" s="1568"/>
      <c r="Y6" s="3750"/>
      <c r="Z6" s="3751"/>
      <c r="AA6" s="3743"/>
      <c r="AB6" s="3743"/>
      <c r="AC6" s="3743"/>
    </row>
    <row r="7" spans="1:29" s="1220" customFormat="1" ht="15.75" thickBot="1">
      <c r="A7" s="2890"/>
      <c r="B7" s="2897" t="s">
        <v>529</v>
      </c>
      <c r="C7" s="519">
        <f>'数据-取费表'!B2</f>
        <v>43649</v>
      </c>
      <c r="D7" s="520">
        <v>100</v>
      </c>
      <c r="E7" s="521"/>
      <c r="F7" s="522">
        <f>SUMIF(48:48,YEAR(E7)&amp;"-"&amp;MONTH(E7),49:49)</f>
        <v>0</v>
      </c>
      <c r="G7" s="523"/>
      <c r="H7" s="520">
        <f>SUMIF(48:48,YEAR(G7)&amp;"-"&amp;MONTH(G7),49:49)</f>
        <v>0</v>
      </c>
      <c r="I7" s="523"/>
      <c r="J7" s="520">
        <f>SUMIF(48:48,YEAR(I7)&amp;"-"&amp;MONTH(I7),49:49)</f>
        <v>0</v>
      </c>
      <c r="K7" s="524"/>
      <c r="L7" s="2135"/>
      <c r="M7" s="2136"/>
      <c r="N7" s="2136"/>
      <c r="O7" s="2136"/>
      <c r="P7" s="3744" t="s">
        <v>530</v>
      </c>
      <c r="Q7" s="3753"/>
      <c r="R7" s="1569" t="s">
        <v>8</v>
      </c>
      <c r="S7" s="1570">
        <f t="shared" ref="S7:S14" si="0">F7</f>
        <v>0</v>
      </c>
      <c r="T7" s="1569" t="s">
        <v>8</v>
      </c>
      <c r="U7" s="1570">
        <f t="shared" ref="U7:U14" si="1">H7</f>
        <v>0</v>
      </c>
      <c r="V7" s="1569" t="s">
        <v>8</v>
      </c>
      <c r="W7" s="1570">
        <f t="shared" ref="W7:W14" si="2">J7</f>
        <v>0</v>
      </c>
      <c r="X7" s="1571"/>
      <c r="Y7" s="3744" t="s">
        <v>530</v>
      </c>
      <c r="Z7" s="3745"/>
      <c r="AA7" s="1572" t="e">
        <f>D7/F7</f>
        <v>#DIV/0!</v>
      </c>
      <c r="AB7" s="1572" t="e">
        <f>D7/H7</f>
        <v>#DIV/0!</v>
      </c>
      <c r="AC7" s="1572" t="e">
        <f>D7/J7</f>
        <v>#DIV/0!</v>
      </c>
    </row>
    <row r="8" spans="1:29" s="1220"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744" t="s">
        <v>533</v>
      </c>
      <c r="Q8" s="3745"/>
      <c r="R8" s="1569" t="s">
        <v>8</v>
      </c>
      <c r="S8" s="1570">
        <f t="shared" si="0"/>
        <v>0</v>
      </c>
      <c r="T8" s="1569" t="s">
        <v>8</v>
      </c>
      <c r="U8" s="1570">
        <f t="shared" si="1"/>
        <v>0</v>
      </c>
      <c r="V8" s="1569" t="s">
        <v>8</v>
      </c>
      <c r="W8" s="1570">
        <f t="shared" si="2"/>
        <v>0</v>
      </c>
      <c r="X8" s="1571"/>
      <c r="Y8" s="3744" t="s">
        <v>533</v>
      </c>
      <c r="Z8" s="3745"/>
      <c r="AA8" s="1572" t="e">
        <f t="shared" ref="AA8:AA36" si="3">D8/F8</f>
        <v>#DIV/0!</v>
      </c>
      <c r="AB8" s="1572" t="e">
        <f t="shared" ref="AB8:AB36" si="4">D8/H8</f>
        <v>#DIV/0!</v>
      </c>
      <c r="AC8" s="1572" t="e">
        <f t="shared" ref="AC8:AC36" si="5">D8/J8</f>
        <v>#DIV/0!</v>
      </c>
    </row>
    <row r="9" spans="1:29" s="1220" customFormat="1" ht="15">
      <c r="A9" s="2892"/>
      <c r="B9" s="2899" t="s">
        <v>2757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752" t="s">
        <v>535</v>
      </c>
      <c r="Q9" s="1151" t="str">
        <f t="shared" ref="Q9:Q14" si="6">B9</f>
        <v>用途</v>
      </c>
      <c r="R9" s="1569" t="s">
        <v>8</v>
      </c>
      <c r="S9" s="1570">
        <f t="shared" si="0"/>
        <v>100</v>
      </c>
      <c r="T9" s="1569" t="s">
        <v>8</v>
      </c>
      <c r="U9" s="1570">
        <f t="shared" si="1"/>
        <v>100</v>
      </c>
      <c r="V9" s="1569" t="s">
        <v>8</v>
      </c>
      <c r="W9" s="1570">
        <f t="shared" si="2"/>
        <v>100</v>
      </c>
      <c r="X9" s="1571"/>
      <c r="Y9" s="3709" t="s">
        <v>536</v>
      </c>
      <c r="Z9" s="1150" t="str">
        <f t="shared" ref="Z9:Z14" si="7">Q9</f>
        <v>用途</v>
      </c>
      <c r="AA9" s="1572">
        <f t="shared" si="3"/>
        <v>1</v>
      </c>
      <c r="AB9" s="1572">
        <f t="shared" si="4"/>
        <v>1</v>
      </c>
      <c r="AC9" s="1572">
        <f t="shared" si="5"/>
        <v>1</v>
      </c>
    </row>
    <row r="10" spans="1:29" s="1338" customFormat="1" ht="27">
      <c r="A10" s="2893"/>
      <c r="B10" s="2898" t="s">
        <v>2758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752"/>
      <c r="Q10" s="1151" t="str">
        <f t="shared" si="6"/>
        <v>土地使用年限（年）</v>
      </c>
      <c r="R10" s="1569" t="s">
        <v>8</v>
      </c>
      <c r="S10" s="1570">
        <f t="shared" si="0"/>
        <v>100</v>
      </c>
      <c r="T10" s="1569" t="s">
        <v>8</v>
      </c>
      <c r="U10" s="1570">
        <f t="shared" si="1"/>
        <v>100</v>
      </c>
      <c r="V10" s="1569" t="s">
        <v>8</v>
      </c>
      <c r="W10" s="1570">
        <f t="shared" si="2"/>
        <v>100</v>
      </c>
      <c r="X10" s="1571"/>
      <c r="Y10" s="3709"/>
      <c r="Z10" s="1150" t="str">
        <f t="shared" si="7"/>
        <v>土地使用年限（年）</v>
      </c>
      <c r="AA10" s="1572">
        <f t="shared" si="3"/>
        <v>1</v>
      </c>
      <c r="AB10" s="1572">
        <f t="shared" si="4"/>
        <v>1</v>
      </c>
      <c r="AC10" s="1572">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752"/>
      <c r="Q11" s="1151">
        <f t="shared" si="6"/>
        <v>111</v>
      </c>
      <c r="R11" s="1569" t="s">
        <v>8</v>
      </c>
      <c r="S11" s="1570">
        <f t="shared" si="0"/>
        <v>100</v>
      </c>
      <c r="T11" s="1569" t="s">
        <v>8</v>
      </c>
      <c r="U11" s="1570">
        <f t="shared" si="1"/>
        <v>100</v>
      </c>
      <c r="V11" s="1569" t="s">
        <v>8</v>
      </c>
      <c r="W11" s="1570">
        <f t="shared" si="2"/>
        <v>100</v>
      </c>
      <c r="X11" s="1571"/>
      <c r="Y11" s="3709"/>
      <c r="Z11" s="1150">
        <f t="shared" si="7"/>
        <v>111</v>
      </c>
      <c r="AA11" s="1572">
        <f t="shared" si="3"/>
        <v>1</v>
      </c>
      <c r="AB11" s="1572">
        <f t="shared" si="4"/>
        <v>1</v>
      </c>
      <c r="AC11" s="1572">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752"/>
      <c r="Q12" s="1151">
        <f t="shared" si="6"/>
        <v>111</v>
      </c>
      <c r="R12" s="1569" t="s">
        <v>8</v>
      </c>
      <c r="S12" s="1570">
        <f t="shared" si="0"/>
        <v>100</v>
      </c>
      <c r="T12" s="1569" t="s">
        <v>8</v>
      </c>
      <c r="U12" s="1570">
        <f t="shared" si="1"/>
        <v>100</v>
      </c>
      <c r="V12" s="1569" t="s">
        <v>8</v>
      </c>
      <c r="W12" s="1570">
        <f t="shared" si="2"/>
        <v>100</v>
      </c>
      <c r="X12" s="1571"/>
      <c r="Y12" s="3709"/>
      <c r="Z12" s="1150">
        <f t="shared" si="7"/>
        <v>111</v>
      </c>
      <c r="AA12" s="1572">
        <f>D12/F12</f>
        <v>1</v>
      </c>
      <c r="AB12" s="1572">
        <f>D12/H12</f>
        <v>1</v>
      </c>
      <c r="AC12" s="1572">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752"/>
      <c r="Q13" s="1151">
        <f t="shared" si="6"/>
        <v>111</v>
      </c>
      <c r="R13" s="1569" t="s">
        <v>8</v>
      </c>
      <c r="S13" s="1570">
        <f t="shared" si="0"/>
        <v>100</v>
      </c>
      <c r="T13" s="1569" t="s">
        <v>8</v>
      </c>
      <c r="U13" s="1570">
        <f t="shared" si="1"/>
        <v>100</v>
      </c>
      <c r="V13" s="1569" t="s">
        <v>8</v>
      </c>
      <c r="W13" s="1570">
        <f t="shared" si="2"/>
        <v>100</v>
      </c>
      <c r="X13" s="1571"/>
      <c r="Y13" s="3709"/>
      <c r="Z13" s="1150">
        <f t="shared" si="7"/>
        <v>111</v>
      </c>
      <c r="AA13" s="1572">
        <f t="shared" si="3"/>
        <v>1</v>
      </c>
      <c r="AB13" s="1572">
        <f t="shared" si="4"/>
        <v>1</v>
      </c>
      <c r="AC13" s="1572">
        <f t="shared" si="5"/>
        <v>1</v>
      </c>
    </row>
    <row r="14" spans="1:29" ht="85.5">
      <c r="A14" s="2888"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754" t="s">
        <v>540</v>
      </c>
      <c r="Q14" s="1573" t="str">
        <f t="shared" si="6"/>
        <v>交通便捷度</v>
      </c>
      <c r="R14" s="1574" t="s">
        <v>8</v>
      </c>
      <c r="S14" s="1575">
        <f t="shared" si="0"/>
        <v>100</v>
      </c>
      <c r="T14" s="1574" t="s">
        <v>8</v>
      </c>
      <c r="U14" s="1575">
        <f t="shared" si="1"/>
        <v>100</v>
      </c>
      <c r="V14" s="1574" t="s">
        <v>8</v>
      </c>
      <c r="W14" s="1575">
        <f t="shared" si="2"/>
        <v>100</v>
      </c>
      <c r="X14" s="1568"/>
      <c r="Y14" s="375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755"/>
      <c r="Q15" s="1573"/>
      <c r="R15" s="1574"/>
      <c r="S15" s="1575"/>
      <c r="T15" s="1574"/>
      <c r="U15" s="1575"/>
      <c r="V15" s="1574"/>
      <c r="W15" s="1575"/>
      <c r="X15" s="1568"/>
      <c r="Y15" s="3755"/>
      <c r="Z15" s="1576"/>
      <c r="AA15" s="1577">
        <v>1</v>
      </c>
      <c r="AB15" s="1577">
        <v>1</v>
      </c>
      <c r="AC15" s="1577">
        <v>1</v>
      </c>
    </row>
    <row r="16" spans="1:29" ht="42.75">
      <c r="A16" s="515"/>
      <c r="B16" s="2582"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755"/>
      <c r="Q16" s="1573" t="str">
        <f>B16</f>
        <v>公共配套设施</v>
      </c>
      <c r="R16" s="1574" t="s">
        <v>8</v>
      </c>
      <c r="S16" s="1575">
        <f>F16</f>
        <v>100</v>
      </c>
      <c r="T16" s="1574" t="s">
        <v>8</v>
      </c>
      <c r="U16" s="1575">
        <f>H16</f>
        <v>100</v>
      </c>
      <c r="V16" s="1574" t="s">
        <v>8</v>
      </c>
      <c r="W16" s="1575">
        <f>J16</f>
        <v>100</v>
      </c>
      <c r="X16" s="1568"/>
      <c r="Y16" s="375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755"/>
      <c r="Q17" s="1573"/>
      <c r="R17" s="1574"/>
      <c r="S17" s="1575"/>
      <c r="T17" s="1574"/>
      <c r="U17" s="1575"/>
      <c r="V17" s="1574"/>
      <c r="W17" s="1575"/>
      <c r="X17" s="1568"/>
      <c r="Y17" s="3755"/>
      <c r="Z17" s="1576"/>
      <c r="AA17" s="1577">
        <v>1</v>
      </c>
      <c r="AB17" s="1577">
        <v>1</v>
      </c>
      <c r="AC17" s="1577">
        <v>1</v>
      </c>
    </row>
    <row r="18" spans="1:29" ht="28.5">
      <c r="A18" s="515"/>
      <c r="B18" s="2570"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755"/>
      <c r="Q18" s="2558" t="str">
        <f>B18</f>
        <v>基础设施水平</v>
      </c>
      <c r="R18" s="1574" t="s">
        <v>8</v>
      </c>
      <c r="S18" s="1575">
        <f>F18</f>
        <v>100</v>
      </c>
      <c r="T18" s="1574" t="s">
        <v>8</v>
      </c>
      <c r="U18" s="1575">
        <f>H18</f>
        <v>100</v>
      </c>
      <c r="V18" s="1574" t="s">
        <v>8</v>
      </c>
      <c r="W18" s="1575">
        <f>J18</f>
        <v>100</v>
      </c>
      <c r="X18" s="2560"/>
      <c r="Y18" s="3755"/>
      <c r="Z18" s="255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1"/>
      <c r="L19" s="2142"/>
      <c r="M19" s="2134"/>
      <c r="N19" s="2134"/>
      <c r="O19" s="2141"/>
      <c r="P19" s="3755"/>
      <c r="Q19" s="2558"/>
      <c r="R19" s="1574"/>
      <c r="S19" s="1575"/>
      <c r="T19" s="1574"/>
      <c r="U19" s="1575"/>
      <c r="V19" s="1574"/>
      <c r="W19" s="1575"/>
      <c r="X19" s="2560"/>
      <c r="Y19" s="3755"/>
      <c r="Z19" s="2559"/>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755"/>
      <c r="Q20" s="1573" t="str">
        <f>B20</f>
        <v>自然及人文环境</v>
      </c>
      <c r="R20" s="1574" t="s">
        <v>8</v>
      </c>
      <c r="S20" s="1575">
        <f>F20</f>
        <v>100</v>
      </c>
      <c r="T20" s="1574" t="s">
        <v>8</v>
      </c>
      <c r="U20" s="1575">
        <f>H20</f>
        <v>100</v>
      </c>
      <c r="V20" s="1574" t="s">
        <v>8</v>
      </c>
      <c r="W20" s="1575">
        <f>J20</f>
        <v>100</v>
      </c>
      <c r="X20" s="1568"/>
      <c r="Y20" s="375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755"/>
      <c r="Q21" s="1573"/>
      <c r="R21" s="1574"/>
      <c r="S21" s="1575"/>
      <c r="T21" s="1574"/>
      <c r="U21" s="1575"/>
      <c r="V21" s="1574"/>
      <c r="W21" s="1575"/>
      <c r="X21" s="1568"/>
      <c r="Y21" s="375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755"/>
      <c r="Q22" s="1573" t="str">
        <f>B22</f>
        <v>楼层</v>
      </c>
      <c r="R22" s="1574" t="s">
        <v>8</v>
      </c>
      <c r="S22" s="1575">
        <f>F22</f>
        <v>100</v>
      </c>
      <c r="T22" s="1574" t="s">
        <v>8</v>
      </c>
      <c r="U22" s="1575">
        <f>H22</f>
        <v>100</v>
      </c>
      <c r="V22" s="1574" t="s">
        <v>8</v>
      </c>
      <c r="W22" s="1575">
        <f>J22</f>
        <v>100</v>
      </c>
      <c r="X22" s="1568"/>
      <c r="Y22" s="375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755"/>
      <c r="Q23" s="1573">
        <f>B23</f>
        <v>111</v>
      </c>
      <c r="R23" s="1574" t="s">
        <v>8</v>
      </c>
      <c r="S23" s="1575">
        <f>F23</f>
        <v>100</v>
      </c>
      <c r="T23" s="1574" t="s">
        <v>8</v>
      </c>
      <c r="U23" s="1575">
        <f>H23</f>
        <v>100</v>
      </c>
      <c r="V23" s="1574" t="s">
        <v>8</v>
      </c>
      <c r="W23" s="1575">
        <f>J23</f>
        <v>100</v>
      </c>
      <c r="X23" s="1568"/>
      <c r="Y23" s="375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755"/>
      <c r="Q24" s="1573">
        <f t="shared" ref="Q24:Q36" si="11">B24</f>
        <v>111</v>
      </c>
      <c r="R24" s="1574" t="s">
        <v>8</v>
      </c>
      <c r="S24" s="1575">
        <f>F24</f>
        <v>100</v>
      </c>
      <c r="T24" s="1574" t="s">
        <v>8</v>
      </c>
      <c r="U24" s="1575">
        <f>H24</f>
        <v>100</v>
      </c>
      <c r="V24" s="1574" t="s">
        <v>8</v>
      </c>
      <c r="W24" s="1575">
        <f>J24</f>
        <v>100</v>
      </c>
      <c r="X24" s="1568"/>
      <c r="Y24" s="375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755"/>
      <c r="Q25" s="1151">
        <f t="shared" si="11"/>
        <v>111</v>
      </c>
      <c r="R25" s="1569" t="s">
        <v>8</v>
      </c>
      <c r="S25" s="1570">
        <f>F25</f>
        <v>100</v>
      </c>
      <c r="T25" s="1569" t="s">
        <v>8</v>
      </c>
      <c r="U25" s="1570">
        <f>H25</f>
        <v>100</v>
      </c>
      <c r="V25" s="1569" t="s">
        <v>8</v>
      </c>
      <c r="W25" s="1570">
        <f>J25</f>
        <v>100</v>
      </c>
      <c r="X25" s="1571"/>
      <c r="Y25" s="3755"/>
      <c r="Z25" s="1150">
        <f>Q25</f>
        <v>111</v>
      </c>
      <c r="AA25" s="1577">
        <f>D25/F25</f>
        <v>1</v>
      </c>
      <c r="AB25" s="1577">
        <f>D25/H25</f>
        <v>1</v>
      </c>
      <c r="AC25" s="1577">
        <f>D25/J25</f>
        <v>1</v>
      </c>
    </row>
    <row r="26" spans="1:29" ht="15">
      <c r="A26" s="2885"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756"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757"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757"/>
      <c r="Q27" s="1606" t="str">
        <f t="shared" si="11"/>
        <v>项目停车位配比</v>
      </c>
      <c r="R27" s="1578" t="s">
        <v>8</v>
      </c>
      <c r="S27" s="1579">
        <f t="shared" si="12"/>
        <v>100</v>
      </c>
      <c r="T27" s="1578" t="s">
        <v>8</v>
      </c>
      <c r="U27" s="1579">
        <f t="shared" si="13"/>
        <v>100</v>
      </c>
      <c r="V27" s="1578" t="s">
        <v>8</v>
      </c>
      <c r="W27" s="1579">
        <f t="shared" si="14"/>
        <v>100</v>
      </c>
      <c r="X27" s="1580"/>
      <c r="Y27" s="3757"/>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757"/>
      <c r="Q28" s="1573" t="str">
        <f t="shared" si="11"/>
        <v>公共部分装修</v>
      </c>
      <c r="R28" s="1574" t="s">
        <v>8</v>
      </c>
      <c r="S28" s="1575">
        <f t="shared" si="12"/>
        <v>100</v>
      </c>
      <c r="T28" s="1574" t="s">
        <v>8</v>
      </c>
      <c r="U28" s="1575">
        <f t="shared" si="13"/>
        <v>100</v>
      </c>
      <c r="V28" s="1574" t="s">
        <v>8</v>
      </c>
      <c r="W28" s="1575">
        <f t="shared" si="14"/>
        <v>100</v>
      </c>
      <c r="X28" s="1568"/>
      <c r="Y28" s="3757"/>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757"/>
      <c r="Q29" s="1573" t="str">
        <f t="shared" si="11"/>
        <v>成新率</v>
      </c>
      <c r="R29" s="1574" t="s">
        <v>8</v>
      </c>
      <c r="S29" s="1575" t="e">
        <f t="shared" si="12"/>
        <v>#N/A</v>
      </c>
      <c r="T29" s="1574" t="s">
        <v>8</v>
      </c>
      <c r="U29" s="1575" t="e">
        <f t="shared" si="13"/>
        <v>#N/A</v>
      </c>
      <c r="V29" s="1574" t="s">
        <v>8</v>
      </c>
      <c r="W29" s="1575" t="e">
        <f t="shared" si="14"/>
        <v>#N/A</v>
      </c>
      <c r="X29" s="1568"/>
      <c r="Y29" s="3757"/>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757"/>
      <c r="Q30" s="1573" t="str">
        <f t="shared" si="11"/>
        <v>物业等级</v>
      </c>
      <c r="R30" s="1574" t="s">
        <v>8</v>
      </c>
      <c r="S30" s="1575">
        <f t="shared" si="12"/>
        <v>100</v>
      </c>
      <c r="T30" s="1574" t="s">
        <v>8</v>
      </c>
      <c r="U30" s="1575">
        <f t="shared" si="13"/>
        <v>100</v>
      </c>
      <c r="V30" s="1574" t="s">
        <v>8</v>
      </c>
      <c r="W30" s="1575">
        <f t="shared" si="14"/>
        <v>100</v>
      </c>
      <c r="X30" s="1568"/>
      <c r="Y30" s="3757"/>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757"/>
      <c r="Q31" s="1151" t="str">
        <f t="shared" si="11"/>
        <v>停车位面积</v>
      </c>
      <c r="R31" s="1569" t="s">
        <v>8</v>
      </c>
      <c r="S31" s="1570" t="e">
        <f t="shared" si="12"/>
        <v>#N/A</v>
      </c>
      <c r="T31" s="1569" t="s">
        <v>8</v>
      </c>
      <c r="U31" s="1570" t="e">
        <f t="shared" si="13"/>
        <v>#N/A</v>
      </c>
      <c r="V31" s="1569" t="s">
        <v>8</v>
      </c>
      <c r="W31" s="1570" t="e">
        <f t="shared" si="14"/>
        <v>#N/A</v>
      </c>
      <c r="X31" s="1571"/>
      <c r="Y31" s="3757"/>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757" t="s">
        <v>550</v>
      </c>
      <c r="Q32" s="1573" t="str">
        <f t="shared" si="11"/>
        <v>车位类型</v>
      </c>
      <c r="R32" s="1574" t="s">
        <v>8</v>
      </c>
      <c r="S32" s="1575">
        <f t="shared" si="12"/>
        <v>100</v>
      </c>
      <c r="T32" s="1574" t="s">
        <v>8</v>
      </c>
      <c r="U32" s="1575">
        <f t="shared" si="13"/>
        <v>100</v>
      </c>
      <c r="V32" s="1574" t="s">
        <v>8</v>
      </c>
      <c r="W32" s="1575">
        <f t="shared" si="14"/>
        <v>100</v>
      </c>
      <c r="X32" s="1568"/>
      <c r="Y32" s="3757"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757"/>
      <c r="Q33" s="1573" t="str">
        <f t="shared" si="11"/>
        <v>是否直接入户</v>
      </c>
      <c r="R33" s="1574" t="s">
        <v>8</v>
      </c>
      <c r="S33" s="1575">
        <f t="shared" si="12"/>
        <v>100</v>
      </c>
      <c r="T33" s="1574" t="s">
        <v>8</v>
      </c>
      <c r="U33" s="1575">
        <f t="shared" si="13"/>
        <v>100</v>
      </c>
      <c r="V33" s="1574" t="s">
        <v>8</v>
      </c>
      <c r="W33" s="1575">
        <f t="shared" si="14"/>
        <v>100</v>
      </c>
      <c r="X33" s="1568"/>
      <c r="Y33" s="375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757"/>
      <c r="Q34" s="1573">
        <f t="shared" si="11"/>
        <v>111</v>
      </c>
      <c r="R34" s="1574" t="s">
        <v>8</v>
      </c>
      <c r="S34" s="1575">
        <f t="shared" si="12"/>
        <v>100</v>
      </c>
      <c r="T34" s="1574" t="s">
        <v>8</v>
      </c>
      <c r="U34" s="1575">
        <f t="shared" si="13"/>
        <v>100</v>
      </c>
      <c r="V34" s="1574" t="s">
        <v>8</v>
      </c>
      <c r="W34" s="1575">
        <f t="shared" si="14"/>
        <v>100</v>
      </c>
      <c r="X34" s="1568"/>
      <c r="Y34" s="375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757"/>
      <c r="Q35" s="1606">
        <f t="shared" si="11"/>
        <v>111</v>
      </c>
      <c r="R35" s="1578" t="s">
        <v>8</v>
      </c>
      <c r="S35" s="1579">
        <f t="shared" si="12"/>
        <v>100</v>
      </c>
      <c r="T35" s="1578" t="s">
        <v>8</v>
      </c>
      <c r="U35" s="1579">
        <f t="shared" si="13"/>
        <v>100</v>
      </c>
      <c r="V35" s="1578" t="s">
        <v>8</v>
      </c>
      <c r="W35" s="1579">
        <f t="shared" si="14"/>
        <v>100</v>
      </c>
      <c r="X35" s="1580"/>
      <c r="Y35" s="3757"/>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757"/>
      <c r="Q36" s="1573">
        <f t="shared" si="11"/>
        <v>111</v>
      </c>
      <c r="R36" s="1574" t="s">
        <v>8</v>
      </c>
      <c r="S36" s="1575">
        <f t="shared" si="12"/>
        <v>100</v>
      </c>
      <c r="T36" s="1574" t="s">
        <v>8</v>
      </c>
      <c r="U36" s="1575">
        <f t="shared" si="13"/>
        <v>100</v>
      </c>
      <c r="V36" s="1574" t="s">
        <v>8</v>
      </c>
      <c r="W36" s="1575">
        <f t="shared" si="14"/>
        <v>100</v>
      </c>
      <c r="X36" s="1568"/>
      <c r="Y36" s="3757"/>
      <c r="Z36" s="1576">
        <f t="shared" si="15"/>
        <v>111</v>
      </c>
      <c r="AA36" s="1577">
        <f t="shared" si="3"/>
        <v>1</v>
      </c>
      <c r="AB36" s="1577">
        <f t="shared" si="4"/>
        <v>1</v>
      </c>
      <c r="AC36" s="1577">
        <f t="shared" si="5"/>
        <v>1</v>
      </c>
    </row>
    <row r="37" spans="1:29" ht="15">
      <c r="A37" s="1846" t="s">
        <v>2078</v>
      </c>
      <c r="B37" s="1847" t="s">
        <v>2079</v>
      </c>
      <c r="C37" s="2606" t="s">
        <v>1</v>
      </c>
      <c r="D37" s="2607"/>
      <c r="E37" s="2608"/>
      <c r="F37" s="2609"/>
      <c r="G37" s="2610"/>
      <c r="H37" s="2611"/>
      <c r="I37" s="2608"/>
      <c r="J37" s="2611"/>
      <c r="K37" s="1612"/>
      <c r="L37" s="2144"/>
      <c r="M37" s="2145"/>
      <c r="N37" s="2134"/>
      <c r="O37" s="2145"/>
      <c r="P37" s="3752" t="str">
        <f>A37</f>
        <v>成交单价</v>
      </c>
      <c r="Q37" s="3752"/>
      <c r="R37" s="3898">
        <f>E37</f>
        <v>0</v>
      </c>
      <c r="S37" s="3898"/>
      <c r="T37" s="3898">
        <f>G37</f>
        <v>0</v>
      </c>
      <c r="U37" s="3898"/>
      <c r="V37" s="3898">
        <f>I37</f>
        <v>0</v>
      </c>
      <c r="W37" s="3898"/>
      <c r="X37" s="1560"/>
      <c r="Y37" s="1582"/>
      <c r="Z37" s="1560"/>
      <c r="AA37" s="1560"/>
      <c r="AB37" s="1560"/>
      <c r="AC37" s="1560"/>
    </row>
    <row r="38" spans="1:29" ht="15.75" thickBot="1">
      <c r="A38" s="615" t="s">
        <v>2761</v>
      </c>
      <c r="B38" s="888"/>
      <c r="C38" s="2612" t="e">
        <f>R39</f>
        <v>#DIV/0!</v>
      </c>
      <c r="D38" s="2613"/>
      <c r="E38" s="2614" t="e">
        <f>R38</f>
        <v>#DIV/0!</v>
      </c>
      <c r="F38" s="2614"/>
      <c r="G38" s="2612" t="e">
        <f>T38</f>
        <v>#DIV/0!</v>
      </c>
      <c r="H38" s="2613"/>
      <c r="I38" s="2614" t="e">
        <f>V38</f>
        <v>#DIV/0!</v>
      </c>
      <c r="J38" s="2613"/>
      <c r="K38" s="1613"/>
      <c r="L38" s="2144"/>
      <c r="M38" s="2145"/>
      <c r="N38" s="2145"/>
      <c r="O38" s="2145"/>
      <c r="P38" s="3752" t="str">
        <f>A38</f>
        <v>比较价格（元/平方米）</v>
      </c>
      <c r="Q38" s="3752"/>
      <c r="R38" s="3898" t="e">
        <f>IF(F1="售价",ROUND(PRODUCT(R37,AA7:AA36),0),ROUND(PRODUCT(R37,AA7:AA36),1))</f>
        <v>#DIV/0!</v>
      </c>
      <c r="S38" s="3898"/>
      <c r="T38" s="3898" t="e">
        <f>IF(F1="售价",ROUND(PRODUCT(T37,AB7:AB36),0),ROUND(PRODUCT(T37,AB7:AB36),1))</f>
        <v>#DIV/0!</v>
      </c>
      <c r="U38" s="3898"/>
      <c r="V38" s="3898" t="e">
        <f>IF(F1="售价",ROUND(PRODUCT(V37,AC7:AC36),0),ROUND(PRODUCT(V37,AC7:AC36),1))</f>
        <v>#DIV/0!</v>
      </c>
      <c r="W38" s="3898"/>
      <c r="X38" s="1560"/>
      <c r="Y38" s="1560"/>
      <c r="Z38" s="1560"/>
      <c r="AA38" s="1560"/>
      <c r="AB38" s="1560"/>
      <c r="AC38" s="1560"/>
    </row>
    <row r="39" spans="1:29" ht="15.75" thickBot="1">
      <c r="A39" s="621" t="s">
        <v>2935</v>
      </c>
      <c r="B39" s="622"/>
      <c r="C39" s="2615" t="e">
        <f>R39</f>
        <v>#DIV/0!</v>
      </c>
      <c r="D39" s="2615"/>
      <c r="E39" s="2615"/>
      <c r="F39" s="2615"/>
      <c r="G39" s="2615"/>
      <c r="H39" s="2615"/>
      <c r="I39" s="2615"/>
      <c r="J39" s="2615"/>
      <c r="K39" s="1614"/>
      <c r="L39" s="2144"/>
      <c r="M39" s="2145"/>
      <c r="N39" s="2145"/>
      <c r="O39" s="2145"/>
      <c r="P39" s="3773" t="str">
        <f>A39</f>
        <v>估价对象XX用房的比较价格（楼面单价，元/平方米）</v>
      </c>
      <c r="Q39" s="3774"/>
      <c r="R39" s="3897" t="e">
        <f>IF(F1="售价",ROUND(AVERAGE(R38:V38),0),ROUND(AVERAGE(R38:V38),1))</f>
        <v>#DIV/0!</v>
      </c>
      <c r="S39" s="3897"/>
      <c r="T39" s="3897"/>
      <c r="U39" s="3897"/>
      <c r="V39" s="3897"/>
      <c r="W39" s="3897"/>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780" t="str">
        <f>YEAR(C7)&amp;"-"&amp;MONTH(C7)</f>
        <v>2019-7</v>
      </c>
      <c r="D48" s="2782">
        <f>EDATE(C48,-1)</f>
        <v>43617</v>
      </c>
      <c r="E48" s="2782">
        <f t="shared" ref="E48:O48" si="16">EDATE(D48,-1)</f>
        <v>43586</v>
      </c>
      <c r="F48" s="2782">
        <f t="shared" si="16"/>
        <v>43556</v>
      </c>
      <c r="G48" s="2782">
        <f t="shared" si="16"/>
        <v>43525</v>
      </c>
      <c r="H48" s="2782">
        <f t="shared" si="16"/>
        <v>43497</v>
      </c>
      <c r="I48" s="2782">
        <f t="shared" si="16"/>
        <v>43466</v>
      </c>
      <c r="J48" s="2782">
        <f t="shared" si="16"/>
        <v>43435</v>
      </c>
      <c r="K48" s="2782">
        <f t="shared" si="16"/>
        <v>43405</v>
      </c>
      <c r="L48" s="2782">
        <f t="shared" si="16"/>
        <v>43374</v>
      </c>
      <c r="M48" s="2782">
        <f t="shared" si="16"/>
        <v>43344</v>
      </c>
      <c r="N48" s="2782">
        <f t="shared" si="16"/>
        <v>43313</v>
      </c>
      <c r="O48" s="2782">
        <f t="shared" si="16"/>
        <v>43282</v>
      </c>
      <c r="P48" s="2160"/>
      <c r="Q48" s="2161"/>
      <c r="R48" s="2161"/>
      <c r="S48" s="2161"/>
      <c r="T48" s="2161"/>
      <c r="U48" s="2161"/>
      <c r="V48" s="2161"/>
      <c r="W48" s="2161"/>
      <c r="X48" s="2161"/>
      <c r="Y48" s="2161"/>
      <c r="Z48" s="2161"/>
      <c r="AA48" s="2161"/>
      <c r="AB48" s="2161"/>
      <c r="AC48" s="2161"/>
    </row>
    <row r="49" spans="1:29" s="1220" customFormat="1" ht="15">
      <c r="A49" s="647"/>
      <c r="B49" s="648"/>
      <c r="C49" s="278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2559</v>
      </c>
      <c r="C67" s="2577" t="s">
        <v>2560</v>
      </c>
      <c r="D67" s="2577" t="s">
        <v>2561</v>
      </c>
      <c r="E67" s="2577" t="s">
        <v>2562</v>
      </c>
      <c r="F67" s="2577" t="s">
        <v>2563</v>
      </c>
      <c r="G67" s="2577" t="s">
        <v>2564</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758" t="s">
        <v>798</v>
      </c>
      <c r="D4" s="3759"/>
      <c r="E4" s="3782" t="s">
        <v>799</v>
      </c>
      <c r="F4" s="3783"/>
      <c r="G4" s="3758" t="s">
        <v>800</v>
      </c>
      <c r="H4" s="3759"/>
      <c r="I4" s="3758" t="s">
        <v>801</v>
      </c>
      <c r="J4" s="3759"/>
      <c r="K4" s="514" t="s">
        <v>802</v>
      </c>
      <c r="L4" s="2133"/>
      <c r="M4" s="2134"/>
      <c r="N4" s="2134"/>
      <c r="O4" s="2134"/>
      <c r="P4" s="3760" t="s">
        <v>803</v>
      </c>
      <c r="Q4" s="3761"/>
      <c r="R4" s="3746" t="s">
        <v>799</v>
      </c>
      <c r="S4" s="3747"/>
      <c r="T4" s="3746" t="s">
        <v>800</v>
      </c>
      <c r="U4" s="3747"/>
      <c r="V4" s="3766" t="s">
        <v>801</v>
      </c>
      <c r="W4" s="3766"/>
      <c r="X4" s="1568"/>
      <c r="Y4" s="3746" t="s">
        <v>803</v>
      </c>
      <c r="Z4" s="3747"/>
      <c r="AA4" s="3741" t="s">
        <v>799</v>
      </c>
      <c r="AB4" s="3742" t="s">
        <v>800</v>
      </c>
      <c r="AC4" s="3741" t="s">
        <v>801</v>
      </c>
    </row>
    <row r="5" spans="1:29" ht="15">
      <c r="A5" s="515"/>
      <c r="B5" s="516"/>
      <c r="C5" s="3769" t="s">
        <v>2929</v>
      </c>
      <c r="D5" s="3770"/>
      <c r="E5" s="3784" t="s">
        <v>2930</v>
      </c>
      <c r="F5" s="3785"/>
      <c r="G5" s="3769" t="s">
        <v>2931</v>
      </c>
      <c r="H5" s="3770"/>
      <c r="I5" s="3769" t="s">
        <v>2932</v>
      </c>
      <c r="J5" s="3770"/>
      <c r="K5" s="514"/>
      <c r="L5" s="2133"/>
      <c r="M5" s="2134"/>
      <c r="N5" s="2134"/>
      <c r="O5" s="2134"/>
      <c r="P5" s="3762"/>
      <c r="Q5" s="3763"/>
      <c r="R5" s="3748"/>
      <c r="S5" s="3749"/>
      <c r="T5" s="3748"/>
      <c r="U5" s="3749"/>
      <c r="V5" s="3766"/>
      <c r="W5" s="3766"/>
      <c r="X5" s="1568"/>
      <c r="Y5" s="3748"/>
      <c r="Z5" s="3749"/>
      <c r="AA5" s="3742"/>
      <c r="AB5" s="3742"/>
      <c r="AC5" s="3742"/>
    </row>
    <row r="6" spans="1:29" ht="15.75" thickBot="1">
      <c r="A6" s="517"/>
      <c r="B6" s="518"/>
      <c r="C6" s="3767" t="s">
        <v>2933</v>
      </c>
      <c r="D6" s="3768"/>
      <c r="E6" s="3786" t="s">
        <v>2933</v>
      </c>
      <c r="F6" s="3787"/>
      <c r="G6" s="3767" t="s">
        <v>2933</v>
      </c>
      <c r="H6" s="3768"/>
      <c r="I6" s="3767" t="s">
        <v>2933</v>
      </c>
      <c r="J6" s="3768"/>
      <c r="K6" s="514" t="s">
        <v>528</v>
      </c>
      <c r="L6" s="2133"/>
      <c r="M6" s="2134"/>
      <c r="N6" s="2134"/>
      <c r="O6" s="2134"/>
      <c r="P6" s="3764"/>
      <c r="Q6" s="3765"/>
      <c r="R6" s="3748"/>
      <c r="S6" s="3749"/>
      <c r="T6" s="3750"/>
      <c r="U6" s="3751"/>
      <c r="V6" s="3766"/>
      <c r="W6" s="3766"/>
      <c r="X6" s="1568"/>
      <c r="Y6" s="3750"/>
      <c r="Z6" s="3751"/>
      <c r="AA6" s="3743"/>
      <c r="AB6" s="3743"/>
      <c r="AC6" s="3743"/>
    </row>
    <row r="7" spans="1:29" s="1220" customFormat="1" ht="15.75" thickBot="1">
      <c r="A7" s="2890"/>
      <c r="B7" s="2897" t="s">
        <v>529</v>
      </c>
      <c r="C7" s="519">
        <f>'数据-取费表'!B2</f>
        <v>43649</v>
      </c>
      <c r="D7" s="520">
        <v>100</v>
      </c>
      <c r="E7" s="521"/>
      <c r="F7" s="522">
        <f>SUMIF(46:46,YEAR(E7)&amp;"-"&amp;MONTH(E7),47:47)</f>
        <v>0</v>
      </c>
      <c r="G7" s="523"/>
      <c r="H7" s="520">
        <f>SUMIF(46:46,YEAR(G7)&amp;"-"&amp;MONTH(G7),47:47)</f>
        <v>0</v>
      </c>
      <c r="I7" s="523"/>
      <c r="J7" s="520">
        <f>SUMIF(46:46,YEAR(I7)&amp;"-"&amp;MONTH(I7),47:47)</f>
        <v>0</v>
      </c>
      <c r="K7" s="524"/>
      <c r="L7" s="2135"/>
      <c r="M7" s="2136"/>
      <c r="N7" s="2136"/>
      <c r="O7" s="2136"/>
      <c r="P7" s="3744" t="s">
        <v>530</v>
      </c>
      <c r="Q7" s="3753"/>
      <c r="R7" s="1569" t="s">
        <v>8</v>
      </c>
      <c r="S7" s="1570">
        <f t="shared" ref="S7:S14" si="0">F7</f>
        <v>0</v>
      </c>
      <c r="T7" s="1569" t="s">
        <v>8</v>
      </c>
      <c r="U7" s="1570">
        <f t="shared" ref="U7:U14" si="1">H7</f>
        <v>0</v>
      </c>
      <c r="V7" s="1569" t="s">
        <v>8</v>
      </c>
      <c r="W7" s="1570">
        <f t="shared" ref="W7:W14" si="2">J7</f>
        <v>0</v>
      </c>
      <c r="X7" s="1571"/>
      <c r="Y7" s="3744" t="s">
        <v>530</v>
      </c>
      <c r="Z7" s="3745"/>
      <c r="AA7" s="1572" t="e">
        <f>D7/F7</f>
        <v>#DIV/0!</v>
      </c>
      <c r="AB7" s="1572" t="e">
        <f>D7/H7</f>
        <v>#DIV/0!</v>
      </c>
      <c r="AC7" s="1572" t="e">
        <f>D7/J7</f>
        <v>#DIV/0!</v>
      </c>
    </row>
    <row r="8" spans="1:29" s="1220"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744" t="s">
        <v>533</v>
      </c>
      <c r="Q8" s="3745"/>
      <c r="R8" s="1569" t="s">
        <v>8</v>
      </c>
      <c r="S8" s="1570">
        <f t="shared" si="0"/>
        <v>0</v>
      </c>
      <c r="T8" s="1569" t="s">
        <v>8</v>
      </c>
      <c r="U8" s="1570">
        <f t="shared" si="1"/>
        <v>0</v>
      </c>
      <c r="V8" s="1569" t="s">
        <v>8</v>
      </c>
      <c r="W8" s="1570">
        <f t="shared" si="2"/>
        <v>0</v>
      </c>
      <c r="X8" s="1571"/>
      <c r="Y8" s="3744" t="s">
        <v>533</v>
      </c>
      <c r="Z8" s="3745"/>
      <c r="AA8" s="1572" t="e">
        <f t="shared" ref="AA8:AA34" si="3">D8/F8</f>
        <v>#DIV/0!</v>
      </c>
      <c r="AB8" s="1572" t="e">
        <f t="shared" ref="AB8:AB34" si="4">D8/H8</f>
        <v>#DIV/0!</v>
      </c>
      <c r="AC8" s="1572" t="e">
        <f t="shared" ref="AC8:AC34" si="5">D8/J8</f>
        <v>#DIV/0!</v>
      </c>
    </row>
    <row r="9" spans="1:29" s="1220" customFormat="1" ht="15">
      <c r="A9" s="2892"/>
      <c r="B9" s="2899" t="s">
        <v>2757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752" t="s">
        <v>535</v>
      </c>
      <c r="Q9" s="1151" t="str">
        <f t="shared" ref="Q9:Q14" si="6">B9</f>
        <v>用途</v>
      </c>
      <c r="R9" s="1569" t="s">
        <v>8</v>
      </c>
      <c r="S9" s="1570">
        <f t="shared" si="0"/>
        <v>100</v>
      </c>
      <c r="T9" s="1569" t="s">
        <v>8</v>
      </c>
      <c r="U9" s="1570">
        <f t="shared" si="1"/>
        <v>100</v>
      </c>
      <c r="V9" s="1569" t="s">
        <v>8</v>
      </c>
      <c r="W9" s="1570">
        <f t="shared" si="2"/>
        <v>100</v>
      </c>
      <c r="X9" s="1571"/>
      <c r="Y9" s="3709" t="s">
        <v>536</v>
      </c>
      <c r="Z9" s="1150" t="str">
        <f t="shared" ref="Z9:Z14" si="7">Q9</f>
        <v>用途</v>
      </c>
      <c r="AA9" s="1572">
        <f t="shared" si="3"/>
        <v>1</v>
      </c>
      <c r="AB9" s="1572">
        <f t="shared" si="4"/>
        <v>1</v>
      </c>
      <c r="AC9" s="1572">
        <f t="shared" si="5"/>
        <v>1</v>
      </c>
    </row>
    <row r="10" spans="1:29" s="1338" customFormat="1" ht="27">
      <c r="A10" s="2893"/>
      <c r="B10" s="2898" t="s">
        <v>2758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752"/>
      <c r="Q10" s="1151" t="str">
        <f t="shared" si="6"/>
        <v>土地使用年限（年）</v>
      </c>
      <c r="R10" s="1569" t="s">
        <v>8</v>
      </c>
      <c r="S10" s="1570">
        <f t="shared" si="0"/>
        <v>100</v>
      </c>
      <c r="T10" s="1569" t="s">
        <v>8</v>
      </c>
      <c r="U10" s="1570">
        <f t="shared" si="1"/>
        <v>100</v>
      </c>
      <c r="V10" s="1569" t="s">
        <v>8</v>
      </c>
      <c r="W10" s="1570">
        <f t="shared" si="2"/>
        <v>100</v>
      </c>
      <c r="X10" s="1571"/>
      <c r="Y10" s="3709"/>
      <c r="Z10" s="1150" t="str">
        <f t="shared" si="7"/>
        <v>土地使用年限（年）</v>
      </c>
      <c r="AA10" s="1572">
        <f t="shared" si="3"/>
        <v>1</v>
      </c>
      <c r="AB10" s="1572">
        <f t="shared" si="4"/>
        <v>1</v>
      </c>
      <c r="AC10" s="1572">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752"/>
      <c r="Q11" s="1151">
        <f t="shared" si="6"/>
        <v>111</v>
      </c>
      <c r="R11" s="1569" t="s">
        <v>8</v>
      </c>
      <c r="S11" s="1570">
        <f t="shared" si="0"/>
        <v>100</v>
      </c>
      <c r="T11" s="1569" t="s">
        <v>8</v>
      </c>
      <c r="U11" s="1570">
        <f t="shared" si="1"/>
        <v>100</v>
      </c>
      <c r="V11" s="1569" t="s">
        <v>8</v>
      </c>
      <c r="W11" s="1570">
        <f t="shared" si="2"/>
        <v>100</v>
      </c>
      <c r="X11" s="1571"/>
      <c r="Y11" s="3709"/>
      <c r="Z11" s="1150">
        <f t="shared" si="7"/>
        <v>111</v>
      </c>
      <c r="AA11" s="1572">
        <f t="shared" si="3"/>
        <v>1</v>
      </c>
      <c r="AB11" s="1572">
        <f t="shared" si="4"/>
        <v>1</v>
      </c>
      <c r="AC11" s="1572">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752"/>
      <c r="Q12" s="1151">
        <f t="shared" si="6"/>
        <v>111</v>
      </c>
      <c r="R12" s="1569" t="s">
        <v>8</v>
      </c>
      <c r="S12" s="1570">
        <f t="shared" si="0"/>
        <v>100</v>
      </c>
      <c r="T12" s="1569" t="s">
        <v>8</v>
      </c>
      <c r="U12" s="1570">
        <f t="shared" si="1"/>
        <v>100</v>
      </c>
      <c r="V12" s="1569" t="s">
        <v>8</v>
      </c>
      <c r="W12" s="1570">
        <f t="shared" si="2"/>
        <v>100</v>
      </c>
      <c r="X12" s="1571"/>
      <c r="Y12" s="3709"/>
      <c r="Z12" s="1150">
        <f t="shared" si="7"/>
        <v>111</v>
      </c>
      <c r="AA12" s="1572">
        <f>D12/F12</f>
        <v>1</v>
      </c>
      <c r="AB12" s="1572">
        <f>D12/H12</f>
        <v>1</v>
      </c>
      <c r="AC12" s="1572">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752"/>
      <c r="Q13" s="1151">
        <f t="shared" si="6"/>
        <v>111</v>
      </c>
      <c r="R13" s="1569" t="s">
        <v>8</v>
      </c>
      <c r="S13" s="1570">
        <f t="shared" si="0"/>
        <v>100</v>
      </c>
      <c r="T13" s="1569" t="s">
        <v>8</v>
      </c>
      <c r="U13" s="1570">
        <f t="shared" si="1"/>
        <v>100</v>
      </c>
      <c r="V13" s="1569" t="s">
        <v>8</v>
      </c>
      <c r="W13" s="1570">
        <f t="shared" si="2"/>
        <v>100</v>
      </c>
      <c r="X13" s="1571"/>
      <c r="Y13" s="3709"/>
      <c r="Z13" s="1150">
        <f t="shared" si="7"/>
        <v>111</v>
      </c>
      <c r="AA13" s="1572">
        <f t="shared" si="3"/>
        <v>1</v>
      </c>
      <c r="AB13" s="1572">
        <f t="shared" si="4"/>
        <v>1</v>
      </c>
      <c r="AC13" s="1572">
        <f t="shared" si="5"/>
        <v>1</v>
      </c>
    </row>
    <row r="14" spans="1:29" ht="85.5">
      <c r="A14" s="2888"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754" t="s">
        <v>540</v>
      </c>
      <c r="Q14" s="1573" t="str">
        <f t="shared" si="6"/>
        <v>交通便捷度</v>
      </c>
      <c r="R14" s="1574" t="s">
        <v>8</v>
      </c>
      <c r="S14" s="1575">
        <f t="shared" si="0"/>
        <v>100</v>
      </c>
      <c r="T14" s="1574" t="s">
        <v>8</v>
      </c>
      <c r="U14" s="1575">
        <f t="shared" si="1"/>
        <v>100</v>
      </c>
      <c r="V14" s="1574" t="s">
        <v>8</v>
      </c>
      <c r="W14" s="1575">
        <f t="shared" si="2"/>
        <v>100</v>
      </c>
      <c r="X14" s="1568"/>
      <c r="Y14" s="375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755"/>
      <c r="Q15" s="1573"/>
      <c r="R15" s="1574"/>
      <c r="S15" s="1575"/>
      <c r="T15" s="1574"/>
      <c r="U15" s="1575"/>
      <c r="V15" s="1574"/>
      <c r="W15" s="1575"/>
      <c r="X15" s="1568"/>
      <c r="Y15" s="3755"/>
      <c r="Z15" s="1576"/>
      <c r="AA15" s="1577">
        <v>1</v>
      </c>
      <c r="AB15" s="1577">
        <v>1</v>
      </c>
      <c r="AC15" s="1577">
        <v>1</v>
      </c>
    </row>
    <row r="16" spans="1:29" ht="42.75">
      <c r="A16" s="532"/>
      <c r="B16" s="2582"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755"/>
      <c r="Q16" s="1573" t="str">
        <f>B16</f>
        <v>公共配套设施</v>
      </c>
      <c r="R16" s="1574" t="s">
        <v>8</v>
      </c>
      <c r="S16" s="1575">
        <f>F16</f>
        <v>100</v>
      </c>
      <c r="T16" s="1574" t="s">
        <v>8</v>
      </c>
      <c r="U16" s="1575">
        <f>H16</f>
        <v>100</v>
      </c>
      <c r="V16" s="1574" t="s">
        <v>8</v>
      </c>
      <c r="W16" s="1575">
        <f>J16</f>
        <v>100</v>
      </c>
      <c r="X16" s="1568"/>
      <c r="Y16" s="375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755"/>
      <c r="Q17" s="1573"/>
      <c r="R17" s="1574"/>
      <c r="S17" s="1575"/>
      <c r="T17" s="1574"/>
      <c r="U17" s="1575"/>
      <c r="V17" s="1574"/>
      <c r="W17" s="1575"/>
      <c r="X17" s="1568"/>
      <c r="Y17" s="3755"/>
      <c r="Z17" s="1576"/>
      <c r="AA17" s="1577">
        <v>1</v>
      </c>
      <c r="AB17" s="1577">
        <v>1</v>
      </c>
      <c r="AC17" s="1577">
        <v>1</v>
      </c>
    </row>
    <row r="18" spans="1:29" ht="28.5">
      <c r="A18" s="532"/>
      <c r="B18" s="2570"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755"/>
      <c r="Q18" s="2558" t="str">
        <f>B18</f>
        <v>基础设施水平</v>
      </c>
      <c r="R18" s="1574" t="s">
        <v>8</v>
      </c>
      <c r="S18" s="1575">
        <f>F18</f>
        <v>100</v>
      </c>
      <c r="T18" s="1574" t="s">
        <v>8</v>
      </c>
      <c r="U18" s="1575">
        <f>H18</f>
        <v>100</v>
      </c>
      <c r="V18" s="1574" t="s">
        <v>8</v>
      </c>
      <c r="W18" s="1575">
        <f>J18</f>
        <v>100</v>
      </c>
      <c r="X18" s="2560"/>
      <c r="Y18" s="3755"/>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2"/>
      <c r="M19" s="2134"/>
      <c r="N19" s="2134"/>
      <c r="O19" s="2141"/>
      <c r="P19" s="3755"/>
      <c r="Q19" s="2558"/>
      <c r="R19" s="1574"/>
      <c r="S19" s="1575"/>
      <c r="T19" s="1574"/>
      <c r="U19" s="1575"/>
      <c r="V19" s="1574"/>
      <c r="W19" s="1575"/>
      <c r="X19" s="2560"/>
      <c r="Y19" s="3755"/>
      <c r="Z19" s="2559"/>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755"/>
      <c r="Q20" s="1573" t="str">
        <f>B20</f>
        <v>自然及人文环境</v>
      </c>
      <c r="R20" s="1574" t="s">
        <v>8</v>
      </c>
      <c r="S20" s="1575">
        <f>F20</f>
        <v>100</v>
      </c>
      <c r="T20" s="1574" t="s">
        <v>8</v>
      </c>
      <c r="U20" s="1575">
        <f>H20</f>
        <v>100</v>
      </c>
      <c r="V20" s="1574" t="s">
        <v>8</v>
      </c>
      <c r="W20" s="1575">
        <f>J20</f>
        <v>100</v>
      </c>
      <c r="X20" s="1568"/>
      <c r="Y20" s="375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755"/>
      <c r="Q21" s="1573"/>
      <c r="R21" s="1574"/>
      <c r="S21" s="1575"/>
      <c r="T21" s="1574"/>
      <c r="U21" s="1575"/>
      <c r="V21" s="1574"/>
      <c r="W21" s="1575"/>
      <c r="X21" s="1568"/>
      <c r="Y21" s="375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755"/>
      <c r="Q22" s="1573" t="str">
        <f>B22</f>
        <v>楼层</v>
      </c>
      <c r="R22" s="1574" t="s">
        <v>8</v>
      </c>
      <c r="S22" s="1575">
        <f>F22</f>
        <v>100</v>
      </c>
      <c r="T22" s="1574" t="s">
        <v>8</v>
      </c>
      <c r="U22" s="1575">
        <f>H22</f>
        <v>100</v>
      </c>
      <c r="V22" s="1574" t="s">
        <v>8</v>
      </c>
      <c r="W22" s="1575">
        <f>J22</f>
        <v>100</v>
      </c>
      <c r="X22" s="1568"/>
      <c r="Y22" s="375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755"/>
      <c r="Q23" s="1573">
        <f>B23</f>
        <v>111</v>
      </c>
      <c r="R23" s="1574" t="s">
        <v>8</v>
      </c>
      <c r="S23" s="1575">
        <f>F23</f>
        <v>100</v>
      </c>
      <c r="T23" s="1574" t="s">
        <v>8</v>
      </c>
      <c r="U23" s="1575">
        <f>H23</f>
        <v>100</v>
      </c>
      <c r="V23" s="1574" t="s">
        <v>8</v>
      </c>
      <c r="W23" s="1575">
        <f>J23</f>
        <v>100</v>
      </c>
      <c r="X23" s="1568"/>
      <c r="Y23" s="375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755"/>
      <c r="Q24" s="1573">
        <f t="shared" ref="Q24:Q34" si="11">B24</f>
        <v>111</v>
      </c>
      <c r="R24" s="1574" t="s">
        <v>8</v>
      </c>
      <c r="S24" s="1575">
        <f>F24</f>
        <v>100</v>
      </c>
      <c r="T24" s="1574" t="s">
        <v>8</v>
      </c>
      <c r="U24" s="1575">
        <f>H24</f>
        <v>100</v>
      </c>
      <c r="V24" s="1574" t="s">
        <v>8</v>
      </c>
      <c r="W24" s="1575">
        <f>J24</f>
        <v>100</v>
      </c>
      <c r="X24" s="1568"/>
      <c r="Y24" s="375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755"/>
      <c r="Q25" s="1151">
        <f t="shared" si="11"/>
        <v>111</v>
      </c>
      <c r="R25" s="1569" t="s">
        <v>8</v>
      </c>
      <c r="S25" s="1570">
        <f>F25</f>
        <v>100</v>
      </c>
      <c r="T25" s="1569" t="s">
        <v>8</v>
      </c>
      <c r="U25" s="1570">
        <f>H25</f>
        <v>100</v>
      </c>
      <c r="V25" s="1569" t="s">
        <v>8</v>
      </c>
      <c r="W25" s="1570">
        <f>J25</f>
        <v>100</v>
      </c>
      <c r="X25" s="1571"/>
      <c r="Y25" s="3755"/>
      <c r="Z25" s="1150">
        <f>Q25</f>
        <v>111</v>
      </c>
      <c r="AA25" s="1577">
        <f>D25/F25</f>
        <v>1</v>
      </c>
      <c r="AB25" s="1577">
        <f>D25/H25</f>
        <v>1</v>
      </c>
      <c r="AC25" s="1577">
        <f>D25/J25</f>
        <v>1</v>
      </c>
    </row>
    <row r="26" spans="1:29" ht="15">
      <c r="A26" s="2885"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756"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757"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757"/>
      <c r="Q27" s="1606" t="str">
        <f t="shared" si="11"/>
        <v>成新率</v>
      </c>
      <c r="R27" s="1578" t="s">
        <v>8</v>
      </c>
      <c r="S27" s="1579" t="e">
        <f t="shared" si="12"/>
        <v>#N/A</v>
      </c>
      <c r="T27" s="1578" t="s">
        <v>8</v>
      </c>
      <c r="U27" s="1579" t="e">
        <f t="shared" si="13"/>
        <v>#N/A</v>
      </c>
      <c r="V27" s="1578" t="s">
        <v>8</v>
      </c>
      <c r="W27" s="1579" t="e">
        <f t="shared" si="14"/>
        <v>#N/A</v>
      </c>
      <c r="X27" s="1580"/>
      <c r="Y27" s="3757"/>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757"/>
      <c r="Q28" s="1573" t="str">
        <f t="shared" si="11"/>
        <v>物业等级</v>
      </c>
      <c r="R28" s="1574" t="s">
        <v>8</v>
      </c>
      <c r="S28" s="1575">
        <f t="shared" si="12"/>
        <v>100</v>
      </c>
      <c r="T28" s="1574" t="s">
        <v>8</v>
      </c>
      <c r="U28" s="1575">
        <f t="shared" si="13"/>
        <v>100</v>
      </c>
      <c r="V28" s="1574" t="s">
        <v>8</v>
      </c>
      <c r="W28" s="1575">
        <f t="shared" si="14"/>
        <v>100</v>
      </c>
      <c r="X28" s="1568"/>
      <c r="Y28" s="3757"/>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757"/>
      <c r="Q29" s="1573" t="str">
        <f t="shared" si="11"/>
        <v>有无电梯</v>
      </c>
      <c r="R29" s="1574" t="s">
        <v>8</v>
      </c>
      <c r="S29" s="1575">
        <f t="shared" si="12"/>
        <v>100</v>
      </c>
      <c r="T29" s="1574" t="s">
        <v>8</v>
      </c>
      <c r="U29" s="1575">
        <f t="shared" si="13"/>
        <v>100</v>
      </c>
      <c r="V29" s="1574" t="s">
        <v>8</v>
      </c>
      <c r="W29" s="1575">
        <f t="shared" si="14"/>
        <v>100</v>
      </c>
      <c r="X29" s="1568"/>
      <c r="Y29" s="3757"/>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757"/>
      <c r="Q30" s="1573" t="str">
        <f t="shared" si="11"/>
        <v>建筑面积</v>
      </c>
      <c r="R30" s="1574" t="s">
        <v>8</v>
      </c>
      <c r="S30" s="1575" t="e">
        <f t="shared" si="12"/>
        <v>#N/A</v>
      </c>
      <c r="T30" s="1574" t="s">
        <v>8</v>
      </c>
      <c r="U30" s="1575" t="e">
        <f t="shared" si="13"/>
        <v>#N/A</v>
      </c>
      <c r="V30" s="1574" t="s">
        <v>8</v>
      </c>
      <c r="W30" s="1575" t="e">
        <f t="shared" si="14"/>
        <v>#N/A</v>
      </c>
      <c r="X30" s="1568"/>
      <c r="Y30" s="3757"/>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757"/>
      <c r="Q31" s="1151" t="str">
        <f t="shared" si="11"/>
        <v>是否封闭</v>
      </c>
      <c r="R31" s="1569" t="s">
        <v>8</v>
      </c>
      <c r="S31" s="1570">
        <f t="shared" si="12"/>
        <v>100</v>
      </c>
      <c r="T31" s="1569" t="s">
        <v>8</v>
      </c>
      <c r="U31" s="1570">
        <f t="shared" si="13"/>
        <v>100</v>
      </c>
      <c r="V31" s="1569" t="s">
        <v>8</v>
      </c>
      <c r="W31" s="1570">
        <f t="shared" si="14"/>
        <v>100</v>
      </c>
      <c r="X31" s="1571"/>
      <c r="Y31" s="375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757" t="s">
        <v>550</v>
      </c>
      <c r="Q32" s="1573">
        <f t="shared" si="11"/>
        <v>111</v>
      </c>
      <c r="R32" s="1574" t="s">
        <v>8</v>
      </c>
      <c r="S32" s="1575">
        <f t="shared" si="12"/>
        <v>100</v>
      </c>
      <c r="T32" s="1574" t="s">
        <v>8</v>
      </c>
      <c r="U32" s="1575">
        <f t="shared" si="13"/>
        <v>100</v>
      </c>
      <c r="V32" s="1574" t="s">
        <v>8</v>
      </c>
      <c r="W32" s="1575">
        <f t="shared" si="14"/>
        <v>100</v>
      </c>
      <c r="X32" s="1568"/>
      <c r="Y32" s="3757"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757"/>
      <c r="Q33" s="1573">
        <f t="shared" si="11"/>
        <v>111</v>
      </c>
      <c r="R33" s="1574" t="s">
        <v>8</v>
      </c>
      <c r="S33" s="1575">
        <f t="shared" si="12"/>
        <v>100</v>
      </c>
      <c r="T33" s="1574" t="s">
        <v>8</v>
      </c>
      <c r="U33" s="1575">
        <f t="shared" si="13"/>
        <v>100</v>
      </c>
      <c r="V33" s="1574" t="s">
        <v>8</v>
      </c>
      <c r="W33" s="1575">
        <f t="shared" si="14"/>
        <v>100</v>
      </c>
      <c r="X33" s="1568"/>
      <c r="Y33" s="3757"/>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757"/>
      <c r="Q34" s="1573">
        <f t="shared" si="11"/>
        <v>111</v>
      </c>
      <c r="R34" s="1574" t="s">
        <v>8</v>
      </c>
      <c r="S34" s="1575">
        <f t="shared" si="12"/>
        <v>100</v>
      </c>
      <c r="T34" s="1574" t="s">
        <v>8</v>
      </c>
      <c r="U34" s="1575">
        <f t="shared" si="13"/>
        <v>100</v>
      </c>
      <c r="V34" s="1574" t="s">
        <v>8</v>
      </c>
      <c r="W34" s="1575">
        <f t="shared" si="14"/>
        <v>100</v>
      </c>
      <c r="X34" s="1568"/>
      <c r="Y34" s="3757"/>
      <c r="Z34" s="1576">
        <f t="shared" si="15"/>
        <v>111</v>
      </c>
      <c r="AA34" s="1577">
        <f t="shared" si="3"/>
        <v>1</v>
      </c>
      <c r="AB34" s="1577">
        <f t="shared" si="4"/>
        <v>1</v>
      </c>
      <c r="AC34" s="1577">
        <f t="shared" si="5"/>
        <v>1</v>
      </c>
    </row>
    <row r="35" spans="1:29" ht="15">
      <c r="A35" s="607" t="s">
        <v>736</v>
      </c>
      <c r="B35" s="887"/>
      <c r="C35" s="2606" t="s">
        <v>1</v>
      </c>
      <c r="D35" s="2607"/>
      <c r="E35" s="2608"/>
      <c r="F35" s="2609"/>
      <c r="G35" s="2610"/>
      <c r="H35" s="2611"/>
      <c r="I35" s="2608"/>
      <c r="J35" s="2611"/>
      <c r="K35" s="1612"/>
      <c r="L35" s="2144"/>
      <c r="M35" s="2145"/>
      <c r="N35" s="2134"/>
      <c r="O35" s="2145"/>
      <c r="P35" s="3752" t="str">
        <f>A35</f>
        <v>成交单价（元/平方米）</v>
      </c>
      <c r="Q35" s="3752"/>
      <c r="R35" s="3898">
        <f>E35</f>
        <v>0</v>
      </c>
      <c r="S35" s="3898"/>
      <c r="T35" s="3898">
        <f>G35</f>
        <v>0</v>
      </c>
      <c r="U35" s="3898"/>
      <c r="V35" s="3898">
        <f>I35</f>
        <v>0</v>
      </c>
      <c r="W35" s="3898"/>
      <c r="X35" s="1560"/>
      <c r="Y35" s="1582"/>
      <c r="Z35" s="1560"/>
      <c r="AA35" s="1560"/>
      <c r="AB35" s="1560"/>
      <c r="AC35" s="1560"/>
    </row>
    <row r="36" spans="1:29" ht="15.75" thickBot="1">
      <c r="A36" s="615" t="s">
        <v>2761</v>
      </c>
      <c r="B36" s="888"/>
      <c r="C36" s="2612" t="e">
        <f>R37</f>
        <v>#DIV/0!</v>
      </c>
      <c r="D36" s="2613"/>
      <c r="E36" s="2614" t="e">
        <f>R36</f>
        <v>#DIV/0!</v>
      </c>
      <c r="F36" s="2614"/>
      <c r="G36" s="2612" t="e">
        <f>T36</f>
        <v>#DIV/0!</v>
      </c>
      <c r="H36" s="2613"/>
      <c r="I36" s="2614" t="e">
        <f>V36</f>
        <v>#DIV/0!</v>
      </c>
      <c r="J36" s="2613"/>
      <c r="K36" s="1613"/>
      <c r="L36" s="2144"/>
      <c r="M36" s="2145"/>
      <c r="N36" s="2134"/>
      <c r="O36" s="2145"/>
      <c r="P36" s="3752" t="str">
        <f>A36</f>
        <v>比较价格（元/平方米）</v>
      </c>
      <c r="Q36" s="3752"/>
      <c r="R36" s="3898" t="e">
        <f>IF(F1="售价",ROUND(PRODUCT(R35,AA7:AA34),0),ROUND(PRODUCT(R35,AA7:AA34),1))</f>
        <v>#DIV/0!</v>
      </c>
      <c r="S36" s="3898"/>
      <c r="T36" s="3898" t="e">
        <f>IF(F1="售价",ROUND(PRODUCT(T35,AB7:AB34),0),ROUND(PRODUCT(T35,AB7:AB34),1))</f>
        <v>#DIV/0!</v>
      </c>
      <c r="U36" s="3898"/>
      <c r="V36" s="3898" t="e">
        <f>IF(F1="售价",ROUND(PRODUCT(V35,AC7:AC34),0),ROUND(PRODUCT(V35,AC7:AC34),1))</f>
        <v>#DIV/0!</v>
      </c>
      <c r="W36" s="3898"/>
      <c r="X36" s="1560"/>
      <c r="Y36" s="1560"/>
      <c r="Z36" s="1560"/>
      <c r="AA36" s="1560"/>
      <c r="AB36" s="1560"/>
      <c r="AC36" s="1560"/>
    </row>
    <row r="37" spans="1:29" ht="15.75" thickBot="1">
      <c r="A37" s="621" t="s">
        <v>2935</v>
      </c>
      <c r="B37" s="622"/>
      <c r="C37" s="2615" t="e">
        <f>R37</f>
        <v>#DIV/0!</v>
      </c>
      <c r="D37" s="2615"/>
      <c r="E37" s="2615"/>
      <c r="F37" s="2615"/>
      <c r="G37" s="2615"/>
      <c r="H37" s="2615"/>
      <c r="I37" s="2615"/>
      <c r="J37" s="2615"/>
      <c r="K37" s="1614"/>
      <c r="L37" s="2144"/>
      <c r="M37" s="2145"/>
      <c r="N37" s="2145"/>
      <c r="O37" s="2145"/>
      <c r="P37" s="3773" t="str">
        <f>A37</f>
        <v>估价对象XX用房的比较价格（楼面单价，元/平方米）</v>
      </c>
      <c r="Q37" s="3774"/>
      <c r="R37" s="3897" t="e">
        <f>IF(F1="售价",ROUND(AVERAGE(R36:V36),0),ROUND(AVERAGE(R36:V36),1))</f>
        <v>#DIV/0!</v>
      </c>
      <c r="S37" s="3897"/>
      <c r="T37" s="3897"/>
      <c r="U37" s="3897"/>
      <c r="V37" s="3897"/>
      <c r="W37" s="3897"/>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780" t="str">
        <f>YEAR(C7)&amp;"-"&amp;MONTH(C7)</f>
        <v>2019-7</v>
      </c>
      <c r="D46" s="2782">
        <f>EDATE(C46,-1)</f>
        <v>43617</v>
      </c>
      <c r="E46" s="2782">
        <f t="shared" ref="E46:O46" si="16">EDATE(D46,-1)</f>
        <v>43586</v>
      </c>
      <c r="F46" s="2782">
        <f t="shared" si="16"/>
        <v>43556</v>
      </c>
      <c r="G46" s="2782">
        <f t="shared" si="16"/>
        <v>43525</v>
      </c>
      <c r="H46" s="2782">
        <f t="shared" si="16"/>
        <v>43497</v>
      </c>
      <c r="I46" s="2782">
        <f t="shared" si="16"/>
        <v>43466</v>
      </c>
      <c r="J46" s="2782">
        <f t="shared" si="16"/>
        <v>43435</v>
      </c>
      <c r="K46" s="2782">
        <f t="shared" si="16"/>
        <v>43405</v>
      </c>
      <c r="L46" s="2782">
        <f t="shared" si="16"/>
        <v>43374</v>
      </c>
      <c r="M46" s="2782">
        <f t="shared" si="16"/>
        <v>43344</v>
      </c>
      <c r="N46" s="2782">
        <f t="shared" si="16"/>
        <v>43313</v>
      </c>
      <c r="O46" s="2782">
        <f t="shared" si="16"/>
        <v>43282</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2559</v>
      </c>
      <c r="C65" s="2577" t="s">
        <v>2560</v>
      </c>
      <c r="D65" s="2577" t="s">
        <v>2561</v>
      </c>
      <c r="E65" s="2577" t="s">
        <v>2562</v>
      </c>
      <c r="F65" s="2577" t="s">
        <v>2563</v>
      </c>
      <c r="G65" s="2577" t="s">
        <v>2564</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大航控股集团有限公司：</v>
      </c>
    </row>
    <row r="4" spans="1:4" ht="37.5">
      <c r="A4" s="1791" t="str">
        <f>"受贵公司委托，我公司对"&amp;项目基本情况!K2&amp;项目基本情况!B9&amp;"进行了预评估。"</f>
        <v>受贵公司委托，我公司对江苏省镇江市扬中市油坊镇出让国有建设用地使用权抵押价格进行了预评估。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镇江市扬中市油坊镇出让国有建设用地使用权。根据《国有土地使用证》[]，估价对象（分摊）出让国有建设用地使用权面积为21830.94平方米。根据《建设工程规划许可证》[]、《出让合同》[]，估价对象规划建筑面积为76408.29平方米。</v>
      </c>
    </row>
    <row r="7" spans="1:4" ht="93.75">
      <c r="A7" s="2851" t="s">
        <v>2749</v>
      </c>
    </row>
    <row r="8" spans="1:4" ht="18.75">
      <c r="A8" s="1794" t="s">
        <v>1907</v>
      </c>
    </row>
    <row r="9" spans="1:4" ht="75">
      <c r="A9" s="1796" t="str">
        <f>IF(项目基本情况!B8="抵押",IF(项目基本情况!B5=项目基本情况!B6,定义!C51,定义!B51),定义!D51)</f>
        <v>委托估价方在向金融机构（光大兴陇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2019年7月3日（评估专业人员勘察现场之日）</v>
      </c>
    </row>
    <row r="12" spans="1:4" ht="18.75">
      <c r="A12" s="1797" t="s">
        <v>2026</v>
      </c>
    </row>
    <row r="13" spans="1:4" ht="18.75">
      <c r="A13" s="1791" t="s">
        <v>2072</v>
      </c>
    </row>
    <row r="14" spans="1:4" ht="56.25">
      <c r="A14" s="1791" t="str">
        <f>"根据"&amp;项目基本情况!F12&amp;"，本次评估估价对象证载（地类）用途为"&amp;项目基本情况!B12&amp;"。"</f>
        <v>根据《不动产权证书》[苏（2019）扬中市不动产权第9000052、9000053、9000054、9000055号]，本次评估估价对象证载（地类）用途为其它商服用地。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根据《国有土地使用证》[]，估价对象（分摊）出让国有建设用地使用权面积为21830.94平方米。根据《建设工程规划许可证》[]、《出让合同》[]，估价对象规划建筑面积为76408.29平方米。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53" t="s">
        <v>2750</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商住用地，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2304</v>
      </c>
      <c r="C1" s="3907" t="s">
        <v>2305</v>
      </c>
      <c r="D1" s="3908"/>
      <c r="E1" s="3908"/>
      <c r="F1" s="3908"/>
      <c r="G1" s="3908"/>
      <c r="H1" s="3908"/>
      <c r="I1" s="3908"/>
      <c r="J1" s="3908"/>
      <c r="K1" s="3908"/>
      <c r="L1" s="3908"/>
      <c r="M1" s="3908"/>
      <c r="N1" s="3908"/>
      <c r="O1" s="3908"/>
      <c r="P1" s="3908"/>
      <c r="Q1" s="3908"/>
      <c r="R1" s="3908"/>
      <c r="S1" s="3909"/>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5"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7" t="s">
        <v>2927</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7" t="s">
        <v>2926</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6"/>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5"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5"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5"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904" t="s">
        <v>20</v>
      </c>
      <c r="D22" s="3905"/>
      <c r="E22" s="3905"/>
      <c r="F22" s="3905"/>
      <c r="G22" s="3905"/>
      <c r="H22" s="3905"/>
      <c r="I22" s="3905"/>
      <c r="J22" s="3905"/>
      <c r="K22" s="3905"/>
      <c r="L22" s="3905"/>
      <c r="M22" s="3905"/>
      <c r="N22" s="3905"/>
      <c r="O22" s="3905"/>
      <c r="P22" s="3905"/>
      <c r="Q22" s="3906"/>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2789</v>
      </c>
      <c r="C1" s="2982">
        <f>项目基本情况!D3</f>
        <v>43649</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2820</v>
      </c>
      <c r="C2" s="2983">
        <f>'数据-取费表'!B22</f>
        <v>2</v>
      </c>
      <c r="D2" s="2978" t="s">
        <v>2790</v>
      </c>
      <c r="E2" s="2981">
        <f ca="1">INDIRECT("I"&amp;$I$1)/100</f>
        <v>4.7500000000000001E-2</v>
      </c>
      <c r="G2" s="2918"/>
      <c r="H2" s="2918"/>
      <c r="I2" s="2918" t="s">
        <v>2791</v>
      </c>
      <c r="K2" s="2918"/>
      <c r="L2" s="2918"/>
      <c r="M2" s="2918"/>
      <c r="N2" s="2918" t="s">
        <v>2792</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2822</v>
      </c>
      <c r="C3" s="2980">
        <f>'数据-取费表'!B19</f>
        <v>0</v>
      </c>
      <c r="D3" s="2978" t="s">
        <v>2790</v>
      </c>
      <c r="E3" s="2981">
        <f ca="1">INDIRECT("J"&amp;$J$1)/100</f>
        <v>0</v>
      </c>
      <c r="G3" s="2920" t="s">
        <v>2793</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2821</v>
      </c>
      <c r="C4" s="2981">
        <f ca="1">N4/100</f>
        <v>1.4999999999999999E-2</v>
      </c>
      <c r="G4" s="2926" t="s">
        <v>2794</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2795</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2796</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2797</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2798</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2799</v>
      </c>
      <c r="C10" s="2945"/>
      <c r="D10" s="2945"/>
      <c r="E10" s="2945"/>
      <c r="F10" s="2945"/>
      <c r="G10" s="2945"/>
      <c r="H10" s="2945"/>
      <c r="I10" s="2919"/>
      <c r="J10" s="2919"/>
      <c r="K10" s="2945"/>
      <c r="L10" s="2946" t="s">
        <v>2800</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2801</v>
      </c>
      <c r="C11" s="2950" t="s">
        <v>2802</v>
      </c>
      <c r="D11" s="2951" t="s">
        <v>2803</v>
      </c>
      <c r="E11" s="2952"/>
      <c r="F11" s="2951" t="s">
        <v>2804</v>
      </c>
      <c r="G11" s="2953"/>
      <c r="H11" s="2952"/>
      <c r="I11" s="2951" t="s">
        <v>2805</v>
      </c>
      <c r="J11" s="2952"/>
      <c r="K11" s="2948"/>
      <c r="L11" s="2949" t="s">
        <v>2801</v>
      </c>
      <c r="M11" s="2950" t="s">
        <v>2802</v>
      </c>
      <c r="N11" s="2949" t="s">
        <v>2806</v>
      </c>
      <c r="O11" s="2951" t="s">
        <v>2807</v>
      </c>
      <c r="P11" s="2953"/>
      <c r="Q11" s="2953"/>
      <c r="R11" s="2953"/>
      <c r="S11" s="2953"/>
      <c r="T11" s="2952"/>
      <c r="U11" s="2951" t="s">
        <v>2808</v>
      </c>
      <c r="V11" s="2953"/>
      <c r="W11" s="2952"/>
      <c r="X11" s="2949" t="s">
        <v>2809</v>
      </c>
      <c r="Y11" s="2949" t="s">
        <v>2810</v>
      </c>
      <c r="Z11" s="2949" t="s">
        <v>2811</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2812</v>
      </c>
      <c r="E12" s="2958" t="s">
        <v>2813</v>
      </c>
      <c r="F12" s="2958" t="s">
        <v>2814</v>
      </c>
      <c r="G12" s="2958" t="s">
        <v>2815</v>
      </c>
      <c r="H12" s="2958" t="s">
        <v>2797</v>
      </c>
      <c r="I12" s="2959" t="s">
        <v>2816</v>
      </c>
      <c r="J12" s="2959" t="s">
        <v>2816</v>
      </c>
      <c r="K12" s="2955"/>
      <c r="L12" s="2956"/>
      <c r="M12" s="2957"/>
      <c r="N12" s="2956"/>
      <c r="O12" s="2959" t="s">
        <v>2817</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2818</v>
      </c>
      <c r="C13" s="2963">
        <v>42301</v>
      </c>
      <c r="D13" s="2964">
        <v>4.3499999999999996</v>
      </c>
      <c r="E13" s="2964">
        <v>4.3499999999999996</v>
      </c>
      <c r="F13" s="2964">
        <v>4.75</v>
      </c>
      <c r="G13" s="2964">
        <v>4.75</v>
      </c>
      <c r="H13" s="2964">
        <v>4.9000000000000004</v>
      </c>
      <c r="I13" s="2964">
        <v>2.75</v>
      </c>
      <c r="J13" s="2964">
        <v>3.25</v>
      </c>
      <c r="K13" s="2961"/>
      <c r="L13" s="2962" t="s">
        <v>2818</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2819</v>
      </c>
      <c r="Y42" s="2968" t="s">
        <v>2819</v>
      </c>
      <c r="Z42" s="2968" t="s">
        <v>2819</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2819</v>
      </c>
      <c r="Y43" s="2968" t="s">
        <v>2819</v>
      </c>
      <c r="Z43" s="2968" t="s">
        <v>2819</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2819</v>
      </c>
      <c r="Y44" s="2968" t="s">
        <v>2819</v>
      </c>
      <c r="Z44" s="2968" t="s">
        <v>2819</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2819</v>
      </c>
      <c r="Y45" s="2968" t="s">
        <v>2819</v>
      </c>
      <c r="Z45" s="2968" t="s">
        <v>2819</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2819</v>
      </c>
      <c r="Y46" s="2968" t="s">
        <v>2819</v>
      </c>
      <c r="Z46" s="2968" t="s">
        <v>2819</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2819</v>
      </c>
      <c r="Y47" s="2968" t="s">
        <v>2819</v>
      </c>
      <c r="Z47" s="2968" t="s">
        <v>2819</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2819</v>
      </c>
      <c r="Y48" s="2968" t="s">
        <v>2819</v>
      </c>
      <c r="Z48" s="2968" t="s">
        <v>2819</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2819</v>
      </c>
      <c r="Y49" s="2968" t="s">
        <v>2819</v>
      </c>
      <c r="Z49" s="2968" t="s">
        <v>2819</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2819</v>
      </c>
      <c r="Y50" s="2968" t="s">
        <v>2819</v>
      </c>
      <c r="Z50" s="2968" t="s">
        <v>2819</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2819</v>
      </c>
      <c r="V51" s="2968" t="s">
        <v>2819</v>
      </c>
      <c r="W51" s="2968" t="s">
        <v>2819</v>
      </c>
      <c r="X51" s="2968" t="s">
        <v>2819</v>
      </c>
      <c r="Y51" s="2968" t="s">
        <v>2819</v>
      </c>
      <c r="Z51" s="2968" t="s">
        <v>2819</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2819</v>
      </c>
      <c r="J55" s="2968" t="s">
        <v>2819</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E9" sqref="E9"/>
    </sheetView>
  </sheetViews>
  <sheetFormatPr defaultRowHeight="13.5"/>
  <cols>
    <col min="1" max="1" width="17.75" style="2917" customWidth="1"/>
    <col min="2" max="2" width="6.25" style="2917" hidden="1" customWidth="1"/>
    <col min="3" max="5" width="13.875" style="2917" customWidth="1"/>
    <col min="6" max="6" width="29.25" style="2917" customWidth="1"/>
    <col min="7" max="7" width="6" style="2917" hidden="1" customWidth="1"/>
    <col min="8" max="8" width="11.75" style="2917" customWidth="1"/>
    <col min="9" max="10" width="10.625" style="2917" customWidth="1"/>
    <col min="11" max="11" width="14.375" style="2917" customWidth="1"/>
    <col min="12" max="12" width="6.25" style="2917" customWidth="1"/>
    <col min="13" max="13" width="45.875" style="2917" customWidth="1"/>
    <col min="14" max="14" width="7.875" style="2917" customWidth="1"/>
    <col min="15" max="256" width="9" style="2917"/>
    <col min="257" max="257" width="47.625" style="2917" customWidth="1"/>
    <col min="258" max="258" width="6.25" style="2917" customWidth="1"/>
    <col min="259" max="261" width="13.875" style="2917" customWidth="1"/>
    <col min="262" max="262" width="27" style="2917" customWidth="1"/>
    <col min="263" max="263" width="7.875" style="2917" customWidth="1"/>
    <col min="264" max="264" width="9" style="2917" customWidth="1"/>
    <col min="265" max="266" width="10.625" style="2917" customWidth="1"/>
    <col min="267" max="267" width="14.375" style="2917" customWidth="1"/>
    <col min="268" max="268" width="6.25" style="2917" customWidth="1"/>
    <col min="269" max="269" width="45.875" style="2917" customWidth="1"/>
    <col min="270" max="270" width="7.875" style="2917" customWidth="1"/>
    <col min="271" max="512" width="9" style="2917"/>
    <col min="513" max="513" width="47.625" style="2917" customWidth="1"/>
    <col min="514" max="514" width="6.25" style="2917" customWidth="1"/>
    <col min="515" max="517" width="13.875" style="2917" customWidth="1"/>
    <col min="518" max="518" width="27" style="2917" customWidth="1"/>
    <col min="519" max="519" width="7.875" style="2917" customWidth="1"/>
    <col min="520" max="520" width="9" style="2917" customWidth="1"/>
    <col min="521" max="522" width="10.625" style="2917" customWidth="1"/>
    <col min="523" max="523" width="14.375" style="2917" customWidth="1"/>
    <col min="524" max="524" width="6.25" style="2917" customWidth="1"/>
    <col min="525" max="525" width="45.875" style="2917" customWidth="1"/>
    <col min="526" max="526" width="7.875" style="2917" customWidth="1"/>
    <col min="527" max="768" width="9" style="2917"/>
    <col min="769" max="769" width="47.625" style="2917" customWidth="1"/>
    <col min="770" max="770" width="6.25" style="2917" customWidth="1"/>
    <col min="771" max="773" width="13.875" style="2917" customWidth="1"/>
    <col min="774" max="774" width="27" style="2917" customWidth="1"/>
    <col min="775" max="775" width="7.875" style="2917" customWidth="1"/>
    <col min="776" max="776" width="9" style="2917" customWidth="1"/>
    <col min="777" max="778" width="10.625" style="2917" customWidth="1"/>
    <col min="779" max="779" width="14.375" style="2917" customWidth="1"/>
    <col min="780" max="780" width="6.25" style="2917" customWidth="1"/>
    <col min="781" max="781" width="45.875" style="2917" customWidth="1"/>
    <col min="782" max="782" width="7.875" style="2917" customWidth="1"/>
    <col min="783" max="1024" width="9" style="2917"/>
    <col min="1025" max="1025" width="47.625" style="2917" customWidth="1"/>
    <col min="1026" max="1026" width="6.25" style="2917" customWidth="1"/>
    <col min="1027" max="1029" width="13.875" style="2917" customWidth="1"/>
    <col min="1030" max="1030" width="27" style="2917" customWidth="1"/>
    <col min="1031" max="1031" width="7.875" style="2917" customWidth="1"/>
    <col min="1032" max="1032" width="9" style="2917" customWidth="1"/>
    <col min="1033" max="1034" width="10.625" style="2917" customWidth="1"/>
    <col min="1035" max="1035" width="14.375" style="2917" customWidth="1"/>
    <col min="1036" max="1036" width="6.25" style="2917" customWidth="1"/>
    <col min="1037" max="1037" width="45.875" style="2917" customWidth="1"/>
    <col min="1038" max="1038" width="7.875" style="2917" customWidth="1"/>
    <col min="1039" max="1280" width="9" style="2917"/>
    <col min="1281" max="1281" width="47.625" style="2917" customWidth="1"/>
    <col min="1282" max="1282" width="6.25" style="2917" customWidth="1"/>
    <col min="1283" max="1285" width="13.875" style="2917" customWidth="1"/>
    <col min="1286" max="1286" width="27" style="2917" customWidth="1"/>
    <col min="1287" max="1287" width="7.875" style="2917" customWidth="1"/>
    <col min="1288" max="1288" width="9" style="2917" customWidth="1"/>
    <col min="1289" max="1290" width="10.625" style="2917" customWidth="1"/>
    <col min="1291" max="1291" width="14.375" style="2917" customWidth="1"/>
    <col min="1292" max="1292" width="6.25" style="2917" customWidth="1"/>
    <col min="1293" max="1293" width="45.875" style="2917" customWidth="1"/>
    <col min="1294" max="1294" width="7.875" style="2917" customWidth="1"/>
    <col min="1295" max="1536" width="9" style="2917"/>
    <col min="1537" max="1537" width="47.625" style="2917" customWidth="1"/>
    <col min="1538" max="1538" width="6.25" style="2917" customWidth="1"/>
    <col min="1539" max="1541" width="13.875" style="2917" customWidth="1"/>
    <col min="1542" max="1542" width="27" style="2917" customWidth="1"/>
    <col min="1543" max="1543" width="7.875" style="2917" customWidth="1"/>
    <col min="1544" max="1544" width="9" style="2917" customWidth="1"/>
    <col min="1545" max="1546" width="10.625" style="2917" customWidth="1"/>
    <col min="1547" max="1547" width="14.375" style="2917" customWidth="1"/>
    <col min="1548" max="1548" width="6.25" style="2917" customWidth="1"/>
    <col min="1549" max="1549" width="45.875" style="2917" customWidth="1"/>
    <col min="1550" max="1550" width="7.875" style="2917" customWidth="1"/>
    <col min="1551" max="1792" width="9" style="2917"/>
    <col min="1793" max="1793" width="47.625" style="2917" customWidth="1"/>
    <col min="1794" max="1794" width="6.25" style="2917" customWidth="1"/>
    <col min="1795" max="1797" width="13.875" style="2917" customWidth="1"/>
    <col min="1798" max="1798" width="27" style="2917" customWidth="1"/>
    <col min="1799" max="1799" width="7.875" style="2917" customWidth="1"/>
    <col min="1800" max="1800" width="9" style="2917" customWidth="1"/>
    <col min="1801" max="1802" width="10.625" style="2917" customWidth="1"/>
    <col min="1803" max="1803" width="14.375" style="2917" customWidth="1"/>
    <col min="1804" max="1804" width="6.25" style="2917" customWidth="1"/>
    <col min="1805" max="1805" width="45.875" style="2917" customWidth="1"/>
    <col min="1806" max="1806" width="7.875" style="2917" customWidth="1"/>
    <col min="1807" max="2048" width="9" style="2917"/>
    <col min="2049" max="2049" width="47.625" style="2917" customWidth="1"/>
    <col min="2050" max="2050" width="6.25" style="2917" customWidth="1"/>
    <col min="2051" max="2053" width="13.875" style="2917" customWidth="1"/>
    <col min="2054" max="2054" width="27" style="2917" customWidth="1"/>
    <col min="2055" max="2055" width="7.875" style="2917" customWidth="1"/>
    <col min="2056" max="2056" width="9" style="2917" customWidth="1"/>
    <col min="2057" max="2058" width="10.625" style="2917" customWidth="1"/>
    <col min="2059" max="2059" width="14.375" style="2917" customWidth="1"/>
    <col min="2060" max="2060" width="6.25" style="2917" customWidth="1"/>
    <col min="2061" max="2061" width="45.875" style="2917" customWidth="1"/>
    <col min="2062" max="2062" width="7.875" style="2917" customWidth="1"/>
    <col min="2063" max="2304" width="9" style="2917"/>
    <col min="2305" max="2305" width="47.625" style="2917" customWidth="1"/>
    <col min="2306" max="2306" width="6.25" style="2917" customWidth="1"/>
    <col min="2307" max="2309" width="13.875" style="2917" customWidth="1"/>
    <col min="2310" max="2310" width="27" style="2917" customWidth="1"/>
    <col min="2311" max="2311" width="7.875" style="2917" customWidth="1"/>
    <col min="2312" max="2312" width="9" style="2917" customWidth="1"/>
    <col min="2313" max="2314" width="10.625" style="2917" customWidth="1"/>
    <col min="2315" max="2315" width="14.375" style="2917" customWidth="1"/>
    <col min="2316" max="2316" width="6.25" style="2917" customWidth="1"/>
    <col min="2317" max="2317" width="45.875" style="2917" customWidth="1"/>
    <col min="2318" max="2318" width="7.875" style="2917" customWidth="1"/>
    <col min="2319" max="2560" width="9" style="2917"/>
    <col min="2561" max="2561" width="47.625" style="2917" customWidth="1"/>
    <col min="2562" max="2562" width="6.25" style="2917" customWidth="1"/>
    <col min="2563" max="2565" width="13.875" style="2917" customWidth="1"/>
    <col min="2566" max="2566" width="27" style="2917" customWidth="1"/>
    <col min="2567" max="2567" width="7.875" style="2917" customWidth="1"/>
    <col min="2568" max="2568" width="9" style="2917" customWidth="1"/>
    <col min="2569" max="2570" width="10.625" style="2917" customWidth="1"/>
    <col min="2571" max="2571" width="14.375" style="2917" customWidth="1"/>
    <col min="2572" max="2572" width="6.25" style="2917" customWidth="1"/>
    <col min="2573" max="2573" width="45.875" style="2917" customWidth="1"/>
    <col min="2574" max="2574" width="7.875" style="2917" customWidth="1"/>
    <col min="2575" max="2816" width="9" style="2917"/>
    <col min="2817" max="2817" width="47.625" style="2917" customWidth="1"/>
    <col min="2818" max="2818" width="6.25" style="2917" customWidth="1"/>
    <col min="2819" max="2821" width="13.875" style="2917" customWidth="1"/>
    <col min="2822" max="2822" width="27" style="2917" customWidth="1"/>
    <col min="2823" max="2823" width="7.875" style="2917" customWidth="1"/>
    <col min="2824" max="2824" width="9" style="2917" customWidth="1"/>
    <col min="2825" max="2826" width="10.625" style="2917" customWidth="1"/>
    <col min="2827" max="2827" width="14.375" style="2917" customWidth="1"/>
    <col min="2828" max="2828" width="6.25" style="2917" customWidth="1"/>
    <col min="2829" max="2829" width="45.875" style="2917" customWidth="1"/>
    <col min="2830" max="2830" width="7.875" style="2917" customWidth="1"/>
    <col min="2831" max="3072" width="9" style="2917"/>
    <col min="3073" max="3073" width="47.625" style="2917" customWidth="1"/>
    <col min="3074" max="3074" width="6.25" style="2917" customWidth="1"/>
    <col min="3075" max="3077" width="13.875" style="2917" customWidth="1"/>
    <col min="3078" max="3078" width="27" style="2917" customWidth="1"/>
    <col min="3079" max="3079" width="7.875" style="2917" customWidth="1"/>
    <col min="3080" max="3080" width="9" style="2917" customWidth="1"/>
    <col min="3081" max="3082" width="10.625" style="2917" customWidth="1"/>
    <col min="3083" max="3083" width="14.375" style="2917" customWidth="1"/>
    <col min="3084" max="3084" width="6.25" style="2917" customWidth="1"/>
    <col min="3085" max="3085" width="45.875" style="2917" customWidth="1"/>
    <col min="3086" max="3086" width="7.875" style="2917" customWidth="1"/>
    <col min="3087" max="3328" width="9" style="2917"/>
    <col min="3329" max="3329" width="47.625" style="2917" customWidth="1"/>
    <col min="3330" max="3330" width="6.25" style="2917" customWidth="1"/>
    <col min="3331" max="3333" width="13.875" style="2917" customWidth="1"/>
    <col min="3334" max="3334" width="27" style="2917" customWidth="1"/>
    <col min="3335" max="3335" width="7.875" style="2917" customWidth="1"/>
    <col min="3336" max="3336" width="9" style="2917" customWidth="1"/>
    <col min="3337" max="3338" width="10.625" style="2917" customWidth="1"/>
    <col min="3339" max="3339" width="14.375" style="2917" customWidth="1"/>
    <col min="3340" max="3340" width="6.25" style="2917" customWidth="1"/>
    <col min="3341" max="3341" width="45.875" style="2917" customWidth="1"/>
    <col min="3342" max="3342" width="7.875" style="2917" customWidth="1"/>
    <col min="3343" max="3584" width="9" style="2917"/>
    <col min="3585" max="3585" width="47.625" style="2917" customWidth="1"/>
    <col min="3586" max="3586" width="6.25" style="2917" customWidth="1"/>
    <col min="3587" max="3589" width="13.875" style="2917" customWidth="1"/>
    <col min="3590" max="3590" width="27" style="2917" customWidth="1"/>
    <col min="3591" max="3591" width="7.875" style="2917" customWidth="1"/>
    <col min="3592" max="3592" width="9" style="2917" customWidth="1"/>
    <col min="3593" max="3594" width="10.625" style="2917" customWidth="1"/>
    <col min="3595" max="3595" width="14.375" style="2917" customWidth="1"/>
    <col min="3596" max="3596" width="6.25" style="2917" customWidth="1"/>
    <col min="3597" max="3597" width="45.875" style="2917" customWidth="1"/>
    <col min="3598" max="3598" width="7.875" style="2917" customWidth="1"/>
    <col min="3599" max="3840" width="9" style="2917"/>
    <col min="3841" max="3841" width="47.625" style="2917" customWidth="1"/>
    <col min="3842" max="3842" width="6.25" style="2917" customWidth="1"/>
    <col min="3843" max="3845" width="13.875" style="2917" customWidth="1"/>
    <col min="3846" max="3846" width="27" style="2917" customWidth="1"/>
    <col min="3847" max="3847" width="7.875" style="2917" customWidth="1"/>
    <col min="3848" max="3848" width="9" style="2917" customWidth="1"/>
    <col min="3849" max="3850" width="10.625" style="2917" customWidth="1"/>
    <col min="3851" max="3851" width="14.375" style="2917" customWidth="1"/>
    <col min="3852" max="3852" width="6.25" style="2917" customWidth="1"/>
    <col min="3853" max="3853" width="45.875" style="2917" customWidth="1"/>
    <col min="3854" max="3854" width="7.875" style="2917" customWidth="1"/>
    <col min="3855" max="4096" width="9" style="2917"/>
    <col min="4097" max="4097" width="47.625" style="2917" customWidth="1"/>
    <col min="4098" max="4098" width="6.25" style="2917" customWidth="1"/>
    <col min="4099" max="4101" width="13.875" style="2917" customWidth="1"/>
    <col min="4102" max="4102" width="27" style="2917" customWidth="1"/>
    <col min="4103" max="4103" width="7.875" style="2917" customWidth="1"/>
    <col min="4104" max="4104" width="9" style="2917" customWidth="1"/>
    <col min="4105" max="4106" width="10.625" style="2917" customWidth="1"/>
    <col min="4107" max="4107" width="14.375" style="2917" customWidth="1"/>
    <col min="4108" max="4108" width="6.25" style="2917" customWidth="1"/>
    <col min="4109" max="4109" width="45.875" style="2917" customWidth="1"/>
    <col min="4110" max="4110" width="7.875" style="2917" customWidth="1"/>
    <col min="4111" max="4352" width="9" style="2917"/>
    <col min="4353" max="4353" width="47.625" style="2917" customWidth="1"/>
    <col min="4354" max="4354" width="6.25" style="2917" customWidth="1"/>
    <col min="4355" max="4357" width="13.875" style="2917" customWidth="1"/>
    <col min="4358" max="4358" width="27" style="2917" customWidth="1"/>
    <col min="4359" max="4359" width="7.875" style="2917" customWidth="1"/>
    <col min="4360" max="4360" width="9" style="2917" customWidth="1"/>
    <col min="4361" max="4362" width="10.625" style="2917" customWidth="1"/>
    <col min="4363" max="4363" width="14.375" style="2917" customWidth="1"/>
    <col min="4364" max="4364" width="6.25" style="2917" customWidth="1"/>
    <col min="4365" max="4365" width="45.875" style="2917" customWidth="1"/>
    <col min="4366" max="4366" width="7.875" style="2917" customWidth="1"/>
    <col min="4367" max="4608" width="9" style="2917"/>
    <col min="4609" max="4609" width="47.625" style="2917" customWidth="1"/>
    <col min="4610" max="4610" width="6.25" style="2917" customWidth="1"/>
    <col min="4611" max="4613" width="13.875" style="2917" customWidth="1"/>
    <col min="4614" max="4614" width="27" style="2917" customWidth="1"/>
    <col min="4615" max="4615" width="7.875" style="2917" customWidth="1"/>
    <col min="4616" max="4616" width="9" style="2917" customWidth="1"/>
    <col min="4617" max="4618" width="10.625" style="2917" customWidth="1"/>
    <col min="4619" max="4619" width="14.375" style="2917" customWidth="1"/>
    <col min="4620" max="4620" width="6.25" style="2917" customWidth="1"/>
    <col min="4621" max="4621" width="45.875" style="2917" customWidth="1"/>
    <col min="4622" max="4622" width="7.875" style="2917" customWidth="1"/>
    <col min="4623" max="4864" width="9" style="2917"/>
    <col min="4865" max="4865" width="47.625" style="2917" customWidth="1"/>
    <col min="4866" max="4866" width="6.25" style="2917" customWidth="1"/>
    <col min="4867" max="4869" width="13.875" style="2917" customWidth="1"/>
    <col min="4870" max="4870" width="27" style="2917" customWidth="1"/>
    <col min="4871" max="4871" width="7.875" style="2917" customWidth="1"/>
    <col min="4872" max="4872" width="9" style="2917" customWidth="1"/>
    <col min="4873" max="4874" width="10.625" style="2917" customWidth="1"/>
    <col min="4875" max="4875" width="14.375" style="2917" customWidth="1"/>
    <col min="4876" max="4876" width="6.25" style="2917" customWidth="1"/>
    <col min="4877" max="4877" width="45.875" style="2917" customWidth="1"/>
    <col min="4878" max="4878" width="7.875" style="2917" customWidth="1"/>
    <col min="4879" max="5120" width="9" style="2917"/>
    <col min="5121" max="5121" width="47.625" style="2917" customWidth="1"/>
    <col min="5122" max="5122" width="6.25" style="2917" customWidth="1"/>
    <col min="5123" max="5125" width="13.875" style="2917" customWidth="1"/>
    <col min="5126" max="5126" width="27" style="2917" customWidth="1"/>
    <col min="5127" max="5127" width="7.875" style="2917" customWidth="1"/>
    <col min="5128" max="5128" width="9" style="2917" customWidth="1"/>
    <col min="5129" max="5130" width="10.625" style="2917" customWidth="1"/>
    <col min="5131" max="5131" width="14.375" style="2917" customWidth="1"/>
    <col min="5132" max="5132" width="6.25" style="2917" customWidth="1"/>
    <col min="5133" max="5133" width="45.875" style="2917" customWidth="1"/>
    <col min="5134" max="5134" width="7.875" style="2917" customWidth="1"/>
    <col min="5135" max="5376" width="9" style="2917"/>
    <col min="5377" max="5377" width="47.625" style="2917" customWidth="1"/>
    <col min="5378" max="5378" width="6.25" style="2917" customWidth="1"/>
    <col min="5379" max="5381" width="13.875" style="2917" customWidth="1"/>
    <col min="5382" max="5382" width="27" style="2917" customWidth="1"/>
    <col min="5383" max="5383" width="7.875" style="2917" customWidth="1"/>
    <col min="5384" max="5384" width="9" style="2917" customWidth="1"/>
    <col min="5385" max="5386" width="10.625" style="2917" customWidth="1"/>
    <col min="5387" max="5387" width="14.375" style="2917" customWidth="1"/>
    <col min="5388" max="5388" width="6.25" style="2917" customWidth="1"/>
    <col min="5389" max="5389" width="45.875" style="2917" customWidth="1"/>
    <col min="5390" max="5390" width="7.875" style="2917" customWidth="1"/>
    <col min="5391" max="5632" width="9" style="2917"/>
    <col min="5633" max="5633" width="47.625" style="2917" customWidth="1"/>
    <col min="5634" max="5634" width="6.25" style="2917" customWidth="1"/>
    <col min="5635" max="5637" width="13.875" style="2917" customWidth="1"/>
    <col min="5638" max="5638" width="27" style="2917" customWidth="1"/>
    <col min="5639" max="5639" width="7.875" style="2917" customWidth="1"/>
    <col min="5640" max="5640" width="9" style="2917" customWidth="1"/>
    <col min="5641" max="5642" width="10.625" style="2917" customWidth="1"/>
    <col min="5643" max="5643" width="14.375" style="2917" customWidth="1"/>
    <col min="5644" max="5644" width="6.25" style="2917" customWidth="1"/>
    <col min="5645" max="5645" width="45.875" style="2917" customWidth="1"/>
    <col min="5646" max="5646" width="7.875" style="2917" customWidth="1"/>
    <col min="5647" max="5888" width="9" style="2917"/>
    <col min="5889" max="5889" width="47.625" style="2917" customWidth="1"/>
    <col min="5890" max="5890" width="6.25" style="2917" customWidth="1"/>
    <col min="5891" max="5893" width="13.875" style="2917" customWidth="1"/>
    <col min="5894" max="5894" width="27" style="2917" customWidth="1"/>
    <col min="5895" max="5895" width="7.875" style="2917" customWidth="1"/>
    <col min="5896" max="5896" width="9" style="2917" customWidth="1"/>
    <col min="5897" max="5898" width="10.625" style="2917" customWidth="1"/>
    <col min="5899" max="5899" width="14.375" style="2917" customWidth="1"/>
    <col min="5900" max="5900" width="6.25" style="2917" customWidth="1"/>
    <col min="5901" max="5901" width="45.875" style="2917" customWidth="1"/>
    <col min="5902" max="5902" width="7.875" style="2917" customWidth="1"/>
    <col min="5903" max="6144" width="9" style="2917"/>
    <col min="6145" max="6145" width="47.625" style="2917" customWidth="1"/>
    <col min="6146" max="6146" width="6.25" style="2917" customWidth="1"/>
    <col min="6147" max="6149" width="13.875" style="2917" customWidth="1"/>
    <col min="6150" max="6150" width="27" style="2917" customWidth="1"/>
    <col min="6151" max="6151" width="7.875" style="2917" customWidth="1"/>
    <col min="6152" max="6152" width="9" style="2917" customWidth="1"/>
    <col min="6153" max="6154" width="10.625" style="2917" customWidth="1"/>
    <col min="6155" max="6155" width="14.375" style="2917" customWidth="1"/>
    <col min="6156" max="6156" width="6.25" style="2917" customWidth="1"/>
    <col min="6157" max="6157" width="45.875" style="2917" customWidth="1"/>
    <col min="6158" max="6158" width="7.875" style="2917" customWidth="1"/>
    <col min="6159" max="6400" width="9" style="2917"/>
    <col min="6401" max="6401" width="47.625" style="2917" customWidth="1"/>
    <col min="6402" max="6402" width="6.25" style="2917" customWidth="1"/>
    <col min="6403" max="6405" width="13.875" style="2917" customWidth="1"/>
    <col min="6406" max="6406" width="27" style="2917" customWidth="1"/>
    <col min="6407" max="6407" width="7.875" style="2917" customWidth="1"/>
    <col min="6408" max="6408" width="9" style="2917" customWidth="1"/>
    <col min="6409" max="6410" width="10.625" style="2917" customWidth="1"/>
    <col min="6411" max="6411" width="14.375" style="2917" customWidth="1"/>
    <col min="6412" max="6412" width="6.25" style="2917" customWidth="1"/>
    <col min="6413" max="6413" width="45.875" style="2917" customWidth="1"/>
    <col min="6414" max="6414" width="7.875" style="2917" customWidth="1"/>
    <col min="6415" max="6656" width="9" style="2917"/>
    <col min="6657" max="6657" width="47.625" style="2917" customWidth="1"/>
    <col min="6658" max="6658" width="6.25" style="2917" customWidth="1"/>
    <col min="6659" max="6661" width="13.875" style="2917" customWidth="1"/>
    <col min="6662" max="6662" width="27" style="2917" customWidth="1"/>
    <col min="6663" max="6663" width="7.875" style="2917" customWidth="1"/>
    <col min="6664" max="6664" width="9" style="2917" customWidth="1"/>
    <col min="6665" max="6666" width="10.625" style="2917" customWidth="1"/>
    <col min="6667" max="6667" width="14.375" style="2917" customWidth="1"/>
    <col min="6668" max="6668" width="6.25" style="2917" customWidth="1"/>
    <col min="6669" max="6669" width="45.875" style="2917" customWidth="1"/>
    <col min="6670" max="6670" width="7.875" style="2917" customWidth="1"/>
    <col min="6671" max="6912" width="9" style="2917"/>
    <col min="6913" max="6913" width="47.625" style="2917" customWidth="1"/>
    <col min="6914" max="6914" width="6.25" style="2917" customWidth="1"/>
    <col min="6915" max="6917" width="13.875" style="2917" customWidth="1"/>
    <col min="6918" max="6918" width="27" style="2917" customWidth="1"/>
    <col min="6919" max="6919" width="7.875" style="2917" customWidth="1"/>
    <col min="6920" max="6920" width="9" style="2917" customWidth="1"/>
    <col min="6921" max="6922" width="10.625" style="2917" customWidth="1"/>
    <col min="6923" max="6923" width="14.375" style="2917" customWidth="1"/>
    <col min="6924" max="6924" width="6.25" style="2917" customWidth="1"/>
    <col min="6925" max="6925" width="45.875" style="2917" customWidth="1"/>
    <col min="6926" max="6926" width="7.875" style="2917" customWidth="1"/>
    <col min="6927" max="7168" width="9" style="2917"/>
    <col min="7169" max="7169" width="47.625" style="2917" customWidth="1"/>
    <col min="7170" max="7170" width="6.25" style="2917" customWidth="1"/>
    <col min="7171" max="7173" width="13.875" style="2917" customWidth="1"/>
    <col min="7174" max="7174" width="27" style="2917" customWidth="1"/>
    <col min="7175" max="7175" width="7.875" style="2917" customWidth="1"/>
    <col min="7176" max="7176" width="9" style="2917" customWidth="1"/>
    <col min="7177" max="7178" width="10.625" style="2917" customWidth="1"/>
    <col min="7179" max="7179" width="14.375" style="2917" customWidth="1"/>
    <col min="7180" max="7180" width="6.25" style="2917" customWidth="1"/>
    <col min="7181" max="7181" width="45.875" style="2917" customWidth="1"/>
    <col min="7182" max="7182" width="7.875" style="2917" customWidth="1"/>
    <col min="7183" max="7424" width="9" style="2917"/>
    <col min="7425" max="7425" width="47.625" style="2917" customWidth="1"/>
    <col min="7426" max="7426" width="6.25" style="2917" customWidth="1"/>
    <col min="7427" max="7429" width="13.875" style="2917" customWidth="1"/>
    <col min="7430" max="7430" width="27" style="2917" customWidth="1"/>
    <col min="7431" max="7431" width="7.875" style="2917" customWidth="1"/>
    <col min="7432" max="7432" width="9" style="2917" customWidth="1"/>
    <col min="7433" max="7434" width="10.625" style="2917" customWidth="1"/>
    <col min="7435" max="7435" width="14.375" style="2917" customWidth="1"/>
    <col min="7436" max="7436" width="6.25" style="2917" customWidth="1"/>
    <col min="7437" max="7437" width="45.875" style="2917" customWidth="1"/>
    <col min="7438" max="7438" width="7.875" style="2917" customWidth="1"/>
    <col min="7439" max="7680" width="9" style="2917"/>
    <col min="7681" max="7681" width="47.625" style="2917" customWidth="1"/>
    <col min="7682" max="7682" width="6.25" style="2917" customWidth="1"/>
    <col min="7683" max="7685" width="13.875" style="2917" customWidth="1"/>
    <col min="7686" max="7686" width="27" style="2917" customWidth="1"/>
    <col min="7687" max="7687" width="7.875" style="2917" customWidth="1"/>
    <col min="7688" max="7688" width="9" style="2917" customWidth="1"/>
    <col min="7689" max="7690" width="10.625" style="2917" customWidth="1"/>
    <col min="7691" max="7691" width="14.375" style="2917" customWidth="1"/>
    <col min="7692" max="7692" width="6.25" style="2917" customWidth="1"/>
    <col min="7693" max="7693" width="45.875" style="2917" customWidth="1"/>
    <col min="7694" max="7694" width="7.875" style="2917" customWidth="1"/>
    <col min="7695" max="7936" width="9" style="2917"/>
    <col min="7937" max="7937" width="47.625" style="2917" customWidth="1"/>
    <col min="7938" max="7938" width="6.25" style="2917" customWidth="1"/>
    <col min="7939" max="7941" width="13.875" style="2917" customWidth="1"/>
    <col min="7942" max="7942" width="27" style="2917" customWidth="1"/>
    <col min="7943" max="7943" width="7.875" style="2917" customWidth="1"/>
    <col min="7944" max="7944" width="9" style="2917" customWidth="1"/>
    <col min="7945" max="7946" width="10.625" style="2917" customWidth="1"/>
    <col min="7947" max="7947" width="14.375" style="2917" customWidth="1"/>
    <col min="7948" max="7948" width="6.25" style="2917" customWidth="1"/>
    <col min="7949" max="7949" width="45.875" style="2917" customWidth="1"/>
    <col min="7950" max="7950" width="7.875" style="2917" customWidth="1"/>
    <col min="7951" max="8192" width="9" style="2917"/>
    <col min="8193" max="8193" width="47.625" style="2917" customWidth="1"/>
    <col min="8194" max="8194" width="6.25" style="2917" customWidth="1"/>
    <col min="8195" max="8197" width="13.875" style="2917" customWidth="1"/>
    <col min="8198" max="8198" width="27" style="2917" customWidth="1"/>
    <col min="8199" max="8199" width="7.875" style="2917" customWidth="1"/>
    <col min="8200" max="8200" width="9" style="2917" customWidth="1"/>
    <col min="8201" max="8202" width="10.625" style="2917" customWidth="1"/>
    <col min="8203" max="8203" width="14.375" style="2917" customWidth="1"/>
    <col min="8204" max="8204" width="6.25" style="2917" customWidth="1"/>
    <col min="8205" max="8205" width="45.875" style="2917" customWidth="1"/>
    <col min="8206" max="8206" width="7.875" style="2917" customWidth="1"/>
    <col min="8207" max="8448" width="9" style="2917"/>
    <col min="8449" max="8449" width="47.625" style="2917" customWidth="1"/>
    <col min="8450" max="8450" width="6.25" style="2917" customWidth="1"/>
    <col min="8451" max="8453" width="13.875" style="2917" customWidth="1"/>
    <col min="8454" max="8454" width="27" style="2917" customWidth="1"/>
    <col min="8455" max="8455" width="7.875" style="2917" customWidth="1"/>
    <col min="8456" max="8456" width="9" style="2917" customWidth="1"/>
    <col min="8457" max="8458" width="10.625" style="2917" customWidth="1"/>
    <col min="8459" max="8459" width="14.375" style="2917" customWidth="1"/>
    <col min="8460" max="8460" width="6.25" style="2917" customWidth="1"/>
    <col min="8461" max="8461" width="45.875" style="2917" customWidth="1"/>
    <col min="8462" max="8462" width="7.875" style="2917" customWidth="1"/>
    <col min="8463" max="8704" width="9" style="2917"/>
    <col min="8705" max="8705" width="47.625" style="2917" customWidth="1"/>
    <col min="8706" max="8706" width="6.25" style="2917" customWidth="1"/>
    <col min="8707" max="8709" width="13.875" style="2917" customWidth="1"/>
    <col min="8710" max="8710" width="27" style="2917" customWidth="1"/>
    <col min="8711" max="8711" width="7.875" style="2917" customWidth="1"/>
    <col min="8712" max="8712" width="9" style="2917" customWidth="1"/>
    <col min="8713" max="8714" width="10.625" style="2917" customWidth="1"/>
    <col min="8715" max="8715" width="14.375" style="2917" customWidth="1"/>
    <col min="8716" max="8716" width="6.25" style="2917" customWidth="1"/>
    <col min="8717" max="8717" width="45.875" style="2917" customWidth="1"/>
    <col min="8718" max="8718" width="7.875" style="2917" customWidth="1"/>
    <col min="8719" max="8960" width="9" style="2917"/>
    <col min="8961" max="8961" width="47.625" style="2917" customWidth="1"/>
    <col min="8962" max="8962" width="6.25" style="2917" customWidth="1"/>
    <col min="8963" max="8965" width="13.875" style="2917" customWidth="1"/>
    <col min="8966" max="8966" width="27" style="2917" customWidth="1"/>
    <col min="8967" max="8967" width="7.875" style="2917" customWidth="1"/>
    <col min="8968" max="8968" width="9" style="2917" customWidth="1"/>
    <col min="8969" max="8970" width="10.625" style="2917" customWidth="1"/>
    <col min="8971" max="8971" width="14.375" style="2917" customWidth="1"/>
    <col min="8972" max="8972" width="6.25" style="2917" customWidth="1"/>
    <col min="8973" max="8973" width="45.875" style="2917" customWidth="1"/>
    <col min="8974" max="8974" width="7.875" style="2917" customWidth="1"/>
    <col min="8975" max="9216" width="9" style="2917"/>
    <col min="9217" max="9217" width="47.625" style="2917" customWidth="1"/>
    <col min="9218" max="9218" width="6.25" style="2917" customWidth="1"/>
    <col min="9219" max="9221" width="13.875" style="2917" customWidth="1"/>
    <col min="9222" max="9222" width="27" style="2917" customWidth="1"/>
    <col min="9223" max="9223" width="7.875" style="2917" customWidth="1"/>
    <col min="9224" max="9224" width="9" style="2917" customWidth="1"/>
    <col min="9225" max="9226" width="10.625" style="2917" customWidth="1"/>
    <col min="9227" max="9227" width="14.375" style="2917" customWidth="1"/>
    <col min="9228" max="9228" width="6.25" style="2917" customWidth="1"/>
    <col min="9229" max="9229" width="45.875" style="2917" customWidth="1"/>
    <col min="9230" max="9230" width="7.875" style="2917" customWidth="1"/>
    <col min="9231" max="9472" width="9" style="2917"/>
    <col min="9473" max="9473" width="47.625" style="2917" customWidth="1"/>
    <col min="9474" max="9474" width="6.25" style="2917" customWidth="1"/>
    <col min="9475" max="9477" width="13.875" style="2917" customWidth="1"/>
    <col min="9478" max="9478" width="27" style="2917" customWidth="1"/>
    <col min="9479" max="9479" width="7.875" style="2917" customWidth="1"/>
    <col min="9480" max="9480" width="9" style="2917" customWidth="1"/>
    <col min="9481" max="9482" width="10.625" style="2917" customWidth="1"/>
    <col min="9483" max="9483" width="14.375" style="2917" customWidth="1"/>
    <col min="9484" max="9484" width="6.25" style="2917" customWidth="1"/>
    <col min="9485" max="9485" width="45.875" style="2917" customWidth="1"/>
    <col min="9486" max="9486" width="7.875" style="2917" customWidth="1"/>
    <col min="9487" max="9728" width="9" style="2917"/>
    <col min="9729" max="9729" width="47.625" style="2917" customWidth="1"/>
    <col min="9730" max="9730" width="6.25" style="2917" customWidth="1"/>
    <col min="9731" max="9733" width="13.875" style="2917" customWidth="1"/>
    <col min="9734" max="9734" width="27" style="2917" customWidth="1"/>
    <col min="9735" max="9735" width="7.875" style="2917" customWidth="1"/>
    <col min="9736" max="9736" width="9" style="2917" customWidth="1"/>
    <col min="9737" max="9738" width="10.625" style="2917" customWidth="1"/>
    <col min="9739" max="9739" width="14.375" style="2917" customWidth="1"/>
    <col min="9740" max="9740" width="6.25" style="2917" customWidth="1"/>
    <col min="9741" max="9741" width="45.875" style="2917" customWidth="1"/>
    <col min="9742" max="9742" width="7.875" style="2917" customWidth="1"/>
    <col min="9743" max="9984" width="9" style="2917"/>
    <col min="9985" max="9985" width="47.625" style="2917" customWidth="1"/>
    <col min="9986" max="9986" width="6.25" style="2917" customWidth="1"/>
    <col min="9987" max="9989" width="13.875" style="2917" customWidth="1"/>
    <col min="9990" max="9990" width="27" style="2917" customWidth="1"/>
    <col min="9991" max="9991" width="7.875" style="2917" customWidth="1"/>
    <col min="9992" max="9992" width="9" style="2917" customWidth="1"/>
    <col min="9993" max="9994" width="10.625" style="2917" customWidth="1"/>
    <col min="9995" max="9995" width="14.375" style="2917" customWidth="1"/>
    <col min="9996" max="9996" width="6.25" style="2917" customWidth="1"/>
    <col min="9997" max="9997" width="45.875" style="2917" customWidth="1"/>
    <col min="9998" max="9998" width="7.875" style="2917" customWidth="1"/>
    <col min="9999" max="10240" width="9" style="2917"/>
    <col min="10241" max="10241" width="47.625" style="2917" customWidth="1"/>
    <col min="10242" max="10242" width="6.25" style="2917" customWidth="1"/>
    <col min="10243" max="10245" width="13.875" style="2917" customWidth="1"/>
    <col min="10246" max="10246" width="27" style="2917" customWidth="1"/>
    <col min="10247" max="10247" width="7.875" style="2917" customWidth="1"/>
    <col min="10248" max="10248" width="9" style="2917" customWidth="1"/>
    <col min="10249" max="10250" width="10.625" style="2917" customWidth="1"/>
    <col min="10251" max="10251" width="14.375" style="2917" customWidth="1"/>
    <col min="10252" max="10252" width="6.25" style="2917" customWidth="1"/>
    <col min="10253" max="10253" width="45.875" style="2917" customWidth="1"/>
    <col min="10254" max="10254" width="7.875" style="2917" customWidth="1"/>
    <col min="10255" max="10496" width="9" style="2917"/>
    <col min="10497" max="10497" width="47.625" style="2917" customWidth="1"/>
    <col min="10498" max="10498" width="6.25" style="2917" customWidth="1"/>
    <col min="10499" max="10501" width="13.875" style="2917" customWidth="1"/>
    <col min="10502" max="10502" width="27" style="2917" customWidth="1"/>
    <col min="10503" max="10503" width="7.875" style="2917" customWidth="1"/>
    <col min="10504" max="10504" width="9" style="2917" customWidth="1"/>
    <col min="10505" max="10506" width="10.625" style="2917" customWidth="1"/>
    <col min="10507" max="10507" width="14.375" style="2917" customWidth="1"/>
    <col min="10508" max="10508" width="6.25" style="2917" customWidth="1"/>
    <col min="10509" max="10509" width="45.875" style="2917" customWidth="1"/>
    <col min="10510" max="10510" width="7.875" style="2917" customWidth="1"/>
    <col min="10511" max="10752" width="9" style="2917"/>
    <col min="10753" max="10753" width="47.625" style="2917" customWidth="1"/>
    <col min="10754" max="10754" width="6.25" style="2917" customWidth="1"/>
    <col min="10755" max="10757" width="13.875" style="2917" customWidth="1"/>
    <col min="10758" max="10758" width="27" style="2917" customWidth="1"/>
    <col min="10759" max="10759" width="7.875" style="2917" customWidth="1"/>
    <col min="10760" max="10760" width="9" style="2917" customWidth="1"/>
    <col min="10761" max="10762" width="10.625" style="2917" customWidth="1"/>
    <col min="10763" max="10763" width="14.375" style="2917" customWidth="1"/>
    <col min="10764" max="10764" width="6.25" style="2917" customWidth="1"/>
    <col min="10765" max="10765" width="45.875" style="2917" customWidth="1"/>
    <col min="10766" max="10766" width="7.875" style="2917" customWidth="1"/>
    <col min="10767" max="11008" width="9" style="2917"/>
    <col min="11009" max="11009" width="47.625" style="2917" customWidth="1"/>
    <col min="11010" max="11010" width="6.25" style="2917" customWidth="1"/>
    <col min="11011" max="11013" width="13.875" style="2917" customWidth="1"/>
    <col min="11014" max="11014" width="27" style="2917" customWidth="1"/>
    <col min="11015" max="11015" width="7.875" style="2917" customWidth="1"/>
    <col min="11016" max="11016" width="9" style="2917" customWidth="1"/>
    <col min="11017" max="11018" width="10.625" style="2917" customWidth="1"/>
    <col min="11019" max="11019" width="14.375" style="2917" customWidth="1"/>
    <col min="11020" max="11020" width="6.25" style="2917" customWidth="1"/>
    <col min="11021" max="11021" width="45.875" style="2917" customWidth="1"/>
    <col min="11022" max="11022" width="7.875" style="2917" customWidth="1"/>
    <col min="11023" max="11264" width="9" style="2917"/>
    <col min="11265" max="11265" width="47.625" style="2917" customWidth="1"/>
    <col min="11266" max="11266" width="6.25" style="2917" customWidth="1"/>
    <col min="11267" max="11269" width="13.875" style="2917" customWidth="1"/>
    <col min="11270" max="11270" width="27" style="2917" customWidth="1"/>
    <col min="11271" max="11271" width="7.875" style="2917" customWidth="1"/>
    <col min="11272" max="11272" width="9" style="2917" customWidth="1"/>
    <col min="11273" max="11274" width="10.625" style="2917" customWidth="1"/>
    <col min="11275" max="11275" width="14.375" style="2917" customWidth="1"/>
    <col min="11276" max="11276" width="6.25" style="2917" customWidth="1"/>
    <col min="11277" max="11277" width="45.875" style="2917" customWidth="1"/>
    <col min="11278" max="11278" width="7.875" style="2917" customWidth="1"/>
    <col min="11279" max="11520" width="9" style="2917"/>
    <col min="11521" max="11521" width="47.625" style="2917" customWidth="1"/>
    <col min="11522" max="11522" width="6.25" style="2917" customWidth="1"/>
    <col min="11523" max="11525" width="13.875" style="2917" customWidth="1"/>
    <col min="11526" max="11526" width="27" style="2917" customWidth="1"/>
    <col min="11527" max="11527" width="7.875" style="2917" customWidth="1"/>
    <col min="11528" max="11528" width="9" style="2917" customWidth="1"/>
    <col min="11529" max="11530" width="10.625" style="2917" customWidth="1"/>
    <col min="11531" max="11531" width="14.375" style="2917" customWidth="1"/>
    <col min="11532" max="11532" width="6.25" style="2917" customWidth="1"/>
    <col min="11533" max="11533" width="45.875" style="2917" customWidth="1"/>
    <col min="11534" max="11534" width="7.875" style="2917" customWidth="1"/>
    <col min="11535" max="11776" width="9" style="2917"/>
    <col min="11777" max="11777" width="47.625" style="2917" customWidth="1"/>
    <col min="11778" max="11778" width="6.25" style="2917" customWidth="1"/>
    <col min="11779" max="11781" width="13.875" style="2917" customWidth="1"/>
    <col min="11782" max="11782" width="27" style="2917" customWidth="1"/>
    <col min="11783" max="11783" width="7.875" style="2917" customWidth="1"/>
    <col min="11784" max="11784" width="9" style="2917" customWidth="1"/>
    <col min="11785" max="11786" width="10.625" style="2917" customWidth="1"/>
    <col min="11787" max="11787" width="14.375" style="2917" customWidth="1"/>
    <col min="11788" max="11788" width="6.25" style="2917" customWidth="1"/>
    <col min="11789" max="11789" width="45.875" style="2917" customWidth="1"/>
    <col min="11790" max="11790" width="7.875" style="2917" customWidth="1"/>
    <col min="11791" max="12032" width="9" style="2917"/>
    <col min="12033" max="12033" width="47.625" style="2917" customWidth="1"/>
    <col min="12034" max="12034" width="6.25" style="2917" customWidth="1"/>
    <col min="12035" max="12037" width="13.875" style="2917" customWidth="1"/>
    <col min="12038" max="12038" width="27" style="2917" customWidth="1"/>
    <col min="12039" max="12039" width="7.875" style="2917" customWidth="1"/>
    <col min="12040" max="12040" width="9" style="2917" customWidth="1"/>
    <col min="12041" max="12042" width="10.625" style="2917" customWidth="1"/>
    <col min="12043" max="12043" width="14.375" style="2917" customWidth="1"/>
    <col min="12044" max="12044" width="6.25" style="2917" customWidth="1"/>
    <col min="12045" max="12045" width="45.875" style="2917" customWidth="1"/>
    <col min="12046" max="12046" width="7.875" style="2917" customWidth="1"/>
    <col min="12047" max="12288" width="9" style="2917"/>
    <col min="12289" max="12289" width="47.625" style="2917" customWidth="1"/>
    <col min="12290" max="12290" width="6.25" style="2917" customWidth="1"/>
    <col min="12291" max="12293" width="13.875" style="2917" customWidth="1"/>
    <col min="12294" max="12294" width="27" style="2917" customWidth="1"/>
    <col min="12295" max="12295" width="7.875" style="2917" customWidth="1"/>
    <col min="12296" max="12296" width="9" style="2917" customWidth="1"/>
    <col min="12297" max="12298" width="10.625" style="2917" customWidth="1"/>
    <col min="12299" max="12299" width="14.375" style="2917" customWidth="1"/>
    <col min="12300" max="12300" width="6.25" style="2917" customWidth="1"/>
    <col min="12301" max="12301" width="45.875" style="2917" customWidth="1"/>
    <col min="12302" max="12302" width="7.875" style="2917" customWidth="1"/>
    <col min="12303" max="12544" width="9" style="2917"/>
    <col min="12545" max="12545" width="47.625" style="2917" customWidth="1"/>
    <col min="12546" max="12546" width="6.25" style="2917" customWidth="1"/>
    <col min="12547" max="12549" width="13.875" style="2917" customWidth="1"/>
    <col min="12550" max="12550" width="27" style="2917" customWidth="1"/>
    <col min="12551" max="12551" width="7.875" style="2917" customWidth="1"/>
    <col min="12552" max="12552" width="9" style="2917" customWidth="1"/>
    <col min="12553" max="12554" width="10.625" style="2917" customWidth="1"/>
    <col min="12555" max="12555" width="14.375" style="2917" customWidth="1"/>
    <col min="12556" max="12556" width="6.25" style="2917" customWidth="1"/>
    <col min="12557" max="12557" width="45.875" style="2917" customWidth="1"/>
    <col min="12558" max="12558" width="7.875" style="2917" customWidth="1"/>
    <col min="12559" max="12800" width="9" style="2917"/>
    <col min="12801" max="12801" width="47.625" style="2917" customWidth="1"/>
    <col min="12802" max="12802" width="6.25" style="2917" customWidth="1"/>
    <col min="12803" max="12805" width="13.875" style="2917" customWidth="1"/>
    <col min="12806" max="12806" width="27" style="2917" customWidth="1"/>
    <col min="12807" max="12807" width="7.875" style="2917" customWidth="1"/>
    <col min="12808" max="12808" width="9" style="2917" customWidth="1"/>
    <col min="12809" max="12810" width="10.625" style="2917" customWidth="1"/>
    <col min="12811" max="12811" width="14.375" style="2917" customWidth="1"/>
    <col min="12812" max="12812" width="6.25" style="2917" customWidth="1"/>
    <col min="12813" max="12813" width="45.875" style="2917" customWidth="1"/>
    <col min="12814" max="12814" width="7.875" style="2917" customWidth="1"/>
    <col min="12815" max="13056" width="9" style="2917"/>
    <col min="13057" max="13057" width="47.625" style="2917" customWidth="1"/>
    <col min="13058" max="13058" width="6.25" style="2917" customWidth="1"/>
    <col min="13059" max="13061" width="13.875" style="2917" customWidth="1"/>
    <col min="13062" max="13062" width="27" style="2917" customWidth="1"/>
    <col min="13063" max="13063" width="7.875" style="2917" customWidth="1"/>
    <col min="13064" max="13064" width="9" style="2917" customWidth="1"/>
    <col min="13065" max="13066" width="10.625" style="2917" customWidth="1"/>
    <col min="13067" max="13067" width="14.375" style="2917" customWidth="1"/>
    <col min="13068" max="13068" width="6.25" style="2917" customWidth="1"/>
    <col min="13069" max="13069" width="45.875" style="2917" customWidth="1"/>
    <col min="13070" max="13070" width="7.875" style="2917" customWidth="1"/>
    <col min="13071" max="13312" width="9" style="2917"/>
    <col min="13313" max="13313" width="47.625" style="2917" customWidth="1"/>
    <col min="13314" max="13314" width="6.25" style="2917" customWidth="1"/>
    <col min="13315" max="13317" width="13.875" style="2917" customWidth="1"/>
    <col min="13318" max="13318" width="27" style="2917" customWidth="1"/>
    <col min="13319" max="13319" width="7.875" style="2917" customWidth="1"/>
    <col min="13320" max="13320" width="9" style="2917" customWidth="1"/>
    <col min="13321" max="13322" width="10.625" style="2917" customWidth="1"/>
    <col min="13323" max="13323" width="14.375" style="2917" customWidth="1"/>
    <col min="13324" max="13324" width="6.25" style="2917" customWidth="1"/>
    <col min="13325" max="13325" width="45.875" style="2917" customWidth="1"/>
    <col min="13326" max="13326" width="7.875" style="2917" customWidth="1"/>
    <col min="13327" max="13568" width="9" style="2917"/>
    <col min="13569" max="13569" width="47.625" style="2917" customWidth="1"/>
    <col min="13570" max="13570" width="6.25" style="2917" customWidth="1"/>
    <col min="13571" max="13573" width="13.875" style="2917" customWidth="1"/>
    <col min="13574" max="13574" width="27" style="2917" customWidth="1"/>
    <col min="13575" max="13575" width="7.875" style="2917" customWidth="1"/>
    <col min="13576" max="13576" width="9" style="2917" customWidth="1"/>
    <col min="13577" max="13578" width="10.625" style="2917" customWidth="1"/>
    <col min="13579" max="13579" width="14.375" style="2917" customWidth="1"/>
    <col min="13580" max="13580" width="6.25" style="2917" customWidth="1"/>
    <col min="13581" max="13581" width="45.875" style="2917" customWidth="1"/>
    <col min="13582" max="13582" width="7.875" style="2917" customWidth="1"/>
    <col min="13583" max="13824" width="9" style="2917"/>
    <col min="13825" max="13825" width="47.625" style="2917" customWidth="1"/>
    <col min="13826" max="13826" width="6.25" style="2917" customWidth="1"/>
    <col min="13827" max="13829" width="13.875" style="2917" customWidth="1"/>
    <col min="13830" max="13830" width="27" style="2917" customWidth="1"/>
    <col min="13831" max="13831" width="7.875" style="2917" customWidth="1"/>
    <col min="13832" max="13832" width="9" style="2917" customWidth="1"/>
    <col min="13833" max="13834" width="10.625" style="2917" customWidth="1"/>
    <col min="13835" max="13835" width="14.375" style="2917" customWidth="1"/>
    <col min="13836" max="13836" width="6.25" style="2917" customWidth="1"/>
    <col min="13837" max="13837" width="45.875" style="2917" customWidth="1"/>
    <col min="13838" max="13838" width="7.875" style="2917" customWidth="1"/>
    <col min="13839" max="14080" width="9" style="2917"/>
    <col min="14081" max="14081" width="47.625" style="2917" customWidth="1"/>
    <col min="14082" max="14082" width="6.25" style="2917" customWidth="1"/>
    <col min="14083" max="14085" width="13.875" style="2917" customWidth="1"/>
    <col min="14086" max="14086" width="27" style="2917" customWidth="1"/>
    <col min="14087" max="14087" width="7.875" style="2917" customWidth="1"/>
    <col min="14088" max="14088" width="9" style="2917" customWidth="1"/>
    <col min="14089" max="14090" width="10.625" style="2917" customWidth="1"/>
    <col min="14091" max="14091" width="14.375" style="2917" customWidth="1"/>
    <col min="14092" max="14092" width="6.25" style="2917" customWidth="1"/>
    <col min="14093" max="14093" width="45.875" style="2917" customWidth="1"/>
    <col min="14094" max="14094" width="7.875" style="2917" customWidth="1"/>
    <col min="14095" max="14336" width="9" style="2917"/>
    <col min="14337" max="14337" width="47.625" style="2917" customWidth="1"/>
    <col min="14338" max="14338" width="6.25" style="2917" customWidth="1"/>
    <col min="14339" max="14341" width="13.875" style="2917" customWidth="1"/>
    <col min="14342" max="14342" width="27" style="2917" customWidth="1"/>
    <col min="14343" max="14343" width="7.875" style="2917" customWidth="1"/>
    <col min="14344" max="14344" width="9" style="2917" customWidth="1"/>
    <col min="14345" max="14346" width="10.625" style="2917" customWidth="1"/>
    <col min="14347" max="14347" width="14.375" style="2917" customWidth="1"/>
    <col min="14348" max="14348" width="6.25" style="2917" customWidth="1"/>
    <col min="14349" max="14349" width="45.875" style="2917" customWidth="1"/>
    <col min="14350" max="14350" width="7.875" style="2917" customWidth="1"/>
    <col min="14351" max="14592" width="9" style="2917"/>
    <col min="14593" max="14593" width="47.625" style="2917" customWidth="1"/>
    <col min="14594" max="14594" width="6.25" style="2917" customWidth="1"/>
    <col min="14595" max="14597" width="13.875" style="2917" customWidth="1"/>
    <col min="14598" max="14598" width="27" style="2917" customWidth="1"/>
    <col min="14599" max="14599" width="7.875" style="2917" customWidth="1"/>
    <col min="14600" max="14600" width="9" style="2917" customWidth="1"/>
    <col min="14601" max="14602" width="10.625" style="2917" customWidth="1"/>
    <col min="14603" max="14603" width="14.375" style="2917" customWidth="1"/>
    <col min="14604" max="14604" width="6.25" style="2917" customWidth="1"/>
    <col min="14605" max="14605" width="45.875" style="2917" customWidth="1"/>
    <col min="14606" max="14606" width="7.875" style="2917" customWidth="1"/>
    <col min="14607" max="14848" width="9" style="2917"/>
    <col min="14849" max="14849" width="47.625" style="2917" customWidth="1"/>
    <col min="14850" max="14850" width="6.25" style="2917" customWidth="1"/>
    <col min="14851" max="14853" width="13.875" style="2917" customWidth="1"/>
    <col min="14854" max="14854" width="27" style="2917" customWidth="1"/>
    <col min="14855" max="14855" width="7.875" style="2917" customWidth="1"/>
    <col min="14856" max="14856" width="9" style="2917" customWidth="1"/>
    <col min="14857" max="14858" width="10.625" style="2917" customWidth="1"/>
    <col min="14859" max="14859" width="14.375" style="2917" customWidth="1"/>
    <col min="14860" max="14860" width="6.25" style="2917" customWidth="1"/>
    <col min="14861" max="14861" width="45.875" style="2917" customWidth="1"/>
    <col min="14862" max="14862" width="7.875" style="2917" customWidth="1"/>
    <col min="14863" max="15104" width="9" style="2917"/>
    <col min="15105" max="15105" width="47.625" style="2917" customWidth="1"/>
    <col min="15106" max="15106" width="6.25" style="2917" customWidth="1"/>
    <col min="15107" max="15109" width="13.875" style="2917" customWidth="1"/>
    <col min="15110" max="15110" width="27" style="2917" customWidth="1"/>
    <col min="15111" max="15111" width="7.875" style="2917" customWidth="1"/>
    <col min="15112" max="15112" width="9" style="2917" customWidth="1"/>
    <col min="15113" max="15114" width="10.625" style="2917" customWidth="1"/>
    <col min="15115" max="15115" width="14.375" style="2917" customWidth="1"/>
    <col min="15116" max="15116" width="6.25" style="2917" customWidth="1"/>
    <col min="15117" max="15117" width="45.875" style="2917" customWidth="1"/>
    <col min="15118" max="15118" width="7.875" style="2917" customWidth="1"/>
    <col min="15119" max="15360" width="9" style="2917"/>
    <col min="15361" max="15361" width="47.625" style="2917" customWidth="1"/>
    <col min="15362" max="15362" width="6.25" style="2917" customWidth="1"/>
    <col min="15363" max="15365" width="13.875" style="2917" customWidth="1"/>
    <col min="15366" max="15366" width="27" style="2917" customWidth="1"/>
    <col min="15367" max="15367" width="7.875" style="2917" customWidth="1"/>
    <col min="15368" max="15368" width="9" style="2917" customWidth="1"/>
    <col min="15369" max="15370" width="10.625" style="2917" customWidth="1"/>
    <col min="15371" max="15371" width="14.375" style="2917" customWidth="1"/>
    <col min="15372" max="15372" width="6.25" style="2917" customWidth="1"/>
    <col min="15373" max="15373" width="45.875" style="2917" customWidth="1"/>
    <col min="15374" max="15374" width="7.875" style="2917" customWidth="1"/>
    <col min="15375" max="15616" width="9" style="2917"/>
    <col min="15617" max="15617" width="47.625" style="2917" customWidth="1"/>
    <col min="15618" max="15618" width="6.25" style="2917" customWidth="1"/>
    <col min="15619" max="15621" width="13.875" style="2917" customWidth="1"/>
    <col min="15622" max="15622" width="27" style="2917" customWidth="1"/>
    <col min="15623" max="15623" width="7.875" style="2917" customWidth="1"/>
    <col min="15624" max="15624" width="9" style="2917" customWidth="1"/>
    <col min="15625" max="15626" width="10.625" style="2917" customWidth="1"/>
    <col min="15627" max="15627" width="14.375" style="2917" customWidth="1"/>
    <col min="15628" max="15628" width="6.25" style="2917" customWidth="1"/>
    <col min="15629" max="15629" width="45.875" style="2917" customWidth="1"/>
    <col min="15630" max="15630" width="7.875" style="2917" customWidth="1"/>
    <col min="15631" max="15872" width="9" style="2917"/>
    <col min="15873" max="15873" width="47.625" style="2917" customWidth="1"/>
    <col min="15874" max="15874" width="6.25" style="2917" customWidth="1"/>
    <col min="15875" max="15877" width="13.875" style="2917" customWidth="1"/>
    <col min="15878" max="15878" width="27" style="2917" customWidth="1"/>
    <col min="15879" max="15879" width="7.875" style="2917" customWidth="1"/>
    <col min="15880" max="15880" width="9" style="2917" customWidth="1"/>
    <col min="15881" max="15882" width="10.625" style="2917" customWidth="1"/>
    <col min="15883" max="15883" width="14.375" style="2917" customWidth="1"/>
    <col min="15884" max="15884" width="6.25" style="2917" customWidth="1"/>
    <col min="15885" max="15885" width="45.875" style="2917" customWidth="1"/>
    <col min="15886" max="15886" width="7.875" style="2917" customWidth="1"/>
    <col min="15887" max="16128" width="9" style="2917"/>
    <col min="16129" max="16129" width="47.625" style="2917" customWidth="1"/>
    <col min="16130" max="16130" width="6.25" style="2917" customWidth="1"/>
    <col min="16131" max="16133" width="13.875" style="2917" customWidth="1"/>
    <col min="16134" max="16134" width="27" style="2917" customWidth="1"/>
    <col min="16135" max="16135" width="7.875" style="2917" customWidth="1"/>
    <col min="16136" max="16136" width="9" style="2917" customWidth="1"/>
    <col min="16137" max="16138" width="10.625" style="2917" customWidth="1"/>
    <col min="16139" max="16139" width="14.375" style="2917" customWidth="1"/>
    <col min="16140" max="16140" width="6.25" style="2917" customWidth="1"/>
    <col min="16141" max="16141" width="45.875" style="2917" customWidth="1"/>
    <col min="16142" max="16142" width="7.875" style="2917" customWidth="1"/>
    <col min="16143" max="16384" width="9" style="2917"/>
  </cols>
  <sheetData>
    <row r="1" spans="1:14">
      <c r="A1" s="2917" t="s">
        <v>2993</v>
      </c>
      <c r="B1" s="2917" t="s">
        <v>2994</v>
      </c>
      <c r="C1" s="2917" t="s">
        <v>2995</v>
      </c>
      <c r="D1" s="2917" t="s">
        <v>2996</v>
      </c>
      <c r="E1" s="2917" t="s">
        <v>2997</v>
      </c>
      <c r="F1" s="2917" t="s">
        <v>2033</v>
      </c>
      <c r="G1" s="2917" t="s">
        <v>2998</v>
      </c>
      <c r="H1" s="2917" t="s">
        <v>3285</v>
      </c>
      <c r="I1" s="2917" t="s">
        <v>2999</v>
      </c>
      <c r="J1" s="2917" t="s">
        <v>3000</v>
      </c>
      <c r="K1" s="2917" t="s">
        <v>3001</v>
      </c>
      <c r="L1" s="2917" t="s">
        <v>3002</v>
      </c>
      <c r="M1" s="2917" t="s">
        <v>3003</v>
      </c>
      <c r="N1" s="2917" t="s">
        <v>3286</v>
      </c>
    </row>
    <row r="2" spans="1:14">
      <c r="A2" s="2917" t="s">
        <v>3287</v>
      </c>
      <c r="B2" s="2917" t="s">
        <v>3030</v>
      </c>
      <c r="C2" s="2917" t="s">
        <v>3288</v>
      </c>
      <c r="D2" s="2917">
        <v>82189.039999999994</v>
      </c>
      <c r="E2" s="2917">
        <v>221910.39999999999</v>
      </c>
      <c r="F2" s="2917" t="s">
        <v>3289</v>
      </c>
      <c r="G2" s="2917" t="s">
        <v>3004</v>
      </c>
      <c r="H2" s="2917" t="s">
        <v>3290</v>
      </c>
      <c r="I2" s="2917">
        <v>29403</v>
      </c>
      <c r="J2" s="2917">
        <v>29403</v>
      </c>
      <c r="K2" s="2917">
        <v>1324.99</v>
      </c>
      <c r="L2" s="2917">
        <v>0</v>
      </c>
      <c r="M2" s="2917" t="s">
        <v>3291</v>
      </c>
      <c r="N2" s="2917" t="s">
        <v>3006</v>
      </c>
    </row>
    <row r="3" spans="1:14" s="3569" customFormat="1">
      <c r="A3" s="3569" t="s">
        <v>3292</v>
      </c>
      <c r="B3" s="3569" t="s">
        <v>3030</v>
      </c>
      <c r="C3" s="3569" t="s">
        <v>3005</v>
      </c>
      <c r="D3" s="3569">
        <v>52281.32</v>
      </c>
      <c r="E3" s="3569">
        <v>135931.43</v>
      </c>
      <c r="F3" s="3569" t="s">
        <v>3293</v>
      </c>
      <c r="G3" s="3569" t="s">
        <v>3004</v>
      </c>
      <c r="H3" s="3569" t="s">
        <v>3294</v>
      </c>
      <c r="I3" s="3569">
        <v>29811</v>
      </c>
      <c r="J3" s="3569">
        <v>29811</v>
      </c>
      <c r="K3" s="3569">
        <v>2193.09</v>
      </c>
      <c r="L3" s="3569">
        <v>0</v>
      </c>
      <c r="M3" s="3569" t="s">
        <v>3291</v>
      </c>
      <c r="N3" s="3569" t="s">
        <v>3006</v>
      </c>
    </row>
    <row r="4" spans="1:14" s="3570" customFormat="1">
      <c r="A4" s="3570" t="s">
        <v>3295</v>
      </c>
      <c r="B4" s="3570" t="s">
        <v>3030</v>
      </c>
      <c r="C4" s="3570" t="s">
        <v>3005</v>
      </c>
      <c r="D4" s="3570">
        <v>56956.800000000003</v>
      </c>
      <c r="E4" s="3570">
        <v>159479</v>
      </c>
      <c r="F4" s="3570" t="s">
        <v>3296</v>
      </c>
      <c r="G4" s="3570" t="s">
        <v>3004</v>
      </c>
      <c r="H4" s="3570" t="s">
        <v>3294</v>
      </c>
      <c r="I4" s="3570">
        <v>34174</v>
      </c>
      <c r="J4" s="3570">
        <v>34174</v>
      </c>
      <c r="K4" s="3570">
        <v>2142.84</v>
      </c>
      <c r="L4" s="3570">
        <v>0</v>
      </c>
      <c r="M4" s="3570" t="s">
        <v>3291</v>
      </c>
      <c r="N4" s="3570" t="s">
        <v>3006</v>
      </c>
    </row>
    <row r="5" spans="1:14">
      <c r="A5" s="2917" t="s">
        <v>3297</v>
      </c>
      <c r="B5" s="2917" t="s">
        <v>3030</v>
      </c>
      <c r="C5" s="2917" t="s">
        <v>3005</v>
      </c>
      <c r="D5" s="2917">
        <v>16264.42</v>
      </c>
      <c r="E5" s="2917">
        <v>35781.72</v>
      </c>
      <c r="F5" s="2917" t="s">
        <v>3035</v>
      </c>
      <c r="G5" s="2917" t="s">
        <v>3004</v>
      </c>
      <c r="H5" s="2917" t="s">
        <v>3294</v>
      </c>
      <c r="I5" s="2917">
        <v>11710</v>
      </c>
      <c r="J5" s="2917">
        <v>11710</v>
      </c>
      <c r="K5" s="2917">
        <v>3272.61</v>
      </c>
      <c r="L5" s="2917">
        <v>0</v>
      </c>
      <c r="M5" s="2917" t="s">
        <v>3089</v>
      </c>
      <c r="N5" s="2917" t="s">
        <v>3006</v>
      </c>
    </row>
    <row r="6" spans="1:14">
      <c r="A6" s="2917" t="s">
        <v>3298</v>
      </c>
      <c r="B6" s="2917" t="s">
        <v>3030</v>
      </c>
      <c r="C6" s="2917" t="s">
        <v>3288</v>
      </c>
      <c r="D6" s="2917">
        <v>26270.560000000001</v>
      </c>
      <c r="E6" s="2917">
        <v>39405.839999999997</v>
      </c>
      <c r="F6" s="2917" t="s">
        <v>3299</v>
      </c>
      <c r="G6" s="2917" t="s">
        <v>3004</v>
      </c>
      <c r="H6" s="2917" t="s">
        <v>3300</v>
      </c>
      <c r="I6" s="2917">
        <v>22855</v>
      </c>
      <c r="J6" s="2917">
        <v>22855</v>
      </c>
      <c r="K6" s="2917">
        <v>5799.89</v>
      </c>
      <c r="L6" s="2917">
        <v>0</v>
      </c>
      <c r="M6" s="2917" t="s">
        <v>3089</v>
      </c>
      <c r="N6" s="2917" t="s">
        <v>3006</v>
      </c>
    </row>
    <row r="7" spans="1:14">
      <c r="A7" s="2917" t="s">
        <v>3301</v>
      </c>
      <c r="B7" s="2917" t="s">
        <v>3030</v>
      </c>
      <c r="C7" s="2917" t="s">
        <v>3288</v>
      </c>
      <c r="D7" s="2917">
        <v>10080.6</v>
      </c>
      <c r="E7" s="2917">
        <v>13104.78</v>
      </c>
      <c r="F7" s="2917" t="s">
        <v>3046</v>
      </c>
      <c r="G7" s="2917" t="s">
        <v>3004</v>
      </c>
      <c r="H7" s="2917" t="s">
        <v>3300</v>
      </c>
      <c r="I7" s="2917">
        <v>8360</v>
      </c>
      <c r="J7" s="2917">
        <v>8360</v>
      </c>
      <c r="K7" s="2917">
        <v>6379.35</v>
      </c>
      <c r="L7" s="2917">
        <v>0</v>
      </c>
      <c r="M7" s="2917" t="s">
        <v>3302</v>
      </c>
      <c r="N7" s="2917" t="s">
        <v>3006</v>
      </c>
    </row>
    <row r="8" spans="1:14">
      <c r="A8" s="2917" t="s">
        <v>3303</v>
      </c>
      <c r="B8" s="2917" t="s">
        <v>3030</v>
      </c>
      <c r="C8" s="2917" t="s">
        <v>3304</v>
      </c>
      <c r="D8" s="2917">
        <v>5891.46</v>
      </c>
      <c r="E8" s="2917">
        <v>7128.67</v>
      </c>
      <c r="F8" s="2917" t="s">
        <v>3305</v>
      </c>
      <c r="G8" s="2917" t="s">
        <v>3004</v>
      </c>
      <c r="H8" s="2917" t="s">
        <v>3300</v>
      </c>
      <c r="I8" s="2917">
        <v>478</v>
      </c>
      <c r="J8" s="2917">
        <v>478</v>
      </c>
      <c r="K8" s="2917">
        <v>670.52</v>
      </c>
      <c r="L8" s="2917">
        <v>0</v>
      </c>
      <c r="M8" s="2917" t="s">
        <v>3306</v>
      </c>
      <c r="N8" s="2917" t="s">
        <v>3006</v>
      </c>
    </row>
    <row r="9" spans="1:14">
      <c r="A9" s="2917" t="s">
        <v>3307</v>
      </c>
      <c r="B9" s="2917" t="s">
        <v>3030</v>
      </c>
      <c r="C9" s="2917" t="s">
        <v>3288</v>
      </c>
      <c r="D9" s="2917">
        <v>12847.26</v>
      </c>
      <c r="E9" s="2917">
        <v>15416.71</v>
      </c>
      <c r="F9" s="2917" t="s">
        <v>3308</v>
      </c>
      <c r="G9" s="2917" t="s">
        <v>3004</v>
      </c>
      <c r="H9" s="2917" t="s">
        <v>3300</v>
      </c>
      <c r="I9" s="2917">
        <v>9809</v>
      </c>
      <c r="J9" s="2917">
        <v>9809</v>
      </c>
      <c r="K9" s="2917">
        <v>6362.57</v>
      </c>
      <c r="L9" s="2917">
        <v>0</v>
      </c>
      <c r="M9" s="2917" t="s">
        <v>3302</v>
      </c>
      <c r="N9" s="2917" t="s">
        <v>3006</v>
      </c>
    </row>
    <row r="10" spans="1:14" s="3569" customFormat="1">
      <c r="A10" s="3569" t="s">
        <v>3309</v>
      </c>
      <c r="B10" s="3569" t="s">
        <v>3030</v>
      </c>
      <c r="C10" s="3569" t="s">
        <v>3288</v>
      </c>
      <c r="D10" s="3569">
        <v>5992.4</v>
      </c>
      <c r="E10" s="3569">
        <v>8389.36</v>
      </c>
      <c r="F10" s="3569" t="s">
        <v>3080</v>
      </c>
      <c r="G10" s="3569" t="s">
        <v>3004</v>
      </c>
      <c r="H10" s="3569" t="s">
        <v>3300</v>
      </c>
      <c r="I10" s="3569">
        <v>1698</v>
      </c>
      <c r="J10" s="3569">
        <v>1698</v>
      </c>
      <c r="K10" s="3569">
        <v>2023.99</v>
      </c>
      <c r="L10" s="3569">
        <v>0</v>
      </c>
      <c r="M10" s="3569" t="s">
        <v>3310</v>
      </c>
      <c r="N10" s="3569" t="s">
        <v>3006</v>
      </c>
    </row>
    <row r="11" spans="1:14">
      <c r="A11" s="2917" t="s">
        <v>3301</v>
      </c>
      <c r="B11" s="2917" t="s">
        <v>3030</v>
      </c>
      <c r="C11" s="2917" t="s">
        <v>3005</v>
      </c>
      <c r="D11" s="2917">
        <v>3244.15</v>
      </c>
      <c r="E11" s="2917">
        <v>3892.98</v>
      </c>
      <c r="F11" s="2917" t="s">
        <v>3308</v>
      </c>
      <c r="G11" s="2917" t="s">
        <v>3004</v>
      </c>
      <c r="H11" s="2917" t="s">
        <v>3311</v>
      </c>
      <c r="I11" s="2917">
        <v>2756</v>
      </c>
      <c r="J11" s="2917">
        <v>2756</v>
      </c>
      <c r="K11" s="2917">
        <v>7079.4</v>
      </c>
      <c r="L11" s="2917">
        <v>0</v>
      </c>
      <c r="M11" s="2917" t="s">
        <v>3312</v>
      </c>
      <c r="N11" s="2917" t="s">
        <v>3006</v>
      </c>
    </row>
    <row r="12" spans="1:14">
      <c r="A12" s="2917" t="s">
        <v>3313</v>
      </c>
      <c r="B12" s="2917" t="s">
        <v>3030</v>
      </c>
      <c r="C12" s="2917" t="s">
        <v>3005</v>
      </c>
      <c r="D12" s="2917">
        <v>12029.03</v>
      </c>
      <c r="E12" s="2917">
        <v>16840.64</v>
      </c>
      <c r="F12" s="2917" t="s">
        <v>3080</v>
      </c>
      <c r="G12" s="2917" t="s">
        <v>3004</v>
      </c>
      <c r="H12" s="2917" t="s">
        <v>3311</v>
      </c>
      <c r="I12" s="2917">
        <v>7578</v>
      </c>
      <c r="J12" s="2917">
        <v>7678</v>
      </c>
      <c r="K12" s="2917">
        <v>4559.21</v>
      </c>
      <c r="L12" s="2917">
        <v>1.32</v>
      </c>
      <c r="M12" s="2917" t="s">
        <v>3314</v>
      </c>
      <c r="N12" s="2917" t="s">
        <v>3006</v>
      </c>
    </row>
    <row r="13" spans="1:14">
      <c r="A13" s="2917" t="s">
        <v>3315</v>
      </c>
      <c r="B13" s="2917" t="s">
        <v>3030</v>
      </c>
      <c r="C13" s="2917" t="s">
        <v>3304</v>
      </c>
      <c r="D13" s="2917">
        <v>3003.59</v>
      </c>
      <c r="E13" s="2917">
        <v>3003.59</v>
      </c>
      <c r="F13" s="2917" t="s">
        <v>3316</v>
      </c>
      <c r="G13" s="2917" t="s">
        <v>3004</v>
      </c>
      <c r="H13" s="2917" t="s">
        <v>3032</v>
      </c>
      <c r="I13" s="2917">
        <v>2027</v>
      </c>
      <c r="J13" s="2917">
        <v>8077</v>
      </c>
      <c r="K13" s="2917">
        <v>26891.15</v>
      </c>
      <c r="L13" s="2917">
        <v>298.47000000000003</v>
      </c>
      <c r="M13" s="2917" t="s">
        <v>3317</v>
      </c>
      <c r="N13" s="2917" t="s">
        <v>3006</v>
      </c>
    </row>
    <row r="14" spans="1:14">
      <c r="A14" s="2917" t="s">
        <v>3029</v>
      </c>
      <c r="B14" s="2917" t="s">
        <v>3030</v>
      </c>
      <c r="C14" s="2917" t="s">
        <v>3005</v>
      </c>
      <c r="D14" s="2917">
        <v>2118.7800000000002</v>
      </c>
      <c r="E14" s="2917">
        <v>3368.86</v>
      </c>
      <c r="F14" s="2917" t="s">
        <v>3031</v>
      </c>
      <c r="G14" s="2917" t="s">
        <v>3004</v>
      </c>
      <c r="H14" s="2917" t="s">
        <v>3032</v>
      </c>
      <c r="I14" s="2917">
        <v>592</v>
      </c>
      <c r="J14" s="2917">
        <v>592</v>
      </c>
      <c r="K14" s="2917">
        <v>1757.26</v>
      </c>
      <c r="L14" s="2917">
        <v>0</v>
      </c>
      <c r="M14" s="2917" t="s">
        <v>3033</v>
      </c>
      <c r="N14" s="2917" t="s">
        <v>3006</v>
      </c>
    </row>
    <row r="15" spans="1:14">
      <c r="A15" s="2917" t="s">
        <v>3034</v>
      </c>
      <c r="B15" s="2917" t="s">
        <v>3030</v>
      </c>
      <c r="C15" s="2917" t="s">
        <v>3005</v>
      </c>
      <c r="D15" s="2917">
        <v>25919.360000000001</v>
      </c>
      <c r="E15" s="2917">
        <v>57022.59</v>
      </c>
      <c r="F15" s="2917" t="s">
        <v>3035</v>
      </c>
      <c r="G15" s="2917" t="s">
        <v>3004</v>
      </c>
      <c r="H15" s="2917" t="s">
        <v>3032</v>
      </c>
      <c r="I15" s="2917">
        <v>5204</v>
      </c>
      <c r="J15" s="2917">
        <v>5204</v>
      </c>
      <c r="K15" s="2917">
        <v>912.62</v>
      </c>
      <c r="L15" s="2917">
        <v>0</v>
      </c>
      <c r="M15" s="2917" t="s">
        <v>3036</v>
      </c>
      <c r="N15" s="2917" t="s">
        <v>3006</v>
      </c>
    </row>
    <row r="16" spans="1:14">
      <c r="A16" s="2917" t="s">
        <v>3037</v>
      </c>
      <c r="B16" s="2917" t="s">
        <v>3030</v>
      </c>
      <c r="C16" s="2917" t="s">
        <v>3005</v>
      </c>
      <c r="D16" s="2917">
        <v>7705.68</v>
      </c>
      <c r="E16" s="2917">
        <v>7782.74</v>
      </c>
      <c r="F16" s="2917" t="s">
        <v>3038</v>
      </c>
      <c r="G16" s="2917" t="s">
        <v>3004</v>
      </c>
      <c r="H16" s="2917" t="s">
        <v>3032</v>
      </c>
      <c r="I16" s="2917">
        <v>6242</v>
      </c>
      <c r="J16" s="2917">
        <v>6242</v>
      </c>
      <c r="K16" s="2917">
        <v>8020.31</v>
      </c>
      <c r="L16" s="2917">
        <v>0</v>
      </c>
      <c r="M16" s="2917" t="s">
        <v>3039</v>
      </c>
      <c r="N16" s="2917" t="s">
        <v>3006</v>
      </c>
    </row>
    <row r="17" spans="1:14">
      <c r="A17" s="2917" t="s">
        <v>3318</v>
      </c>
      <c r="B17" s="2917" t="s">
        <v>3030</v>
      </c>
      <c r="C17" s="2917" t="s">
        <v>3304</v>
      </c>
      <c r="D17" s="2917">
        <v>2157.31</v>
      </c>
      <c r="E17" s="2917">
        <v>3883.16</v>
      </c>
      <c r="F17" s="2917" t="s">
        <v>3319</v>
      </c>
      <c r="G17" s="2917" t="s">
        <v>3004</v>
      </c>
      <c r="H17" s="2917" t="s">
        <v>3032</v>
      </c>
      <c r="I17" s="2917">
        <v>430</v>
      </c>
      <c r="J17" s="2917">
        <v>430</v>
      </c>
      <c r="K17" s="2917">
        <v>1107.3399999999999</v>
      </c>
      <c r="L17" s="2917">
        <v>0</v>
      </c>
      <c r="M17" s="2917" t="s">
        <v>3320</v>
      </c>
      <c r="N17" s="2917" t="s">
        <v>3006</v>
      </c>
    </row>
    <row r="18" spans="1:14">
      <c r="A18" s="2917" t="s">
        <v>3321</v>
      </c>
      <c r="B18" s="2917" t="s">
        <v>3030</v>
      </c>
      <c r="C18" s="2917" t="s">
        <v>3304</v>
      </c>
      <c r="D18" s="2917">
        <v>63230.05</v>
      </c>
      <c r="E18" s="2917">
        <v>12646.01</v>
      </c>
      <c r="F18" s="2917" t="s">
        <v>3322</v>
      </c>
      <c r="G18" s="2917" t="s">
        <v>3004</v>
      </c>
      <c r="H18" s="2917" t="s">
        <v>3032</v>
      </c>
      <c r="I18" s="2917">
        <v>4192</v>
      </c>
      <c r="J18" s="2917">
        <v>4192</v>
      </c>
      <c r="K18" s="2917">
        <v>3314.88</v>
      </c>
      <c r="L18" s="2917">
        <v>0</v>
      </c>
      <c r="M18" s="2917" t="s">
        <v>3323</v>
      </c>
      <c r="N18" s="2917" t="s">
        <v>3006</v>
      </c>
    </row>
    <row r="19" spans="1:14">
      <c r="A19" s="2917" t="s">
        <v>3324</v>
      </c>
      <c r="B19" s="2917" t="s">
        <v>3030</v>
      </c>
      <c r="C19" s="2917" t="s">
        <v>3304</v>
      </c>
      <c r="D19" s="2917">
        <v>1817.84</v>
      </c>
      <c r="E19" s="2917">
        <v>3635.68</v>
      </c>
      <c r="F19" s="2917" t="s">
        <v>3325</v>
      </c>
      <c r="G19" s="2917" t="s">
        <v>3004</v>
      </c>
      <c r="H19" s="2917" t="s">
        <v>3032</v>
      </c>
      <c r="I19" s="2917">
        <v>491</v>
      </c>
      <c r="J19" s="2917">
        <v>491</v>
      </c>
      <c r="K19" s="2917">
        <v>1350.5</v>
      </c>
      <c r="L19" s="2917">
        <v>0</v>
      </c>
      <c r="M19" s="2917" t="s">
        <v>3326</v>
      </c>
      <c r="N19" s="2917" t="s">
        <v>3006</v>
      </c>
    </row>
    <row r="20" spans="1:14">
      <c r="A20" s="2917" t="s">
        <v>3040</v>
      </c>
      <c r="B20" s="2917" t="s">
        <v>3030</v>
      </c>
      <c r="C20" s="2917" t="s">
        <v>3005</v>
      </c>
      <c r="D20" s="2917">
        <v>40249.47</v>
      </c>
      <c r="E20" s="2917">
        <v>88548.83</v>
      </c>
      <c r="F20" s="2917" t="s">
        <v>3035</v>
      </c>
      <c r="G20" s="2917" t="s">
        <v>3004</v>
      </c>
      <c r="H20" s="2917" t="s">
        <v>3032</v>
      </c>
      <c r="I20" s="2917">
        <v>27772</v>
      </c>
      <c r="J20" s="2917">
        <v>27772</v>
      </c>
      <c r="K20" s="2917">
        <v>3136.34</v>
      </c>
      <c r="L20" s="2917">
        <v>0</v>
      </c>
      <c r="M20" s="2917" t="s">
        <v>3041</v>
      </c>
      <c r="N20" s="2917" t="s">
        <v>3006</v>
      </c>
    </row>
    <row r="21" spans="1:14">
      <c r="A21" s="2917" t="s">
        <v>3042</v>
      </c>
      <c r="B21" s="2917" t="s">
        <v>3030</v>
      </c>
      <c r="C21" s="2917" t="s">
        <v>3005</v>
      </c>
      <c r="D21" s="2917">
        <v>14690.24</v>
      </c>
      <c r="E21" s="2917">
        <v>22035.360000000001</v>
      </c>
      <c r="F21" s="2917" t="s">
        <v>3043</v>
      </c>
      <c r="G21" s="2917" t="s">
        <v>3004</v>
      </c>
      <c r="H21" s="2917" t="s">
        <v>3032</v>
      </c>
      <c r="I21" s="2917">
        <v>1615</v>
      </c>
      <c r="J21" s="2917">
        <v>1615</v>
      </c>
      <c r="K21" s="2917">
        <v>732.9</v>
      </c>
      <c r="L21" s="2917">
        <v>0</v>
      </c>
      <c r="M21" s="2917" t="s">
        <v>3044</v>
      </c>
      <c r="N21" s="2917" t="s">
        <v>3006</v>
      </c>
    </row>
    <row r="22" spans="1:14">
      <c r="A22" s="2917" t="s">
        <v>3045</v>
      </c>
      <c r="B22" s="2917" t="s">
        <v>3030</v>
      </c>
      <c r="C22" s="2917" t="s">
        <v>3005</v>
      </c>
      <c r="D22" s="2917">
        <v>30967.75</v>
      </c>
      <c r="E22" s="2917">
        <v>40258.080000000002</v>
      </c>
      <c r="F22" s="2917" t="s">
        <v>3046</v>
      </c>
      <c r="G22" s="2917" t="s">
        <v>3004</v>
      </c>
      <c r="H22" s="2917" t="s">
        <v>3032</v>
      </c>
      <c r="I22" s="2917">
        <v>3637</v>
      </c>
      <c r="J22" s="2917">
        <v>3637</v>
      </c>
      <c r="K22" s="2917">
        <v>903.41</v>
      </c>
      <c r="L22" s="2917">
        <v>0</v>
      </c>
      <c r="M22" s="2917" t="s">
        <v>3047</v>
      </c>
      <c r="N22" s="2917" t="s">
        <v>3006</v>
      </c>
    </row>
    <row r="23" spans="1:14">
      <c r="A23" s="2917" t="s">
        <v>3029</v>
      </c>
      <c r="B23" s="2917" t="s">
        <v>3030</v>
      </c>
      <c r="C23" s="2917" t="s">
        <v>3005</v>
      </c>
      <c r="D23" s="2917">
        <v>1020.98</v>
      </c>
      <c r="E23" s="2917">
        <v>1623.36</v>
      </c>
      <c r="F23" s="2917" t="s">
        <v>3031</v>
      </c>
      <c r="G23" s="2917" t="s">
        <v>3004</v>
      </c>
      <c r="H23" s="2917" t="s">
        <v>3032</v>
      </c>
      <c r="I23" s="2917">
        <v>285</v>
      </c>
      <c r="J23" s="2917">
        <v>285</v>
      </c>
      <c r="K23" s="2917">
        <v>1755.61</v>
      </c>
      <c r="L23" s="2917">
        <v>0</v>
      </c>
      <c r="M23" s="2917" t="s">
        <v>3033</v>
      </c>
      <c r="N23" s="2917" t="s">
        <v>3006</v>
      </c>
    </row>
    <row r="24" spans="1:14">
      <c r="A24" s="2917" t="s">
        <v>3048</v>
      </c>
      <c r="B24" s="2917" t="s">
        <v>3030</v>
      </c>
      <c r="C24" s="2917" t="s">
        <v>3005</v>
      </c>
      <c r="D24" s="2917">
        <v>1093.3699999999999</v>
      </c>
      <c r="E24" s="2917">
        <v>1640.06</v>
      </c>
      <c r="F24" s="2917" t="s">
        <v>3043</v>
      </c>
      <c r="G24" s="2917" t="s">
        <v>3004</v>
      </c>
      <c r="H24" s="2917" t="s">
        <v>3032</v>
      </c>
      <c r="I24" s="2917">
        <v>271</v>
      </c>
      <c r="J24" s="2917">
        <v>271</v>
      </c>
      <c r="K24" s="2917">
        <v>1652.38</v>
      </c>
      <c r="L24" s="2917">
        <v>0</v>
      </c>
      <c r="M24" s="2917" t="s">
        <v>3049</v>
      </c>
      <c r="N24" s="2917" t="s">
        <v>3006</v>
      </c>
    </row>
    <row r="25" spans="1:14">
      <c r="A25" s="2917" t="s">
        <v>3029</v>
      </c>
      <c r="B25" s="2917" t="s">
        <v>3030</v>
      </c>
      <c r="C25" s="2917" t="s">
        <v>3005</v>
      </c>
      <c r="D25" s="2917">
        <v>1644.63</v>
      </c>
      <c r="E25" s="2917">
        <v>2614.96</v>
      </c>
      <c r="F25" s="2917" t="s">
        <v>3031</v>
      </c>
      <c r="G25" s="2917" t="s">
        <v>3004</v>
      </c>
      <c r="H25" s="2917" t="s">
        <v>3032</v>
      </c>
      <c r="I25" s="2917">
        <v>460</v>
      </c>
      <c r="J25" s="2917">
        <v>460</v>
      </c>
      <c r="K25" s="2917">
        <v>1759.1</v>
      </c>
      <c r="L25" s="2917">
        <v>0</v>
      </c>
      <c r="M25" s="2917" t="s">
        <v>3033</v>
      </c>
      <c r="N25" s="2917" t="s">
        <v>3006</v>
      </c>
    </row>
    <row r="26" spans="1:14">
      <c r="A26" s="2917" t="s">
        <v>3327</v>
      </c>
      <c r="B26" s="2917" t="s">
        <v>3030</v>
      </c>
      <c r="C26" s="2917" t="s">
        <v>3304</v>
      </c>
      <c r="D26" s="2917">
        <v>16814.11</v>
      </c>
      <c r="E26" s="2917">
        <v>25221.17</v>
      </c>
      <c r="F26" s="2917" t="s">
        <v>3328</v>
      </c>
      <c r="G26" s="2917" t="s">
        <v>3004</v>
      </c>
      <c r="H26" s="2917" t="s">
        <v>3052</v>
      </c>
      <c r="I26" s="2917">
        <v>2850</v>
      </c>
      <c r="J26" s="2917">
        <v>2850</v>
      </c>
      <c r="K26" s="2917">
        <v>1130</v>
      </c>
      <c r="L26" s="2917">
        <v>0</v>
      </c>
      <c r="M26" s="2917" t="s">
        <v>3329</v>
      </c>
      <c r="N26" s="2917" t="s">
        <v>3006</v>
      </c>
    </row>
    <row r="27" spans="1:14">
      <c r="A27" s="2917" t="s">
        <v>3330</v>
      </c>
      <c r="B27" s="2917" t="s">
        <v>3030</v>
      </c>
      <c r="C27" s="2917" t="s">
        <v>3304</v>
      </c>
      <c r="D27" s="2917">
        <v>36819.25</v>
      </c>
      <c r="E27" s="2917">
        <v>73638.5</v>
      </c>
      <c r="F27" s="2917" t="s">
        <v>3325</v>
      </c>
      <c r="G27" s="2917" t="s">
        <v>3004</v>
      </c>
      <c r="H27" s="2917" t="s">
        <v>3052</v>
      </c>
      <c r="I27" s="2917">
        <v>6848</v>
      </c>
      <c r="J27" s="2917">
        <v>6848</v>
      </c>
      <c r="K27" s="2917">
        <v>929.95</v>
      </c>
      <c r="L27" s="2917">
        <v>0</v>
      </c>
      <c r="M27" s="2917" t="s">
        <v>3329</v>
      </c>
      <c r="N27" s="2917" t="s">
        <v>3006</v>
      </c>
    </row>
    <row r="28" spans="1:14">
      <c r="A28" s="2917" t="s">
        <v>3050</v>
      </c>
      <c r="B28" s="2917" t="s">
        <v>3030</v>
      </c>
      <c r="C28" s="2917" t="s">
        <v>3005</v>
      </c>
      <c r="D28" s="2917">
        <v>4378</v>
      </c>
      <c r="E28" s="2917">
        <v>7880.4</v>
      </c>
      <c r="F28" s="2917" t="s">
        <v>3051</v>
      </c>
      <c r="G28" s="2917" t="s">
        <v>3004</v>
      </c>
      <c r="H28" s="2917" t="s">
        <v>3052</v>
      </c>
      <c r="I28" s="2917">
        <v>2298</v>
      </c>
      <c r="J28" s="2917">
        <v>4098</v>
      </c>
      <c r="K28" s="2917">
        <v>5200.2299999999996</v>
      </c>
      <c r="L28" s="2917">
        <v>78.33</v>
      </c>
      <c r="M28" s="2917" t="s">
        <v>3053</v>
      </c>
      <c r="N28" s="2917" t="s">
        <v>3006</v>
      </c>
    </row>
    <row r="29" spans="1:14">
      <c r="A29" s="2917" t="s">
        <v>3331</v>
      </c>
      <c r="B29" s="2917" t="s">
        <v>3030</v>
      </c>
      <c r="C29" s="2917" t="s">
        <v>3304</v>
      </c>
      <c r="D29" s="2917">
        <v>16774.21</v>
      </c>
      <c r="E29" s="2917">
        <v>25161.32</v>
      </c>
      <c r="F29" s="2917" t="s">
        <v>3088</v>
      </c>
      <c r="G29" s="2917" t="s">
        <v>3004</v>
      </c>
      <c r="H29" s="2917" t="s">
        <v>3052</v>
      </c>
      <c r="I29" s="2917">
        <v>2818</v>
      </c>
      <c r="J29" s="2917">
        <v>2818</v>
      </c>
      <c r="K29" s="2917">
        <v>1119.97</v>
      </c>
      <c r="L29" s="2917">
        <v>0</v>
      </c>
      <c r="M29" s="2917" t="s">
        <v>3329</v>
      </c>
      <c r="N29" s="2917" t="s">
        <v>3006</v>
      </c>
    </row>
    <row r="30" spans="1:14">
      <c r="A30" s="2917" t="s">
        <v>3054</v>
      </c>
      <c r="B30" s="2917" t="s">
        <v>3030</v>
      </c>
      <c r="C30" s="2917" t="s">
        <v>3005</v>
      </c>
      <c r="D30" s="2917">
        <v>55262.09</v>
      </c>
      <c r="E30" s="2917">
        <v>121576.6</v>
      </c>
      <c r="F30" s="2917" t="s">
        <v>3055</v>
      </c>
      <c r="G30" s="2917" t="s">
        <v>3004</v>
      </c>
      <c r="H30" s="2917" t="s">
        <v>3052</v>
      </c>
      <c r="I30" s="2917">
        <v>31582</v>
      </c>
      <c r="J30" s="2917">
        <v>58782</v>
      </c>
      <c r="K30" s="2917">
        <v>4834.97</v>
      </c>
      <c r="L30" s="2917">
        <v>86.13</v>
      </c>
      <c r="M30" s="2917" t="s">
        <v>3056</v>
      </c>
      <c r="N30" s="2917" t="s">
        <v>3006</v>
      </c>
    </row>
    <row r="31" spans="1:14">
      <c r="A31" s="2917" t="s">
        <v>3332</v>
      </c>
      <c r="B31" s="2917" t="s">
        <v>3030</v>
      </c>
      <c r="C31" s="2917" t="s">
        <v>3304</v>
      </c>
      <c r="D31" s="2917">
        <v>2999.44</v>
      </c>
      <c r="E31" s="2917">
        <v>2999.44</v>
      </c>
      <c r="F31" s="2917" t="s">
        <v>3316</v>
      </c>
      <c r="G31" s="2917" t="s">
        <v>3004</v>
      </c>
      <c r="H31" s="2917" t="s">
        <v>3052</v>
      </c>
      <c r="I31" s="2917">
        <v>1966</v>
      </c>
      <c r="J31" s="2917">
        <v>5916</v>
      </c>
      <c r="K31" s="2917">
        <v>19723.68</v>
      </c>
      <c r="L31" s="2917">
        <v>200.92</v>
      </c>
      <c r="M31" s="2917" t="s">
        <v>3333</v>
      </c>
      <c r="N31" s="2917" t="s">
        <v>3006</v>
      </c>
    </row>
    <row r="32" spans="1:14">
      <c r="A32" s="2917" t="s">
        <v>3057</v>
      </c>
      <c r="B32" s="2917" t="s">
        <v>3030</v>
      </c>
      <c r="C32" s="2917" t="s">
        <v>3005</v>
      </c>
      <c r="D32" s="2917">
        <v>40593.1</v>
      </c>
      <c r="E32" s="2917">
        <v>81186.2</v>
      </c>
      <c r="F32" s="2917" t="s">
        <v>3058</v>
      </c>
      <c r="G32" s="2917" t="s">
        <v>3004</v>
      </c>
      <c r="H32" s="2917" t="s">
        <v>3059</v>
      </c>
      <c r="I32" s="2917">
        <v>4986</v>
      </c>
      <c r="J32" s="2917">
        <v>4986</v>
      </c>
      <c r="K32" s="2917">
        <v>614.13</v>
      </c>
      <c r="L32" s="2917">
        <v>0</v>
      </c>
      <c r="M32" s="2917" t="s">
        <v>3060</v>
      </c>
      <c r="N32" s="2917" t="s">
        <v>3006</v>
      </c>
    </row>
    <row r="33" spans="1:14">
      <c r="A33" s="2917" t="s">
        <v>3061</v>
      </c>
      <c r="B33" s="2917" t="s">
        <v>3030</v>
      </c>
      <c r="C33" s="2917" t="s">
        <v>3005</v>
      </c>
      <c r="D33" s="2917">
        <v>35564.54</v>
      </c>
      <c r="E33" s="2917">
        <v>71129.08</v>
      </c>
      <c r="F33" s="2917" t="s">
        <v>3058</v>
      </c>
      <c r="G33" s="2917" t="s">
        <v>3004</v>
      </c>
      <c r="H33" s="2917" t="s">
        <v>3059</v>
      </c>
      <c r="I33" s="2917">
        <v>4376</v>
      </c>
      <c r="J33" s="2917">
        <v>4376</v>
      </c>
      <c r="K33" s="2917">
        <v>615.22</v>
      </c>
      <c r="L33" s="2917">
        <v>0</v>
      </c>
      <c r="M33" s="2917" t="s">
        <v>3060</v>
      </c>
      <c r="N33" s="2917" t="s">
        <v>3006</v>
      </c>
    </row>
    <row r="34" spans="1:14">
      <c r="A34" s="2917" t="s">
        <v>3062</v>
      </c>
      <c r="B34" s="2917" t="s">
        <v>3030</v>
      </c>
      <c r="C34" s="2917" t="s">
        <v>3005</v>
      </c>
      <c r="D34" s="2917">
        <v>53339.83</v>
      </c>
      <c r="E34" s="2917">
        <v>174954.6</v>
      </c>
      <c r="F34" s="2917" t="s">
        <v>3063</v>
      </c>
      <c r="G34" s="2917" t="s">
        <v>3004</v>
      </c>
      <c r="H34" s="2917" t="s">
        <v>3064</v>
      </c>
      <c r="I34" s="2917">
        <v>28805</v>
      </c>
      <c r="J34" s="2917">
        <v>35605</v>
      </c>
      <c r="K34" s="2917">
        <v>2035.09</v>
      </c>
      <c r="L34" s="2917">
        <v>23.61</v>
      </c>
      <c r="M34" s="2917" t="s">
        <v>3065</v>
      </c>
      <c r="N34" s="2917" t="s">
        <v>3006</v>
      </c>
    </row>
    <row r="35" spans="1:14" s="3569" customFormat="1">
      <c r="A35" s="3569" t="s">
        <v>3066</v>
      </c>
      <c r="B35" s="3569" t="s">
        <v>3030</v>
      </c>
      <c r="C35" s="3569" t="s">
        <v>3005</v>
      </c>
      <c r="D35" s="3569">
        <v>67785.55</v>
      </c>
      <c r="E35" s="3569">
        <v>135571.1</v>
      </c>
      <c r="F35" s="3569" t="s">
        <v>3058</v>
      </c>
      <c r="G35" s="3569" t="s">
        <v>3004</v>
      </c>
      <c r="H35" s="3569" t="s">
        <v>3064</v>
      </c>
      <c r="I35" s="3569">
        <v>30808</v>
      </c>
      <c r="J35" s="3569">
        <v>30808</v>
      </c>
      <c r="K35" s="3569">
        <v>2272.46</v>
      </c>
      <c r="L35" s="3569">
        <v>0</v>
      </c>
      <c r="M35" s="3569" t="s">
        <v>3067</v>
      </c>
      <c r="N35" s="3569" t="s">
        <v>3006</v>
      </c>
    </row>
    <row r="36" spans="1:14">
      <c r="A36" s="2917" t="s">
        <v>3068</v>
      </c>
      <c r="B36" s="2917" t="s">
        <v>3030</v>
      </c>
      <c r="C36" s="2917" t="s">
        <v>3005</v>
      </c>
      <c r="D36" s="2917">
        <v>21119.66</v>
      </c>
      <c r="E36" s="2917">
        <v>49631.199999999997</v>
      </c>
      <c r="F36" s="2917" t="s">
        <v>3069</v>
      </c>
      <c r="G36" s="2917" t="s">
        <v>3004</v>
      </c>
      <c r="H36" s="2917" t="s">
        <v>3064</v>
      </c>
      <c r="I36" s="2917">
        <v>1426</v>
      </c>
      <c r="J36" s="2917">
        <v>1426</v>
      </c>
      <c r="K36" s="2917">
        <v>287.31</v>
      </c>
      <c r="L36" s="2917">
        <v>0</v>
      </c>
      <c r="M36" s="2917" t="s">
        <v>3070</v>
      </c>
      <c r="N36" s="2917" t="s">
        <v>3006</v>
      </c>
    </row>
    <row r="37" spans="1:14">
      <c r="A37" s="2917" t="s">
        <v>3334</v>
      </c>
      <c r="B37" s="2917" t="s">
        <v>3030</v>
      </c>
      <c r="C37" s="2917" t="s">
        <v>3304</v>
      </c>
      <c r="D37" s="2917">
        <v>4444.6899999999996</v>
      </c>
      <c r="E37" s="2917">
        <v>6667.04</v>
      </c>
      <c r="F37" s="2917" t="s">
        <v>3043</v>
      </c>
      <c r="G37" s="2917" t="s">
        <v>3004</v>
      </c>
      <c r="H37" s="2917" t="s">
        <v>3064</v>
      </c>
      <c r="I37" s="2917">
        <v>773</v>
      </c>
      <c r="J37" s="2917">
        <v>773</v>
      </c>
      <c r="K37" s="2917">
        <v>1159.44</v>
      </c>
      <c r="L37" s="2917">
        <v>0</v>
      </c>
      <c r="M37" s="2917" t="s">
        <v>3335</v>
      </c>
      <c r="N37" s="2917" t="s">
        <v>3006</v>
      </c>
    </row>
    <row r="38" spans="1:14">
      <c r="A38" s="2917" t="s">
        <v>3071</v>
      </c>
      <c r="B38" s="2917" t="s">
        <v>3030</v>
      </c>
      <c r="C38" s="2917" t="s">
        <v>3005</v>
      </c>
      <c r="D38" s="2917">
        <v>38982.82</v>
      </c>
      <c r="E38" s="2917">
        <v>62372.51</v>
      </c>
      <c r="F38" s="2917" t="s">
        <v>3072</v>
      </c>
      <c r="G38" s="2917" t="s">
        <v>3004</v>
      </c>
      <c r="H38" s="2917" t="s">
        <v>3064</v>
      </c>
      <c r="I38" s="2917">
        <v>17041</v>
      </c>
      <c r="J38" s="2917">
        <v>17041</v>
      </c>
      <c r="K38" s="2917">
        <v>2732.13</v>
      </c>
      <c r="L38" s="2917">
        <v>0</v>
      </c>
      <c r="M38" s="2917" t="s">
        <v>3067</v>
      </c>
      <c r="N38" s="2917" t="s">
        <v>3006</v>
      </c>
    </row>
    <row r="39" spans="1:14">
      <c r="A39" s="2917" t="s">
        <v>3336</v>
      </c>
      <c r="B39" s="2917" t="s">
        <v>3030</v>
      </c>
      <c r="C39" s="2917" t="s">
        <v>3304</v>
      </c>
      <c r="D39" s="2917">
        <v>7095.8</v>
      </c>
      <c r="E39" s="2917">
        <v>12772.44</v>
      </c>
      <c r="F39" s="2917" t="s">
        <v>3051</v>
      </c>
      <c r="G39" s="2917" t="s">
        <v>3004</v>
      </c>
      <c r="H39" s="2917" t="s">
        <v>3064</v>
      </c>
      <c r="I39" s="2917">
        <v>1384</v>
      </c>
      <c r="J39" s="2917">
        <v>1384</v>
      </c>
      <c r="K39" s="2917">
        <v>1083.57</v>
      </c>
      <c r="L39" s="2917">
        <v>0</v>
      </c>
      <c r="M39" s="2917" t="s">
        <v>3337</v>
      </c>
      <c r="N39" s="2917" t="s">
        <v>3006</v>
      </c>
    </row>
    <row r="40" spans="1:14">
      <c r="A40" s="2917" t="s">
        <v>3338</v>
      </c>
      <c r="B40" s="2917" t="s">
        <v>3030</v>
      </c>
      <c r="C40" s="2917" t="s">
        <v>3304</v>
      </c>
      <c r="D40" s="2917">
        <v>8363.99</v>
      </c>
      <c r="E40" s="2917">
        <v>12545.99</v>
      </c>
      <c r="F40" s="2917" t="s">
        <v>3043</v>
      </c>
      <c r="G40" s="2917" t="s">
        <v>3004</v>
      </c>
      <c r="H40" s="2917" t="s">
        <v>3064</v>
      </c>
      <c r="I40" s="2917">
        <v>1456</v>
      </c>
      <c r="J40" s="2917">
        <v>1456</v>
      </c>
      <c r="K40" s="2917">
        <v>1160.52</v>
      </c>
      <c r="L40" s="2917">
        <v>0</v>
      </c>
      <c r="M40" s="2917" t="s">
        <v>3339</v>
      </c>
      <c r="N40" s="2917" t="s">
        <v>3006</v>
      </c>
    </row>
    <row r="41" spans="1:14">
      <c r="A41" s="2917" t="s">
        <v>3340</v>
      </c>
      <c r="B41" s="2917" t="s">
        <v>3030</v>
      </c>
      <c r="C41" s="2917" t="s">
        <v>3304</v>
      </c>
      <c r="D41" s="2917">
        <v>10141.9</v>
      </c>
      <c r="E41" s="2917">
        <v>3042.57</v>
      </c>
      <c r="F41" s="2917" t="s">
        <v>3341</v>
      </c>
      <c r="G41" s="2917" t="s">
        <v>3004</v>
      </c>
      <c r="H41" s="2917" t="s">
        <v>3064</v>
      </c>
      <c r="I41" s="2917">
        <v>609</v>
      </c>
      <c r="J41" s="2917">
        <v>609</v>
      </c>
      <c r="K41" s="2917">
        <v>2001.59</v>
      </c>
      <c r="L41" s="2917">
        <v>0</v>
      </c>
      <c r="M41" s="2917" t="s">
        <v>3342</v>
      </c>
      <c r="N41" s="2917" t="s">
        <v>3006</v>
      </c>
    </row>
    <row r="42" spans="1:14">
      <c r="A42" s="2917" t="s">
        <v>3071</v>
      </c>
      <c r="B42" s="2917" t="s">
        <v>3030</v>
      </c>
      <c r="C42" s="2917" t="s">
        <v>3005</v>
      </c>
      <c r="D42" s="2917">
        <v>56610.35</v>
      </c>
      <c r="E42" s="2917">
        <v>90576.56</v>
      </c>
      <c r="F42" s="2917" t="s">
        <v>3072</v>
      </c>
      <c r="G42" s="2917" t="s">
        <v>3004</v>
      </c>
      <c r="H42" s="2917" t="s">
        <v>3064</v>
      </c>
      <c r="I42" s="2917">
        <v>24796</v>
      </c>
      <c r="J42" s="2917">
        <v>24796</v>
      </c>
      <c r="K42" s="2917">
        <v>2737.57</v>
      </c>
      <c r="L42" s="2917">
        <v>0</v>
      </c>
      <c r="M42" s="2917" t="s">
        <v>3067</v>
      </c>
      <c r="N42" s="2917" t="s">
        <v>3006</v>
      </c>
    </row>
    <row r="43" spans="1:14">
      <c r="A43" s="2917" t="s">
        <v>3066</v>
      </c>
      <c r="B43" s="2917" t="s">
        <v>3030</v>
      </c>
      <c r="C43" s="2917" t="s">
        <v>3005</v>
      </c>
      <c r="D43" s="2917">
        <v>17405.89</v>
      </c>
      <c r="E43" s="2917">
        <v>34811.78</v>
      </c>
      <c r="F43" s="2917" t="s">
        <v>3058</v>
      </c>
      <c r="G43" s="2917" t="s">
        <v>3004</v>
      </c>
      <c r="H43" s="2917" t="s">
        <v>3064</v>
      </c>
      <c r="I43" s="2917">
        <v>7911</v>
      </c>
      <c r="J43" s="2917">
        <v>7911</v>
      </c>
      <c r="K43" s="2917">
        <v>2272.5100000000002</v>
      </c>
      <c r="L43" s="2917">
        <v>0</v>
      </c>
      <c r="M43" s="2917" t="s">
        <v>3067</v>
      </c>
      <c r="N43" s="2917" t="s">
        <v>3006</v>
      </c>
    </row>
    <row r="44" spans="1:14">
      <c r="A44" s="2917" t="s">
        <v>3073</v>
      </c>
      <c r="B44" s="2917" t="s">
        <v>3030</v>
      </c>
      <c r="C44" s="2917" t="s">
        <v>3005</v>
      </c>
      <c r="D44" s="2917">
        <v>1898.49</v>
      </c>
      <c r="E44" s="2917">
        <v>2297.17</v>
      </c>
      <c r="F44" s="2917" t="s">
        <v>3074</v>
      </c>
      <c r="G44" s="2917" t="s">
        <v>3004</v>
      </c>
      <c r="H44" s="2917" t="s">
        <v>3075</v>
      </c>
      <c r="I44" s="2917">
        <v>854</v>
      </c>
      <c r="J44" s="2917">
        <v>854</v>
      </c>
      <c r="K44" s="2917">
        <v>3717.61</v>
      </c>
      <c r="L44" s="2917">
        <v>0</v>
      </c>
      <c r="M44" s="2917" t="s">
        <v>3076</v>
      </c>
      <c r="N44" s="2917" t="s">
        <v>3006</v>
      </c>
    </row>
    <row r="45" spans="1:14">
      <c r="A45" s="2917" t="s">
        <v>3077</v>
      </c>
      <c r="B45" s="2917" t="s">
        <v>3030</v>
      </c>
      <c r="C45" s="2917" t="s">
        <v>3005</v>
      </c>
      <c r="D45" s="2917">
        <v>6306.51</v>
      </c>
      <c r="E45" s="2917">
        <v>8198.4599999999991</v>
      </c>
      <c r="F45" s="2917" t="s">
        <v>3046</v>
      </c>
      <c r="G45" s="2917" t="s">
        <v>3004</v>
      </c>
      <c r="H45" s="2917" t="s">
        <v>3075</v>
      </c>
      <c r="I45" s="2917">
        <v>2412</v>
      </c>
      <c r="J45" s="2917">
        <v>2412</v>
      </c>
      <c r="K45" s="2917">
        <v>2942.01</v>
      </c>
      <c r="L45" s="2917">
        <v>0</v>
      </c>
      <c r="M45" s="2917" t="s">
        <v>3078</v>
      </c>
      <c r="N45" s="2917" t="s">
        <v>3006</v>
      </c>
    </row>
    <row r="46" spans="1:14">
      <c r="A46" s="2917" t="s">
        <v>3321</v>
      </c>
      <c r="B46" s="2917" t="s">
        <v>3030</v>
      </c>
      <c r="C46" s="2917" t="s">
        <v>3304</v>
      </c>
      <c r="D46" s="2917">
        <v>254827.2</v>
      </c>
      <c r="E46" s="2917">
        <v>25482.720000000001</v>
      </c>
      <c r="F46" s="2917" t="s">
        <v>3343</v>
      </c>
      <c r="G46" s="2917" t="s">
        <v>3004</v>
      </c>
      <c r="H46" s="2917" t="s">
        <v>3075</v>
      </c>
      <c r="I46" s="2917">
        <v>16436</v>
      </c>
      <c r="J46" s="2917">
        <v>16436</v>
      </c>
      <c r="K46" s="2917">
        <v>6449.85</v>
      </c>
      <c r="L46" s="2917">
        <v>0</v>
      </c>
      <c r="M46" s="2917" t="s">
        <v>3323</v>
      </c>
      <c r="N46" s="2917" t="s">
        <v>3006</v>
      </c>
    </row>
    <row r="47" spans="1:14">
      <c r="A47" s="2917" t="s">
        <v>3079</v>
      </c>
      <c r="B47" s="2917" t="s">
        <v>3030</v>
      </c>
      <c r="C47" s="2917" t="s">
        <v>3005</v>
      </c>
      <c r="D47" s="2917">
        <v>5767.92</v>
      </c>
      <c r="E47" s="2917">
        <v>8075.09</v>
      </c>
      <c r="F47" s="2917" t="s">
        <v>3080</v>
      </c>
      <c r="G47" s="2917" t="s">
        <v>3004</v>
      </c>
      <c r="H47" s="2917" t="s">
        <v>3075</v>
      </c>
      <c r="I47" s="2917">
        <v>2639</v>
      </c>
      <c r="J47" s="2917">
        <v>2639</v>
      </c>
      <c r="K47" s="2917">
        <v>3268.07</v>
      </c>
      <c r="L47" s="2917">
        <v>0</v>
      </c>
      <c r="M47" s="2917" t="s">
        <v>3053</v>
      </c>
      <c r="N47" s="2917" t="s">
        <v>3006</v>
      </c>
    </row>
    <row r="48" spans="1:14">
      <c r="A48" s="2917" t="s">
        <v>3344</v>
      </c>
      <c r="B48" s="2917" t="s">
        <v>3030</v>
      </c>
      <c r="C48" s="2917" t="s">
        <v>3304</v>
      </c>
      <c r="D48" s="2917">
        <v>6892.29</v>
      </c>
      <c r="E48" s="2917">
        <v>18609.18</v>
      </c>
      <c r="F48" s="2917" t="s">
        <v>3345</v>
      </c>
      <c r="G48" s="2917" t="s">
        <v>3004</v>
      </c>
      <c r="H48" s="2917" t="s">
        <v>3083</v>
      </c>
      <c r="I48" s="2917">
        <v>930</v>
      </c>
      <c r="J48" s="2917">
        <v>930</v>
      </c>
      <c r="K48" s="2917">
        <v>499.75</v>
      </c>
      <c r="L48" s="2917">
        <v>0</v>
      </c>
      <c r="M48" s="2917" t="s">
        <v>3346</v>
      </c>
      <c r="N48" s="2917" t="s">
        <v>3006</v>
      </c>
    </row>
    <row r="49" spans="1:14">
      <c r="A49" s="2917" t="s">
        <v>3081</v>
      </c>
      <c r="B49" s="2917" t="s">
        <v>3030</v>
      </c>
      <c r="C49" s="2917" t="s">
        <v>3005</v>
      </c>
      <c r="D49" s="2917">
        <v>40282.879999999997</v>
      </c>
      <c r="E49" s="2917">
        <v>80162.929999999993</v>
      </c>
      <c r="F49" s="2917" t="s">
        <v>3082</v>
      </c>
      <c r="G49" s="2917" t="s">
        <v>3004</v>
      </c>
      <c r="H49" s="2917" t="s">
        <v>3083</v>
      </c>
      <c r="I49" s="2917">
        <v>14905</v>
      </c>
      <c r="J49" s="2917">
        <v>14905</v>
      </c>
      <c r="K49" s="2917">
        <v>1859.33</v>
      </c>
      <c r="L49" s="2917">
        <v>0</v>
      </c>
      <c r="M49" s="2917" t="s">
        <v>3084</v>
      </c>
      <c r="N49" s="2917" t="s">
        <v>3006</v>
      </c>
    </row>
    <row r="50" spans="1:14">
      <c r="A50" s="2917" t="s">
        <v>3085</v>
      </c>
      <c r="B50" s="2917" t="s">
        <v>3030</v>
      </c>
      <c r="C50" s="2917" t="s">
        <v>3005</v>
      </c>
      <c r="D50" s="2917">
        <v>5262.36</v>
      </c>
      <c r="E50" s="2917">
        <v>13155.9</v>
      </c>
      <c r="F50" s="2917" t="s">
        <v>3086</v>
      </c>
      <c r="G50" s="2917" t="s">
        <v>3004</v>
      </c>
      <c r="H50" s="2917" t="s">
        <v>3087</v>
      </c>
      <c r="I50" s="2917">
        <v>2526</v>
      </c>
      <c r="J50" s="2917">
        <v>3776</v>
      </c>
      <c r="K50" s="2917">
        <v>2870.19</v>
      </c>
      <c r="L50" s="2917">
        <v>49.49</v>
      </c>
      <c r="M50" s="2917" t="s">
        <v>3053</v>
      </c>
      <c r="N50" s="2917" t="s">
        <v>3006</v>
      </c>
    </row>
    <row r="51" spans="1:14">
      <c r="A51" s="2917" t="s">
        <v>3347</v>
      </c>
      <c r="B51" s="2917" t="s">
        <v>3030</v>
      </c>
      <c r="C51" s="2917" t="s">
        <v>3304</v>
      </c>
      <c r="D51" s="2917">
        <v>4278.6899999999996</v>
      </c>
      <c r="E51" s="2917">
        <v>2567.21</v>
      </c>
      <c r="F51" s="2917" t="s">
        <v>3348</v>
      </c>
      <c r="G51" s="2917" t="s">
        <v>3004</v>
      </c>
      <c r="H51" s="2917" t="s">
        <v>3087</v>
      </c>
      <c r="I51" s="2917">
        <v>359</v>
      </c>
      <c r="J51" s="2917">
        <v>359</v>
      </c>
      <c r="K51" s="2917">
        <v>1398.41</v>
      </c>
      <c r="L51" s="2917">
        <v>0</v>
      </c>
      <c r="M51" s="2917" t="s">
        <v>3323</v>
      </c>
      <c r="N51" s="2917" t="s">
        <v>3006</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72" t="s">
        <v>2039</v>
      </c>
      <c r="B1" s="3572"/>
      <c r="C1" s="3572"/>
      <c r="D1" s="3572"/>
      <c r="E1" s="3572"/>
      <c r="F1" s="3572"/>
      <c r="G1" s="3572"/>
      <c r="H1" s="3572"/>
      <c r="I1" s="3572"/>
      <c r="J1" s="3572"/>
      <c r="K1" s="3572"/>
      <c r="L1" s="3572"/>
      <c r="M1" s="3572"/>
      <c r="N1" s="3572"/>
      <c r="O1" s="3572"/>
      <c r="P1" s="3572"/>
      <c r="Q1" s="3572"/>
      <c r="R1" s="3572"/>
    </row>
    <row r="2" spans="1:18">
      <c r="A2" s="1807" t="s">
        <v>2041</v>
      </c>
      <c r="B2" s="1807"/>
      <c r="C2" s="1807"/>
      <c r="D2" s="1807"/>
      <c r="E2" s="1807"/>
      <c r="F2" s="1807"/>
      <c r="G2" s="1807"/>
      <c r="H2" s="1807"/>
      <c r="I2" s="1808"/>
      <c r="J2" s="1808"/>
      <c r="K2" s="1809" t="str">
        <f>"估价期日："&amp;TEXT(项目基本情况!D3,"yyyy年m月d日;;")</f>
        <v>估价期日：2019年7月3日</v>
      </c>
      <c r="L2" s="1807"/>
      <c r="M2" s="1807"/>
      <c r="N2" s="1807"/>
      <c r="O2" s="1807"/>
      <c r="P2" s="1807"/>
      <c r="Q2" s="1807"/>
      <c r="R2" s="1809" t="str">
        <f>"估价期日的国有建设用地使用权性质："&amp;项目基本情况!B16</f>
        <v>估价期日的国有建设用地使用权性质：出让</v>
      </c>
    </row>
    <row r="3" spans="1:18" ht="23.25" customHeight="1">
      <c r="A3" s="3573" t="s">
        <v>2030</v>
      </c>
      <c r="B3" s="3573" t="s">
        <v>2732</v>
      </c>
      <c r="C3" s="3574" t="s">
        <v>2031</v>
      </c>
      <c r="D3" s="3573" t="s">
        <v>2736</v>
      </c>
      <c r="E3" s="3576" t="s">
        <v>2032</v>
      </c>
      <c r="F3" s="3576"/>
      <c r="G3" s="3576"/>
      <c r="H3" s="3576" t="s">
        <v>2033</v>
      </c>
      <c r="I3" s="3576"/>
      <c r="J3" s="3576"/>
      <c r="K3" s="3574" t="s">
        <v>2034</v>
      </c>
      <c r="L3" s="3574" t="s">
        <v>2035</v>
      </c>
      <c r="M3" s="3573" t="s">
        <v>2733</v>
      </c>
      <c r="N3" s="3575" t="str">
        <f>"（分摊）"&amp;项目基本情况!B16&amp;"国有建设用地使用权面积/㎡"</f>
        <v>（分摊）出让国有建设用地使用权面积/㎡</v>
      </c>
      <c r="O3" s="3573" t="s">
        <v>2064</v>
      </c>
      <c r="P3" s="3574" t="s">
        <v>2044</v>
      </c>
      <c r="Q3" s="3574" t="s">
        <v>2065</v>
      </c>
      <c r="R3" s="3574" t="s">
        <v>2036</v>
      </c>
    </row>
    <row r="4" spans="1:18" ht="36.75" customHeight="1">
      <c r="A4" s="3573"/>
      <c r="B4" s="3573"/>
      <c r="C4" s="3574"/>
      <c r="D4" s="3573"/>
      <c r="E4" s="2628" t="s">
        <v>2043</v>
      </c>
      <c r="F4" s="2628" t="s">
        <v>2745</v>
      </c>
      <c r="G4" s="2628" t="s">
        <v>2037</v>
      </c>
      <c r="H4" s="2628" t="s">
        <v>2038</v>
      </c>
      <c r="I4" s="2628" t="s">
        <v>2746</v>
      </c>
      <c r="J4" s="2628" t="s">
        <v>2037</v>
      </c>
      <c r="K4" s="3574"/>
      <c r="L4" s="3574"/>
      <c r="M4" s="3573"/>
      <c r="N4" s="3575"/>
      <c r="O4" s="3573"/>
      <c r="P4" s="3574"/>
      <c r="Q4" s="3574"/>
      <c r="R4" s="3574"/>
    </row>
    <row r="5" spans="1:18" ht="135" customHeight="1">
      <c r="A5" s="1943" t="s">
        <v>2656</v>
      </c>
      <c r="B5" s="2845" t="s">
        <v>2654</v>
      </c>
      <c r="C5" s="2627">
        <v>22</v>
      </c>
      <c r="D5" s="2626" t="s">
        <v>2655</v>
      </c>
      <c r="E5" s="1810" t="str">
        <f>项目基本情况!B12</f>
        <v>其它商服用地</v>
      </c>
      <c r="F5" s="2626">
        <v>258</v>
      </c>
      <c r="G5" s="1810" t="str">
        <f>项目基本情况!B13</f>
        <v>商住用地</v>
      </c>
      <c r="H5" s="2626">
        <v>1.5</v>
      </c>
      <c r="I5" s="2626">
        <v>1.5</v>
      </c>
      <c r="J5" s="2626">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21830.94</v>
      </c>
      <c r="O5" s="1810">
        <f>项目基本情况!C21</f>
        <v>76408.289999999994</v>
      </c>
      <c r="P5" s="1810">
        <f ca="1">结果表!E42</f>
        <v>10075</v>
      </c>
      <c r="Q5" s="1810">
        <f ca="1">结果表!D42</f>
        <v>2879</v>
      </c>
      <c r="R5" s="1811">
        <f ca="1">结果表!C42</f>
        <v>21995</v>
      </c>
    </row>
    <row r="6" spans="1:18">
      <c r="A6" s="3577" t="str">
        <f>IF(项目基本情况!B9="市场价格","——","抵押价格")</f>
        <v>抵押价格</v>
      </c>
      <c r="B6" s="3578"/>
      <c r="C6" s="3578"/>
      <c r="D6" s="3578"/>
      <c r="E6" s="3578"/>
      <c r="F6" s="3578"/>
      <c r="G6" s="3578"/>
      <c r="H6" s="3578"/>
      <c r="I6" s="3578"/>
      <c r="J6" s="3578"/>
      <c r="K6" s="3578"/>
      <c r="L6" s="3578"/>
      <c r="M6" s="3578"/>
      <c r="N6" s="3578"/>
      <c r="O6" s="3578"/>
      <c r="P6" s="3578"/>
      <c r="Q6" s="3579"/>
      <c r="R6" s="1812">
        <f ca="1">结果表!O39</f>
        <v>21995</v>
      </c>
    </row>
    <row r="7" spans="1:18">
      <c r="A7" s="3577" t="str">
        <f>IF(项目基本情况!B9="市场价格","——",IF(项目基本情况!E8="已注销及未注销","抵押担保权已注销时的抵押价格","——"))</f>
        <v>——</v>
      </c>
      <c r="B7" s="3578"/>
      <c r="C7" s="3578"/>
      <c r="D7" s="3578"/>
      <c r="E7" s="3578"/>
      <c r="F7" s="3578"/>
      <c r="G7" s="3578"/>
      <c r="H7" s="3578"/>
      <c r="I7" s="3578"/>
      <c r="J7" s="3578"/>
      <c r="K7" s="3578"/>
      <c r="L7" s="3578"/>
      <c r="M7" s="3578"/>
      <c r="N7" s="3578"/>
      <c r="O7" s="3578"/>
      <c r="P7" s="3578"/>
      <c r="Q7" s="3579"/>
      <c r="R7" s="1812" t="str">
        <f>结果表!O40</f>
        <v>——</v>
      </c>
    </row>
    <row r="8" spans="1:18">
      <c r="A8" s="3577" t="str">
        <f>IF(项目基本情况!B9="市场价格","——",项目基本情况!E9)</f>
        <v>——</v>
      </c>
      <c r="B8" s="3578"/>
      <c r="C8" s="3578"/>
      <c r="D8" s="3578"/>
      <c r="E8" s="3578"/>
      <c r="F8" s="3578"/>
      <c r="G8" s="3578"/>
      <c r="H8" s="3578"/>
      <c r="I8" s="3578"/>
      <c r="J8" s="3578"/>
      <c r="K8" s="3578"/>
      <c r="L8" s="3578"/>
      <c r="M8" s="3578"/>
      <c r="N8" s="3578"/>
      <c r="O8" s="3578"/>
      <c r="P8" s="3578"/>
      <c r="Q8" s="3579"/>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580" t="s">
        <v>2066</v>
      </c>
      <c r="B1" s="3580"/>
      <c r="C1" s="3580"/>
      <c r="D1" s="3580"/>
    </row>
    <row r="2" spans="1:4" ht="47.25" customHeight="1">
      <c r="A2" s="3584" t="str">
        <f>"1.权利限制："&amp;项目基本情况!L24&amp;"未设定租赁等其他他项权利。"</f>
        <v>1.权利限制：根据估价对象《不动产权证书》原件、《国有土地使用权》复印件，截至估价期日，估价对象抵押权未见登记。未设定租赁等其他他项权利。</v>
      </c>
      <c r="B2" s="3584"/>
      <c r="C2" s="3584"/>
      <c r="D2" s="3584"/>
    </row>
    <row r="3" spans="1:4" ht="48" customHeight="1">
      <c r="A3" s="358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80"/>
      <c r="C3" s="3580"/>
      <c r="D3" s="3580"/>
    </row>
    <row r="4" spans="1:4" ht="36.75" customHeight="1">
      <c r="A4" s="3580" t="str">
        <f>"3.估价规划限制条件：详见"&amp;项目基本情况!E21&amp;"。"</f>
        <v>3.估价规划限制条件：详见《建设工程规划许可证》[]、《出让合同》[]。</v>
      </c>
      <c r="B4" s="3580"/>
      <c r="C4" s="3580"/>
      <c r="D4" s="3580"/>
    </row>
    <row r="5" spans="1:4">
      <c r="A5" s="3583" t="s">
        <v>2067</v>
      </c>
      <c r="B5" s="3583"/>
      <c r="C5" s="3583"/>
      <c r="D5" s="3583"/>
    </row>
    <row r="6" spans="1:4">
      <c r="A6" s="3580" t="s">
        <v>2045</v>
      </c>
      <c r="B6" s="3580"/>
      <c r="C6" s="3580"/>
      <c r="D6" s="3580"/>
    </row>
    <row r="7" spans="1:4" ht="33" customHeight="1">
      <c r="A7" s="3580" t="s">
        <v>2576</v>
      </c>
      <c r="B7" s="3580"/>
      <c r="C7" s="3580"/>
      <c r="D7" s="3580"/>
    </row>
    <row r="8" spans="1:4" ht="32.25" customHeight="1">
      <c r="A8" s="358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80"/>
      <c r="C8" s="3580"/>
      <c r="D8" s="3580"/>
    </row>
    <row r="9" spans="1:4" ht="33.75" customHeight="1">
      <c r="A9" s="358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80"/>
      <c r="C9" s="3580"/>
      <c r="D9" s="3580"/>
    </row>
    <row r="10" spans="1:4">
      <c r="A10" s="3580" t="str">
        <f>IF(项目基本情况!B8="抵押","4.估价师所知悉的法定优先受偿款情况为：","——")</f>
        <v>4.估价师所知悉的法定优先受偿款情况为：</v>
      </c>
      <c r="B10" s="3580"/>
      <c r="C10" s="3580"/>
      <c r="D10" s="3580"/>
    </row>
    <row r="11" spans="1:4" ht="37.5" customHeight="1">
      <c r="A11" s="358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82"/>
      <c r="C11" s="3582"/>
      <c r="D11" s="3582"/>
    </row>
    <row r="12" spans="1:4" ht="168" customHeight="1">
      <c r="A12" s="3583" t="s">
        <v>2069</v>
      </c>
      <c r="B12" s="3583"/>
      <c r="C12" s="3583"/>
      <c r="D12" s="3583"/>
    </row>
    <row r="13" spans="1:4">
      <c r="A13" s="3581" t="s">
        <v>2747</v>
      </c>
      <c r="B13" s="3581"/>
      <c r="C13" s="3581"/>
      <c r="D13" s="3581"/>
    </row>
    <row r="14" spans="1:4">
      <c r="A14" s="3582" t="str">
        <f>IF(项目基本情况!B8="抵押","综上，"&amp;结果表!K47,"——")</f>
        <v>综上，本次评估不存在估价师知悉的法定优先受偿款</v>
      </c>
      <c r="B14" s="3582"/>
      <c r="C14" s="3582"/>
      <c r="D14" s="3582"/>
    </row>
    <row r="15" spans="1:4" ht="58.5" customHeight="1">
      <c r="A15" s="358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80"/>
      <c r="C15" s="3580"/>
      <c r="D15" s="3580"/>
    </row>
    <row r="16" spans="1:4" ht="70.5" customHeight="1">
      <c r="A16" s="358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80"/>
      <c r="C16" s="3580"/>
      <c r="D16" s="3580"/>
    </row>
    <row r="17" spans="1:4">
      <c r="A17" s="3580" t="s">
        <v>2703</v>
      </c>
      <c r="B17" s="3580"/>
      <c r="C17" s="3580"/>
      <c r="D17" s="3580"/>
    </row>
    <row r="18" spans="1:4">
      <c r="A18" s="3580" t="s">
        <v>2695</v>
      </c>
      <c r="B18" s="3580"/>
      <c r="C18" s="3580"/>
      <c r="D18" s="3580"/>
    </row>
    <row r="19" spans="1:4">
      <c r="A19" s="2846" t="s">
        <v>2696</v>
      </c>
      <c r="B19" s="2846" t="s">
        <v>2697</v>
      </c>
      <c r="C19" s="2846" t="s">
        <v>2698</v>
      </c>
      <c r="D19" s="2846" t="s">
        <v>2699</v>
      </c>
    </row>
    <row r="20" spans="1:4">
      <c r="A20" s="2846" t="str">
        <f>项目基本情况!B4</f>
        <v>赵雯</v>
      </c>
      <c r="B20" s="2846">
        <f ca="1">项目基本情况!C4</f>
        <v>2011110090</v>
      </c>
      <c r="C20" s="2848"/>
      <c r="D20" s="1800" t="s">
        <v>2704</v>
      </c>
    </row>
    <row r="21" spans="1:4">
      <c r="A21" s="2846" t="str">
        <f>项目基本情况!D4</f>
        <v>崔锴</v>
      </c>
      <c r="B21" s="2846">
        <f ca="1">项目基本情况!E4</f>
        <v>2010110070</v>
      </c>
      <c r="C21" s="2848"/>
      <c r="D21" s="1800" t="s">
        <v>2705</v>
      </c>
    </row>
    <row r="23" spans="1:4">
      <c r="A23" s="3580" t="s">
        <v>2700</v>
      </c>
      <c r="B23" s="3580"/>
      <c r="C23" s="3580"/>
      <c r="D23" s="3580"/>
    </row>
    <row r="24" spans="1:4">
      <c r="A24" s="2846" t="s">
        <v>2696</v>
      </c>
      <c r="B24" s="2846" t="s">
        <v>2701</v>
      </c>
      <c r="C24" s="2846" t="s">
        <v>2698</v>
      </c>
      <c r="D24" s="2846" t="s">
        <v>2699</v>
      </c>
    </row>
    <row r="25" spans="1:4">
      <c r="A25" s="2849" t="s">
        <v>2702</v>
      </c>
      <c r="B25" s="2846" t="s">
        <v>952</v>
      </c>
      <c r="C25" s="2848"/>
      <c r="D25" s="1800" t="s">
        <v>2705</v>
      </c>
    </row>
    <row r="29" spans="1:4">
      <c r="D29" s="2847" t="s">
        <v>2040</v>
      </c>
    </row>
    <row r="30" spans="1:4">
      <c r="D30" s="285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592" t="s">
        <v>53</v>
      </c>
      <c r="B15" s="3593" t="s">
        <v>846</v>
      </c>
      <c r="C15" s="3589"/>
    </row>
    <row r="16" spans="1:7" ht="14.25">
      <c r="A16" s="3592"/>
      <c r="B16" s="3590" t="s">
        <v>54</v>
      </c>
      <c r="C16" s="1172" t="s">
        <v>53</v>
      </c>
    </row>
    <row r="17" spans="1:3" ht="14.25">
      <c r="A17" s="3592"/>
      <c r="B17" s="3590"/>
      <c r="C17" s="1172" t="s">
        <v>55</v>
      </c>
    </row>
    <row r="18" spans="1:3" ht="14.25">
      <c r="A18" s="3592"/>
      <c r="B18" s="3590"/>
      <c r="C18" s="1172" t="s">
        <v>56</v>
      </c>
    </row>
    <row r="19" spans="1:3" ht="14.25">
      <c r="A19" s="3592"/>
      <c r="B19" s="3588" t="s">
        <v>57</v>
      </c>
      <c r="C19" s="3589"/>
    </row>
    <row r="20" spans="1:3" ht="14.25">
      <c r="A20" s="1173" t="s">
        <v>58</v>
      </c>
      <c r="B20" s="1174"/>
      <c r="C20" s="1175"/>
    </row>
    <row r="21" spans="1:3" ht="14.25">
      <c r="A21" s="3591" t="s">
        <v>59</v>
      </c>
      <c r="B21" s="3588" t="s">
        <v>60</v>
      </c>
      <c r="C21" s="3589"/>
    </row>
    <row r="22" spans="1:3" ht="14.25">
      <c r="A22" s="3591"/>
      <c r="B22" s="3588" t="s">
        <v>61</v>
      </c>
      <c r="C22" s="3589"/>
    </row>
    <row r="23" spans="1:3" ht="14.25">
      <c r="A23" s="3591"/>
      <c r="B23" s="3588" t="s">
        <v>62</v>
      </c>
      <c r="C23" s="3589"/>
    </row>
    <row r="24" spans="1:3" ht="14.25">
      <c r="A24" s="3591"/>
      <c r="B24" s="3594" t="s">
        <v>63</v>
      </c>
      <c r="C24" s="1176" t="s">
        <v>837</v>
      </c>
    </row>
    <row r="25" spans="1:3" ht="14.25">
      <c r="A25" s="3591"/>
      <c r="B25" s="3595"/>
      <c r="C25" s="1176" t="s">
        <v>838</v>
      </c>
    </row>
    <row r="26" spans="1:3" ht="14.25">
      <c r="A26" s="3591"/>
      <c r="B26" s="3595"/>
      <c r="C26" s="1176" t="s">
        <v>839</v>
      </c>
    </row>
    <row r="27" spans="1:3" ht="14.25">
      <c r="A27" s="3591"/>
      <c r="B27" s="3595"/>
      <c r="C27" s="1176" t="s">
        <v>840</v>
      </c>
    </row>
    <row r="28" spans="1:3" ht="14.25">
      <c r="A28" s="3591"/>
      <c r="B28" s="3595"/>
      <c r="C28" s="1176" t="s">
        <v>841</v>
      </c>
    </row>
    <row r="29" spans="1:3" ht="14.25">
      <c r="A29" s="3591"/>
      <c r="B29" s="3595"/>
      <c r="C29" s="1176" t="s">
        <v>842</v>
      </c>
    </row>
    <row r="30" spans="1:3" ht="14.25">
      <c r="A30" s="3591"/>
      <c r="B30" s="3595"/>
      <c r="C30" s="1176" t="s">
        <v>843</v>
      </c>
    </row>
    <row r="31" spans="1:3" ht="14.25">
      <c r="A31" s="3591"/>
      <c r="B31" s="3595"/>
      <c r="C31" s="1176" t="s">
        <v>844</v>
      </c>
    </row>
    <row r="32" spans="1:3" ht="14.25">
      <c r="A32" s="3591"/>
      <c r="B32" s="3595"/>
      <c r="C32" s="1176" t="s">
        <v>1647</v>
      </c>
    </row>
    <row r="33" spans="1:3" ht="14.25">
      <c r="A33" s="3591"/>
      <c r="B33" s="3585" t="s">
        <v>1653</v>
      </c>
      <c r="C33" s="1176" t="s">
        <v>1648</v>
      </c>
    </row>
    <row r="34" spans="1:3" ht="14.25">
      <c r="A34" s="3591"/>
      <c r="B34" s="3586"/>
      <c r="C34" s="1181" t="s">
        <v>1649</v>
      </c>
    </row>
    <row r="35" spans="1:3" ht="14.25">
      <c r="A35" s="3591"/>
      <c r="B35" s="3586"/>
      <c r="C35" s="1182" t="s">
        <v>1650</v>
      </c>
    </row>
    <row r="36" spans="1:3" ht="14.25">
      <c r="A36" s="3591"/>
      <c r="B36" s="3586"/>
      <c r="C36" s="1182" t="s">
        <v>1651</v>
      </c>
    </row>
    <row r="37" spans="1:3" ht="14.25">
      <c r="A37" s="3591"/>
      <c r="B37" s="358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4" customWidth="1"/>
    <col min="2" max="5" width="22.625" style="3154"/>
    <col min="6" max="6" width="25.625" style="3154" customWidth="1"/>
    <col min="7" max="16384" width="22.625" style="3154"/>
  </cols>
  <sheetData>
    <row r="2" spans="1:6" ht="20.25" customHeight="1">
      <c r="A2" s="3151" t="s">
        <v>1908</v>
      </c>
      <c r="B2" s="3152">
        <f ca="1">TODAY()</f>
        <v>43654</v>
      </c>
      <c r="C2" s="3153" t="s">
        <v>1909</v>
      </c>
      <c r="D2" s="3153"/>
    </row>
    <row r="3" spans="1:6" ht="20.25" customHeight="1">
      <c r="A3" s="3155" t="s">
        <v>1910</v>
      </c>
      <c r="B3" s="3156" t="s">
        <v>1911</v>
      </c>
      <c r="C3" s="3156" t="s">
        <v>1912</v>
      </c>
      <c r="D3" s="3157" t="s">
        <v>1913</v>
      </c>
      <c r="E3" s="3156" t="s">
        <v>1914</v>
      </c>
      <c r="F3" s="3156" t="s">
        <v>1912</v>
      </c>
    </row>
    <row r="4" spans="1:6" ht="20.25" customHeight="1">
      <c r="A4" s="3156" t="s">
        <v>1915</v>
      </c>
      <c r="B4" s="3156">
        <f ca="1">IF(C4&lt;B2,"已过期",1119970066)</f>
        <v>1119970066</v>
      </c>
      <c r="C4" s="3158">
        <v>43849</v>
      </c>
      <c r="D4" s="3156" t="s">
        <v>1915</v>
      </c>
      <c r="E4" s="3156">
        <f ca="1">IF(F4&lt;B2,"已过期",96010014)</f>
        <v>96010014</v>
      </c>
      <c r="F4" s="3159">
        <v>47118</v>
      </c>
    </row>
    <row r="5" spans="1:6" ht="20.25" customHeight="1">
      <c r="A5" s="3156" t="s">
        <v>1916</v>
      </c>
      <c r="B5" s="3156">
        <f ca="1">IF(C5&lt;B2,"已过期",1119970074)</f>
        <v>1119970074</v>
      </c>
      <c r="C5" s="3158">
        <v>43849</v>
      </c>
      <c r="D5" s="3156" t="s">
        <v>1916</v>
      </c>
      <c r="E5" s="3156">
        <f ca="1">IF(F5&lt;B2,"已过期",2002110027)</f>
        <v>2002110027</v>
      </c>
      <c r="F5" s="3159">
        <v>46752</v>
      </c>
    </row>
    <row r="6" spans="1:6" ht="20.25" customHeight="1">
      <c r="A6" s="3156" t="s">
        <v>1917</v>
      </c>
      <c r="B6" s="3156">
        <f ca="1">IF(C6&lt;B2,"已过期",1119970111)</f>
        <v>1119970111</v>
      </c>
      <c r="C6" s="3158">
        <v>43849</v>
      </c>
      <c r="D6" s="3156" t="s">
        <v>1917</v>
      </c>
      <c r="E6" s="3156">
        <f ca="1">IF(F6&lt;B2,"已过期",94010078)</f>
        <v>94010078</v>
      </c>
      <c r="F6" s="3159">
        <v>46387</v>
      </c>
    </row>
    <row r="7" spans="1:6" ht="20.25" customHeight="1">
      <c r="A7" s="3156" t="s">
        <v>1918</v>
      </c>
      <c r="B7" s="3156">
        <f ca="1">IF(C7&lt;B2,"已过期",1120050019)</f>
        <v>1120050019</v>
      </c>
      <c r="C7" s="3158">
        <v>44395</v>
      </c>
      <c r="D7" s="3156" t="s">
        <v>1918</v>
      </c>
      <c r="E7" s="3156">
        <f ca="1">IF(F7&lt;B2,"已过期",2002110030)</f>
        <v>2002110030</v>
      </c>
      <c r="F7" s="3159">
        <v>46387</v>
      </c>
    </row>
    <row r="8" spans="1:6" ht="20.25" customHeight="1">
      <c r="A8" s="3156" t="s">
        <v>1919</v>
      </c>
      <c r="B8" s="3156">
        <f ca="1">IF(C8&lt;B2,"已过期",1120000080)</f>
        <v>1120000080</v>
      </c>
      <c r="C8" s="3158">
        <v>43849</v>
      </c>
      <c r="D8" s="3156" t="s">
        <v>1919</v>
      </c>
      <c r="E8" s="3156">
        <f ca="1">IF(F8&lt;B2,"已过期",2000110082)</f>
        <v>2000110082</v>
      </c>
      <c r="F8" s="3159">
        <v>46387</v>
      </c>
    </row>
    <row r="9" spans="1:6" ht="20.25" customHeight="1">
      <c r="A9" s="3156" t="s">
        <v>1920</v>
      </c>
      <c r="B9" s="3156">
        <f ca="1">IF(C9&lt;B2,"已过期",1419970001)</f>
        <v>1419970001</v>
      </c>
      <c r="C9" s="3158">
        <v>43867</v>
      </c>
      <c r="D9" s="3156" t="s">
        <v>1920</v>
      </c>
      <c r="E9" s="3156">
        <f ca="1">IF(F9&lt;B2,"已过期",2002110125)</f>
        <v>2002110125</v>
      </c>
      <c r="F9" s="3159">
        <v>47118</v>
      </c>
    </row>
    <row r="10" spans="1:6" ht="20.25" customHeight="1">
      <c r="A10" s="3156" t="s">
        <v>1921</v>
      </c>
      <c r="B10" s="3156" t="str">
        <f ca="1">IF(C10&lt;B2,"已过期",1120060040)</f>
        <v>已过期</v>
      </c>
      <c r="C10" s="3158">
        <v>43483</v>
      </c>
      <c r="D10" s="3156" t="s">
        <v>1921</v>
      </c>
      <c r="E10" s="3156">
        <f ca="1">IF(F10&lt;B2,"已过期",2004110096)</f>
        <v>2004110096</v>
      </c>
      <c r="F10" s="3159">
        <v>47118</v>
      </c>
    </row>
    <row r="11" spans="1:6" ht="20.25" customHeight="1">
      <c r="A11" s="3156" t="s">
        <v>1922</v>
      </c>
      <c r="B11" s="3156" t="str">
        <f ca="1">IF(C11&lt;B2,"已过期",1120100036)</f>
        <v>已过期</v>
      </c>
      <c r="C11" s="3158">
        <v>43622</v>
      </c>
      <c r="D11" s="3156" t="s">
        <v>1922</v>
      </c>
      <c r="E11" s="3156">
        <f ca="1">IF(F11&lt;B2,"已过期",2010110070)</f>
        <v>2010110070</v>
      </c>
      <c r="F11" s="3159">
        <v>47907</v>
      </c>
    </row>
    <row r="12" spans="1:6" ht="20.25" customHeight="1">
      <c r="A12" s="3156"/>
      <c r="B12" s="3156"/>
      <c r="C12" s="3158"/>
      <c r="D12" s="3156"/>
      <c r="E12" s="3156"/>
      <c r="F12" s="3159"/>
    </row>
    <row r="13" spans="1:6" ht="20.25" customHeight="1">
      <c r="A13" s="3156" t="s">
        <v>1923</v>
      </c>
      <c r="B13" s="3156">
        <f ca="1">IF(C13&lt;B2,"已过期",1120070131)</f>
        <v>1120070131</v>
      </c>
      <c r="C13" s="3158">
        <v>43814</v>
      </c>
      <c r="D13" s="3156" t="s">
        <v>1923</v>
      </c>
      <c r="E13" s="3156">
        <f ca="1">IF(F13&lt;B2,"已过期",2014110011)</f>
        <v>2014110011</v>
      </c>
      <c r="F13" s="3159">
        <v>49302</v>
      </c>
    </row>
    <row r="14" spans="1:6" ht="20.25" customHeight="1">
      <c r="A14" s="3156" t="s">
        <v>2983</v>
      </c>
      <c r="B14" s="3156">
        <f ca="1">IF(C14&lt;B2,"已过期",1120040230)</f>
        <v>1120040230</v>
      </c>
      <c r="C14" s="3160">
        <v>43835</v>
      </c>
      <c r="D14" s="3161" t="s">
        <v>2984</v>
      </c>
      <c r="E14" s="3156">
        <f ca="1">IF(F14&lt;B2,"已过期",98030020)</f>
        <v>98030020</v>
      </c>
      <c r="F14" s="3159">
        <v>47118</v>
      </c>
    </row>
    <row r="15" spans="1:6" ht="20.25" customHeight="1">
      <c r="A15" s="3156" t="s">
        <v>2575</v>
      </c>
      <c r="B15" s="3156">
        <f ca="1">IF(C15&lt;B2,"已过期",1120070085)</f>
        <v>1120070085</v>
      </c>
      <c r="C15" s="3160">
        <v>43814</v>
      </c>
      <c r="D15" s="3156" t="s">
        <v>2985</v>
      </c>
      <c r="E15" s="3156">
        <f ca="1">IF(F15&lt;B2,"已过期",2004110128)</f>
        <v>2004110128</v>
      </c>
      <c r="F15" s="3162">
        <v>47118</v>
      </c>
    </row>
    <row r="16" spans="1:6" ht="20.25" customHeight="1">
      <c r="A16" s="3156" t="s">
        <v>1924</v>
      </c>
      <c r="B16" s="3156">
        <f ca="1">IF(C16&lt;B2,"已过期",1120140022)</f>
        <v>1120140022</v>
      </c>
      <c r="C16" s="3158">
        <v>44029</v>
      </c>
      <c r="D16" s="3156" t="s">
        <v>2986</v>
      </c>
      <c r="E16" s="3156">
        <f ca="1">IF(F16&lt;B2,"已过期",2008110059)</f>
        <v>2008110059</v>
      </c>
      <c r="F16" s="3159">
        <v>47177</v>
      </c>
    </row>
    <row r="17" spans="1:7" ht="20.25" customHeight="1">
      <c r="A17" s="3156"/>
      <c r="B17" s="3156"/>
      <c r="C17" s="3158"/>
      <c r="D17" s="3161" t="s">
        <v>2987</v>
      </c>
      <c r="E17" s="3156">
        <f ca="1">IF(F17&lt;B2,"已过期",2014110076)</f>
        <v>2014110076</v>
      </c>
      <c r="F17" s="3159">
        <v>49302</v>
      </c>
    </row>
    <row r="18" spans="1:7" ht="20.25" customHeight="1">
      <c r="A18" s="3156"/>
      <c r="B18" s="3156"/>
      <c r="C18" s="3158"/>
      <c r="D18" s="3156"/>
      <c r="E18" s="3156"/>
      <c r="F18" s="3159"/>
    </row>
    <row r="19" spans="1:7" ht="20.25" customHeight="1">
      <c r="A19" s="3156"/>
      <c r="B19" s="3156"/>
      <c r="C19" s="3158"/>
      <c r="D19" s="3156"/>
      <c r="E19" s="3156"/>
      <c r="F19" s="3156"/>
    </row>
    <row r="20" spans="1:7" ht="20.25" customHeight="1">
      <c r="A20" s="3156"/>
      <c r="B20" s="3156"/>
      <c r="C20" s="3158"/>
      <c r="D20" s="3156"/>
      <c r="E20" s="3156"/>
      <c r="F20" s="3156"/>
    </row>
    <row r="21" spans="1:7" ht="20.25" customHeight="1">
      <c r="A21" s="3156"/>
      <c r="B21" s="3156"/>
      <c r="C21" s="3158"/>
      <c r="D21" s="3156" t="s">
        <v>1925</v>
      </c>
      <c r="E21" s="3156">
        <f ca="1">IF(F21&lt;B2,"已过期",2011110090)</f>
        <v>2011110090</v>
      </c>
      <c r="F21" s="3159">
        <v>48302</v>
      </c>
    </row>
    <row r="22" spans="1:7" ht="20.25" customHeight="1">
      <c r="A22" s="3156" t="s">
        <v>1926</v>
      </c>
      <c r="B22" s="3156">
        <f ca="1">IF(C22&lt;B2,"已过期",1120020033)</f>
        <v>1120020033</v>
      </c>
      <c r="C22" s="3158">
        <v>44339</v>
      </c>
      <c r="D22" s="3156" t="s">
        <v>1926</v>
      </c>
      <c r="E22" s="3156">
        <f ca="1">IF(F22&lt;B2,"已过期",2000110137)</f>
        <v>2000110137</v>
      </c>
      <c r="F22" s="3159">
        <v>46387</v>
      </c>
    </row>
    <row r="23" spans="1:7" ht="20.25" customHeight="1">
      <c r="A23" s="3156"/>
      <c r="B23" s="3156"/>
      <c r="C23" s="3158"/>
      <c r="D23" s="3156"/>
      <c r="E23" s="3156"/>
      <c r="F23" s="3156"/>
    </row>
    <row r="24" spans="1:7" s="3164" customFormat="1" ht="20.25" customHeight="1">
      <c r="A24" s="3155" t="s">
        <v>2054</v>
      </c>
      <c r="B24" s="3155" t="s">
        <v>2054</v>
      </c>
      <c r="C24" s="3158"/>
      <c r="D24" s="3163" t="s">
        <v>2054</v>
      </c>
      <c r="E24" s="3155" t="s">
        <v>2054</v>
      </c>
      <c r="F24" s="3162"/>
    </row>
    <row r="25" spans="1:7" ht="20.25" customHeight="1">
      <c r="A25" s="3596" t="s">
        <v>1927</v>
      </c>
      <c r="B25" s="3596"/>
      <c r="C25" s="3596"/>
      <c r="D25" s="3596"/>
      <c r="E25" s="3596"/>
      <c r="F25" s="3596"/>
      <c r="G25" s="3596"/>
    </row>
    <row r="26" spans="1:7" ht="20.25" customHeight="1">
      <c r="A26" s="3597" t="s">
        <v>1928</v>
      </c>
      <c r="B26" s="3597"/>
      <c r="C26" s="3597"/>
      <c r="D26" s="3597" t="s">
        <v>1929</v>
      </c>
      <c r="E26" s="3597"/>
      <c r="F26" s="3597"/>
    </row>
    <row r="27" spans="1:7" s="3151" customFormat="1" ht="20.25" customHeight="1">
      <c r="A27" s="3165" t="s">
        <v>1930</v>
      </c>
      <c r="B27" s="3166" t="s">
        <v>1931</v>
      </c>
      <c r="C27" s="3166" t="s">
        <v>1932</v>
      </c>
      <c r="D27" s="3156" t="s">
        <v>1930</v>
      </c>
      <c r="E27" s="3166" t="s">
        <v>1931</v>
      </c>
      <c r="F27" s="3166" t="s">
        <v>1932</v>
      </c>
    </row>
    <row r="28" spans="1:7" s="3151" customFormat="1" ht="20.25" customHeight="1">
      <c r="A28" s="3167" t="s">
        <v>1933</v>
      </c>
      <c r="B28" s="3167" t="s">
        <v>1934</v>
      </c>
      <c r="C28" s="3159">
        <v>43725</v>
      </c>
      <c r="D28" s="3167" t="s">
        <v>1935</v>
      </c>
      <c r="E28" s="3167" t="s">
        <v>1936</v>
      </c>
      <c r="F28" s="3168">
        <v>44377</v>
      </c>
    </row>
    <row r="29" spans="1:7" s="3151" customFormat="1" ht="20.25" customHeight="1">
      <c r="A29" s="3167"/>
      <c r="B29" s="3167"/>
      <c r="C29" s="3169"/>
      <c r="D29" s="3167" t="s">
        <v>1937</v>
      </c>
      <c r="E29" s="3170" t="s">
        <v>2945</v>
      </c>
      <c r="F29" s="3171">
        <v>43281</v>
      </c>
    </row>
    <row r="30" spans="1:7" ht="20.25" customHeight="1">
      <c r="C30" s="3172"/>
      <c r="D30" s="3172"/>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2546</v>
      </c>
      <c r="R1" s="2561"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8" t="s">
        <v>2957</v>
      </c>
      <c r="C18" s="1555"/>
    </row>
    <row r="19" spans="1:3">
      <c r="A19" s="8" t="s">
        <v>120</v>
      </c>
      <c r="B19" s="3088" t="s">
        <v>2965</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兴陇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大航控股集团有限公司拟使用江苏省镇江市扬中市油坊镇出让国有建设用地使用权作为抵押担保物，向光大兴陇信托有限责任公司办理贷款手续。光大兴陇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598"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商住用地，剩余土地使用年限为的出让国有建设用地使用权价格。</v>
      </c>
      <c r="D53" s="1767"/>
      <c r="E53" s="1767"/>
    </row>
    <row r="54" spans="1:5">
      <c r="A54" s="3598"/>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598"/>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598"/>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598"/>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144</vt:i4>
      </vt:variant>
    </vt:vector>
  </HeadingPairs>
  <TitlesOfParts>
    <vt:vector size="18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不动产收益法</vt:lpstr>
      <vt:lpstr>酒店收入计算</vt:lpstr>
      <vt:lpstr>成本逼近法</vt:lpstr>
      <vt:lpstr>不动产比较法-住宅</vt:lpstr>
      <vt:lpstr>不动产比较法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2019-07-08T06:58:54Z</dcterms:modified>
</cp:coreProperties>
</file>