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B044A5B9-5122-419D-A328-829D40390B06}" xr6:coauthVersionLast="47" xr6:coauthVersionMax="47" xr10:uidLastSave="{00000000-0000-0000-0000-000000000000}"/>
  <bookViews>
    <workbookView xWindow="0" yWindow="0" windowWidth="19200" windowHeight="21000" tabRatio="899" firstSheet="12"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G14" i="82"/>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38" i="67"/>
  <c r="F3" i="73"/>
  <c r="D35" i="9"/>
  <c r="B8" i="76"/>
  <c r="E12" i="76"/>
  <c r="E10" i="76"/>
  <c r="B11" i="76"/>
  <c r="D9" i="95"/>
  <c r="B13" i="76"/>
  <c r="E9" i="76"/>
  <c r="F27" i="95"/>
  <c r="M22" i="67"/>
  <c r="E7" i="76"/>
  <c r="C19" i="9"/>
  <c r="C36" i="95"/>
  <c r="D20" i="9"/>
  <c r="B10" i="76"/>
  <c r="F4" i="73"/>
  <c r="B12" i="76"/>
  <c r="D34" i="9"/>
  <c r="AO13" i="1"/>
  <c r="F5" i="73"/>
  <c r="D6" i="73"/>
  <c r="E8" i="76"/>
  <c r="E13" i="76"/>
  <c r="F6" i="73"/>
  <c r="E11" i="76"/>
  <c r="D19" i="9"/>
  <c r="E2" i="68"/>
  <c r="E2" i="69"/>
  <c r="F20" i="31"/>
  <c r="C20" i="9"/>
  <c r="B7" i="76"/>
  <c r="F7" i="73"/>
  <c r="B9"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36" i="69"/>
  <c r="F27" i="91"/>
  <c r="M28" i="67"/>
  <c r="F36" i="67"/>
  <c r="F43" i="67"/>
  <c r="D5" i="73"/>
  <c r="F37" i="15"/>
  <c r="D9" i="91"/>
  <c r="M8" i="67"/>
  <c r="J15" i="67"/>
  <c r="F37" i="67"/>
  <c r="M6" i="67"/>
  <c r="F7" i="67"/>
  <c r="M24" i="67"/>
  <c r="D7" i="73"/>
  <c r="D3" i="73"/>
  <c r="F40" i="67"/>
  <c r="M6" i="15"/>
  <c r="F7" i="15"/>
  <c r="F6" i="67"/>
  <c r="F8" i="67"/>
  <c r="M23" i="67"/>
  <c r="C76" i="67"/>
  <c r="C36" i="91"/>
  <c r="M9" i="67"/>
  <c r="D4" i="73"/>
  <c r="L48" i="67"/>
  <c r="F9" i="67"/>
  <c r="M26" i="67"/>
  <c r="L47" i="67"/>
  <c r="F42" i="67"/>
  <c r="F16" i="67"/>
  <c r="F26" i="67"/>
  <c r="F13" i="67"/>
  <c r="M29"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E62" i="39" s="1"/>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C76" i="15"/>
  <c r="M9" i="15"/>
  <c r="M29" i="15"/>
  <c r="F13" i="15"/>
  <c r="F16" i="15"/>
  <c r="F8" i="15"/>
  <c r="F27" i="92"/>
  <c r="C16" i="67"/>
  <c r="M23" i="15"/>
  <c r="F42" i="15"/>
  <c r="F26" i="15"/>
  <c r="F27" i="69"/>
  <c r="F41" i="67"/>
  <c r="D9" i="93"/>
  <c r="L48" i="15"/>
  <c r="M28" i="15"/>
  <c r="C36" i="92"/>
  <c r="C36" i="93"/>
  <c r="F27" i="93"/>
  <c r="M24" i="15"/>
  <c r="M22" i="15"/>
  <c r="F36" i="15"/>
  <c r="F40" i="15"/>
  <c r="L47" i="15"/>
  <c r="F6" i="15"/>
  <c r="J15" i="15"/>
  <c r="M26" i="15"/>
  <c r="D9" i="92"/>
  <c r="F43" i="15"/>
  <c r="F38" i="15"/>
  <c r="M8" i="15"/>
  <c r="F9" i="15"/>
  <c r="D9" i="69"/>
  <c r="G1" i="73"/>
  <c r="K16" i="1" l="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2"/>
  <c r="D10" i="92"/>
  <c r="D10" i="91"/>
  <c r="C16" i="15"/>
  <c r="F41" i="15"/>
  <c r="C34" i="91"/>
  <c r="D10" i="93"/>
  <c r="C34" i="93"/>
  <c r="M27" i="67"/>
  <c r="C34" i="95"/>
  <c r="M27" i="15"/>
  <c r="D10"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D10" i="69"/>
  <c r="C14" i="67"/>
  <c r="C17" i="15"/>
  <c r="C34" i="69"/>
  <c r="C17"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R20" i="6" l="1"/>
  <c r="R7" i="1" s="1"/>
  <c r="D30" i="6"/>
  <c r="R21" i="6"/>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1"/>
  <c r="B3" i="92"/>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I38" i="90" s="1"/>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K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J38" i="90"/>
  <c r="AK38" i="90" s="1"/>
  <c r="AM39"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0" i="1"/>
  <c r="AO11" i="1"/>
  <c r="AO7" i="1"/>
  <c r="AO12" i="1"/>
  <c r="AO8"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49" i="72" l="1"/>
  <c r="D5" i="52"/>
  <c r="D119" i="9"/>
  <c r="Q12" i="94"/>
  <c r="H12" i="94"/>
  <c r="Q10" i="94"/>
  <c r="H10" i="94"/>
  <c r="B53" i="72"/>
  <c r="F5" i="52"/>
  <c r="F119" i="9"/>
  <c r="Q17" i="94"/>
  <c r="H17" i="94"/>
  <c r="C86" i="9"/>
  <c r="C93" i="9"/>
  <c r="C5" i="74"/>
  <c r="B51" i="72"/>
  <c r="F4" i="52"/>
  <c r="B47" i="72"/>
  <c r="D118" i="9"/>
  <c r="D4" i="52"/>
  <c r="C73" i="9"/>
  <c r="C78" i="9"/>
  <c r="M55" i="9"/>
  <c r="D59" i="9"/>
  <c r="B22" i="72"/>
  <c r="D6" i="53"/>
  <c r="C105" i="9"/>
  <c r="I4" i="52"/>
  <c r="C96" i="9"/>
  <c r="E96" i="9"/>
  <c r="E97" i="9"/>
  <c r="B32" i="72"/>
  <c r="D14" i="53"/>
  <c r="Q6" i="94"/>
  <c r="H6" i="94"/>
  <c r="Q5" i="96"/>
  <c r="H5" i="96"/>
  <c r="B52" i="72"/>
  <c r="F118" i="9"/>
  <c r="G118" i="9"/>
  <c r="G4" i="52"/>
  <c r="D5" i="53"/>
  <c r="B20" i="72"/>
  <c r="N58" i="9"/>
  <c r="P57" i="9"/>
  <c r="C81" i="9"/>
  <c r="Q12" i="96"/>
  <c r="H12" i="96"/>
  <c r="H5" i="52"/>
  <c r="H119" i="9"/>
  <c r="Q13" i="94"/>
  <c r="H13" i="94"/>
  <c r="C6" i="74"/>
  <c r="Q13" i="96"/>
  <c r="H13" i="96"/>
  <c r="Q6" i="96"/>
  <c r="H6" i="96"/>
  <c r="Q5" i="94"/>
  <c r="H2" i="94"/>
  <c r="Q2" i="94"/>
  <c r="H5" i="94"/>
  <c r="Q17" i="96"/>
  <c r="H17" i="96"/>
  <c r="D9" i="52"/>
  <c r="D123" i="9"/>
  <c r="E81" i="9"/>
  <c r="C72" i="9"/>
  <c r="C79" i="9"/>
  <c r="C80" i="9"/>
  <c r="E80" i="9"/>
  <c r="D122" i="9"/>
  <c r="D8" i="52"/>
  <c r="C85" i="9"/>
  <c r="C95" i="9"/>
  <c r="C97" i="9"/>
  <c r="D58" i="9"/>
  <c r="D56" i="9"/>
  <c r="M54" i="9"/>
  <c r="D13" i="53"/>
  <c r="B30" i="72"/>
  <c r="C104" i="9"/>
  <c r="H4" i="52"/>
  <c r="M48" i="9"/>
  <c r="N60" i="9"/>
  <c r="D55" i="9"/>
  <c r="M53" i="9"/>
  <c r="N57" i="9"/>
  <c r="N59" i="9"/>
  <c r="N61" i="9"/>
  <c r="E118" i="9"/>
  <c r="E4" i="52"/>
  <c r="B48" i="72"/>
  <c r="D52" i="9"/>
  <c r="D53" i="9"/>
  <c r="H102" i="9"/>
  <c r="D7" i="53"/>
  <c r="B21" i="72"/>
  <c r="H107" i="9"/>
  <c r="H108" i="9"/>
  <c r="D15" i="53"/>
  <c r="B31" i="72"/>
  <c r="H2" i="96"/>
  <c r="Q2" i="96"/>
  <c r="H10" i="96"/>
  <c r="Q10" i="96"/>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<sst xmlns="http://schemas.openxmlformats.org/spreadsheetml/2006/main" count="10104" uniqueCount="4005">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</sst>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9" fontId="49" fillId="32" borderId="5" xfId="0" applyNumberFormat="1" applyFont="1" applyFill="1" applyBorder="1" applyAlignment="1" applyProtection="1">
      <alignment horizontal="center" vertical="center"/>
      <protection locked="0"/>
    </xf>
    <xf numFmtId="181" fontId="49" fillId="32" borderId="24"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0.17613733502425608</c:v>
                      </c:pt>
                      <c:pt idx="6">
                        <c:v>0.17111637442292818</c:v>
                      </c:pt>
                      <c:pt idx="7">
                        <c:v>0.18778686188330973</c:v>
                      </c:pt>
                      <c:pt idx="8">
                        <c:v>0.18668931969042202</c:v>
                      </c:pt>
                      <c:pt idx="9">
                        <c:v>0.18348353490886418</c:v>
                      </c:pt>
                      <c:pt idx="10">
                        <c:v>0.17903081366457971</c:v>
                      </c:pt>
                      <c:pt idx="11">
                        <c:v>0.21502395253007256</c:v>
                      </c:pt>
                      <c:pt idx="12">
                        <c:v>0.18282572105290054</c:v>
                      </c:pt>
                      <c:pt idx="13">
                        <c:v>0.21156891854304413</c:v>
                      </c:pt>
                      <c:pt idx="14">
                        <c:v>0.21410849828961395</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270.46690799999999</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270.46690799999999</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227.03856000000002</c:v>
                </c:pt>
                <c:pt idx="8">
                  <c:v>223.60169999999999</c:v>
                </c:pt>
                <c:pt idx="9">
                  <c:v>213.97026</c:v>
                </c:pt>
                <c:pt idx="10">
                  <c:v>201.39588000000001</c:v>
                </c:pt>
                <c:pt idx="11">
                  <c:v>276.33269999999999</c:v>
                </c:pt>
                <c:pt idx="12">
                  <c:v>331.31498000000005</c:v>
                </c:pt>
                <c:pt idx="13">
                  <c:v>265.15776</c:v>
                </c:pt>
                <c:pt idx="14">
                  <c:v>270.46690799999999</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估价对象为房地产，为所有。根据《国有土地使用证》[]，估价对象（分摊）出让国有建设用地使用权面积为109.97平方米，建筑面积为460.33平方米。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估价对象为房地产,属开发建设的，该项目尚在开发建设中。根据《国有土地使用证》[]，估价对象（分摊）出让国有建设用地使用权面积为109.97平方米，规划建筑面积为460.33平方米。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460.33</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460.33</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460.33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460.33</v>
      </c>
      <c r="H5" s="13">
        <f t="shared" ref="H5:AT5" si="0">SUM(H13:H656)</f>
        <v>460.33</v>
      </c>
      <c r="I5" s="13">
        <f t="shared" si="0"/>
        <v>194.07</v>
      </c>
      <c r="J5" s="13">
        <f t="shared" si="0"/>
        <v>0</v>
      </c>
      <c r="K5" s="13">
        <f t="shared" si="0"/>
        <v>266.26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460.33</v>
      </c>
      <c r="BA5" s="15">
        <f t="shared" si="1"/>
        <v>460.33</v>
      </c>
      <c r="BB5" s="15">
        <f t="shared" si="1"/>
        <v>194.07</v>
      </c>
      <c r="BC5" s="15">
        <f t="shared" si="1"/>
        <v>266.26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46.36</v>
      </c>
      <c r="J6" s="13">
        <f t="shared" si="2"/>
        <v>0</v>
      </c>
      <c r="K6" s="13">
        <f t="shared" si="2"/>
        <v>63.61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46.36</v>
      </c>
      <c r="BC6" s="13">
        <f t="shared" ref="BC6:BH6" si="4">ROUND($AY$6*BC5/$AZ$5,2)</f>
        <v>63.61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111</v>
      </c>
      <c r="C13" s="3197" t="s">
        <v>3472</v>
      </c>
      <c r="D13" s="1513" t="s">
        <v>3469</v>
      </c>
      <c r="E13" s="13">
        <f>IF($C$3="是",ROUND($A$3*G13/$B$3,2),ROUND($A$3*(G13-AT13)/$B$3,2))</f>
        <v>29.46</v>
      </c>
      <c r="F13" s="29"/>
      <c r="G13" s="30">
        <f>H13+AC13+AT13</f>
        <v>123.31</v>
      </c>
      <c r="H13" s="17">
        <f>SUMIF(I$12:AB$12,"总值",I13:AB13)</f>
        <v>123.31</v>
      </c>
      <c r="I13" s="1514">
        <f>房源修正表!G39</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111</v>
      </c>
      <c r="AX13" s="8" t="str">
        <f t="shared" si="6"/>
        <v>1层</v>
      </c>
      <c r="AY13" s="1260">
        <f>ROUND($AY$6*AZ13/$AZ$5,2)</f>
        <v>29.46</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16.899999999999999</v>
      </c>
      <c r="F14" s="29"/>
      <c r="G14" s="30">
        <f>H14+AC14+AT14</f>
        <v>70.760000000000005</v>
      </c>
      <c r="H14" s="17">
        <f>SUMIF(I$12:AB$12,"总值",I14:AB14)</f>
        <v>70.760000000000005</v>
      </c>
      <c r="I14" s="1514">
        <f>房源修正表!G40</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16.899999999999999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63.61</v>
      </c>
      <c r="F15" s="29"/>
      <c r="G15" s="30">
        <f>H15+AC15+AT15</f>
        <v>266.26</v>
      </c>
      <c r="H15" s="17">
        <f>SUMIF(I$12:AB$12,"总值",I15:AB15)</f>
        <v>266.26</v>
      </c>
      <c r="I15" s="1514"/>
      <c r="J15" s="1514"/>
      <c r="K15" s="1514">
        <f>房源修正表!G38</f>
        <v>266.26</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63.61</v>
      </c>
      <c r="AZ15" s="13">
        <f>BA15+BL15</f>
        <v>266.26</v>
      </c>
      <c r="BA15" s="13">
        <f>SUM(BB15:BK15)</f>
        <v>266.26</v>
      </c>
      <c r="BB15" s="13">
        <f>IF($D15="是",I15-J15,0)</f>
        <v>0</v>
      </c>
      <c r="BC15" s="13">
        <f>IF($D15="是",K15-L15,0)</f>
        <v>266.26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460.33</v>
      </c>
      <c r="F3" s="2439"/>
      <c r="G3" s="42"/>
      <c r="H3" s="43" t="s">
        <v>1106</v>
      </c>
      <c r="I3" s="802">
        <f>ROUND('数据-基础表'!B3/'数据-基础表'!A3,2)</f>
        <v>4.1900000000000004</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0" t="s">
        <v>1110</v>
      </c>
      <c r="C5" s="3470"/>
      <c r="D5" s="43">
        <f>ROUND($D$3*E5/$E$3,2)</f>
        <v>109.97</v>
      </c>
      <c r="E5" s="44">
        <f>SUMIF('数据-基础表'!$11:$11,"住宅",'数据-基础表'!$5:$5)</f>
        <v>460.33</v>
      </c>
      <c r="F5" s="2439"/>
      <c r="G5" s="42"/>
      <c r="H5" s="43" t="s">
        <v>1106</v>
      </c>
      <c r="I5" s="802">
        <f>ROUND(E31/D31,2)</f>
        <v>4.1900000000000004</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1.76</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46.36</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46.36</v>
      </c>
      <c r="E16" s="48">
        <f>SUM(E8:E15)</f>
        <v>194.07</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46.36</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46.36</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63.61</v>
      </c>
      <c r="E21" s="51">
        <f t="shared" si="1"/>
        <v>266.26</v>
      </c>
      <c r="F21" s="2558"/>
      <c r="G21" s="1243">
        <f>'数据-基础表'!K15</f>
        <v>266.26</v>
      </c>
      <c r="H21" s="637">
        <f t="shared" si="7"/>
        <v>0</v>
      </c>
      <c r="I21" s="46">
        <f t="shared" si="2"/>
        <v>0</v>
      </c>
      <c r="J21" s="1071"/>
      <c r="K21" s="637">
        <f t="shared" si="3"/>
        <v>0</v>
      </c>
      <c r="L21" s="43">
        <f t="shared" si="4"/>
        <v>0</v>
      </c>
      <c r="M21" s="46">
        <f t="shared" si="8"/>
        <v>0</v>
      </c>
      <c r="N21" s="1550"/>
      <c r="O21" s="1551"/>
      <c r="P21" s="46">
        <f t="shared" si="9"/>
        <v>0</v>
      </c>
      <c r="R21" s="43">
        <f t="shared" si="5"/>
        <v>63.61</v>
      </c>
      <c r="S21" s="51">
        <f t="shared" si="5"/>
        <v>266.26</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460.33</v>
      </c>
      <c r="F27" s="1072">
        <f>IF(SUM(F19:F26)=E8,SUM(F19:F26),"地上面积有误")</f>
        <v>194.07</v>
      </c>
      <c r="G27" s="1074">
        <f>SUM(G19:G26)</f>
        <v>266.26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460.33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460.33</v>
      </c>
      <c r="F31" s="644">
        <f>F27+F30</f>
        <v>194.07</v>
      </c>
      <c r="G31" s="645">
        <f>G27+G30</f>
        <v>266.26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15"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46.36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266.26</v>
      </c>
      <c r="L8" s="692">
        <v>2900</v>
      </c>
      <c r="M8" s="64">
        <f>ROUND(K8*L8/10000,0)</f>
        <v>77</v>
      </c>
      <c r="N8" s="690">
        <v>1</v>
      </c>
      <c r="O8" s="64" t="str">
        <f t="shared" si="3"/>
        <v>——</v>
      </c>
      <c r="P8" s="65" t="str">
        <f t="shared" si="4"/>
        <v>——</v>
      </c>
      <c r="Q8" s="3734">
        <v>0.18</v>
      </c>
      <c r="R8" s="66">
        <f ca="1">SUMIF('数据-汇总表'!C$19:C$33,A8,'数据-汇总表'!R$19:R$27)</f>
        <v>63.61</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772154</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460.33</v>
      </c>
      <c r="L16" s="87">
        <f>ROUND(M16*10000/SUM(K6:K14),0)</f>
        <v>2889</v>
      </c>
      <c r="M16" s="87">
        <f>SUM(M6:M14)</f>
        <v>133</v>
      </c>
      <c r="N16" s="88">
        <f>ROUND(SUMPRODUCT(M6:M14,N6:N14)/M16,3)</f>
        <v>1</v>
      </c>
      <c r="O16" s="87">
        <f>SUM(O6:O14)</f>
        <v>0</v>
      </c>
      <c r="P16" s="87">
        <f>SUM(P6:P14)</f>
        <v>0</v>
      </c>
      <c r="Q16" s="89">
        <f>ROUND(SUMPRODUCT(Q6:Q13,K6:K13)/SUMPRODUCT((Q6:Q13&gt;0)*(K6:K13)),2)</f>
        <v>0.23</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5">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460.33</v>
      </c>
      <c r="M18" s="294">
        <f>IF(C1="",'数据-汇总表'!E3,SUMIF(项目类型,C1,'数据-汇总表'!E17:E26))</f>
        <v>460.33</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460.33</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38962</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846393</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7</v>
      </c>
      <c r="D9" s="795">
        <f ca="1">IF(B1="",'数据-汇总表'!E5,IF(INDIRECT("'数据-取费表'!c"&amp;$G$1)="住宅",INDIRECT("'数据-取费表'!k"&amp;$G$1),0))</f>
        <v>460.33</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460.33</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6450</v>
      </c>
      <c r="D27" s="227">
        <f ca="1">C29</f>
        <v>6.4000000000000003E-3</v>
      </c>
      <c r="E27" s="228" t="s">
        <v>1512</v>
      </c>
      <c r="F27" s="238">
        <f ca="1">IF(B1="",'数据-取费表'!Q16,INDIRECT("'数据-取费表'!q"&amp;$G$1))</f>
        <v>0.23</v>
      </c>
      <c r="G27" s="239" t="s">
        <v>1513</v>
      </c>
    </row>
    <row r="28" spans="1:7" s="206" customFormat="1" ht="13.5" customHeight="1">
      <c r="A28" s="734" t="s">
        <v>346</v>
      </c>
      <c r="B28" s="240" t="s">
        <v>1514</v>
      </c>
      <c r="C28" s="241">
        <f ca="1">ROUND((C5+C19+C20)*F27*'数据-取费表'!B21/'数据-取费表'!B20,0)</f>
        <v>6450</v>
      </c>
      <c r="D28" s="227"/>
      <c r="E28" s="228"/>
      <c r="F28" s="238"/>
      <c r="G28" s="239"/>
    </row>
    <row r="29" spans="1:7" s="206" customFormat="1" ht="13.5" customHeight="1">
      <c r="A29" s="734" t="s">
        <v>347</v>
      </c>
      <c r="B29" s="240" t="s">
        <v>1515</v>
      </c>
      <c r="C29" s="230">
        <f ca="1">ROUND(C21*F27*'数据-取费表'!B21/'数据-取费表'!B20,4)</f>
        <v>6.4000000000000003E-3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38743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159</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133</v>
      </c>
      <c r="D34" s="209"/>
      <c r="E34" s="212"/>
      <c r="F34" s="249">
        <f ca="1">IF('数据-取费表'!B24=0,1,IF(B1="",'数据-取费表'!N16,INDIRECT("'数据-取费表'!n"&amp;$G$1)))</f>
        <v>1</v>
      </c>
      <c r="G34" s="211" t="s">
        <v>1524</v>
      </c>
    </row>
    <row r="35" spans="1:7" ht="13.5" customHeight="1">
      <c r="A35" s="734" t="s">
        <v>351</v>
      </c>
      <c r="B35" s="207" t="s">
        <v>1525</v>
      </c>
      <c r="C35" s="212">
        <f ca="1">ROUND(C34*F35,0)</f>
        <v>7</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7</v>
      </c>
      <c r="D36" s="212"/>
      <c r="E36" s="212"/>
      <c r="F36" s="251">
        <f>'数据-取费表'!B34</f>
        <v>0.05</v>
      </c>
      <c r="G36" s="252" t="s">
        <v>1528</v>
      </c>
    </row>
    <row r="37" spans="1:7" s="250" customFormat="1" ht="13.5" customHeight="1">
      <c r="A37" s="734" t="s">
        <v>353</v>
      </c>
      <c r="B37" s="207" t="s">
        <v>1529</v>
      </c>
      <c r="C37" s="241">
        <f ca="1">ROUND(E37*D37*F34/10000,0)</f>
        <v>9</v>
      </c>
      <c r="D37" s="209">
        <f ca="1">D19</f>
        <v>460.33</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37</v>
      </c>
      <c r="D45" s="227">
        <f ca="1">C47</f>
        <v>6.4000000000000003E-3</v>
      </c>
      <c r="E45" s="228" t="s">
        <v>1537</v>
      </c>
      <c r="F45" s="238">
        <f ca="1">F27</f>
        <v>0.23</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6.4000000000000003E-3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219</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219</v>
      </c>
      <c r="D51" s="224"/>
      <c r="E51" s="224"/>
      <c r="F51" s="256"/>
      <c r="G51" s="226" t="s">
        <v>1558</v>
      </c>
    </row>
    <row r="52" spans="1:7" s="200" customFormat="1" ht="16.5" thickBot="1">
      <c r="A52" s="257" t="s">
        <v>1559</v>
      </c>
      <c r="B52" s="258"/>
      <c r="C52" s="259">
        <f ca="1">C31+C51</f>
        <v>38962</v>
      </c>
      <c r="D52" s="258"/>
      <c r="E52" s="258"/>
      <c r="F52" s="258"/>
      <c r="G52" s="260"/>
    </row>
    <row r="55" spans="1:7" ht="15">
      <c r="B55" s="262" t="s">
        <v>1560</v>
      </c>
      <c r="C55" s="263"/>
    </row>
    <row r="56" spans="1:7">
      <c r="B56" s="265" t="s">
        <v>802</v>
      </c>
      <c r="C56" s="267">
        <f ca="1">1-C57</f>
        <v>0.99399999999999999</v>
      </c>
    </row>
    <row r="57" spans="1:7">
      <c r="B57" s="265" t="s">
        <v>803</v>
      </c>
      <c r="C57" s="266">
        <f ca="1">ROUND(C51/C52,3)</f>
        <v>6.0000000000000001E-3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33496</v>
      </c>
      <c r="C2" s="268" t="s">
        <v>1593</v>
      </c>
      <c r="D2" s="268"/>
      <c r="E2" s="2568"/>
      <c r="F2" s="2568"/>
      <c r="G2" s="2568"/>
      <c r="H2" s="2568"/>
      <c r="I2" s="2568"/>
      <c r="J2" s="2568"/>
      <c r="K2" s="2568"/>
    </row>
    <row r="3" spans="1:33" ht="18" customHeight="1" thickBot="1">
      <c r="A3" s="195" t="s">
        <v>1462</v>
      </c>
      <c r="B3" s="196">
        <f ca="1">ROUND(B2*10000/IF(C1="",'数据-汇总表'!E3,INDIRECT("'数据-取费表'!K"&amp;$K$1)),0)</f>
        <v>727652</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460.33</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460.33</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-27745</v>
      </c>
      <c r="D18" s="796"/>
      <c r="E18" s="21"/>
      <c r="F18" s="756"/>
      <c r="G18" s="1720"/>
      <c r="H18" s="1106"/>
      <c r="I18" s="1721" t="s">
        <v>1623</v>
      </c>
      <c r="J18" s="759"/>
      <c r="K18" s="760"/>
    </row>
    <row r="19" spans="1:33" s="755" customFormat="1" ht="13.5" customHeight="1">
      <c r="A19" s="752" t="s">
        <v>360</v>
      </c>
      <c r="B19" s="753" t="s">
        <v>1624</v>
      </c>
      <c r="C19" s="21">
        <f ca="1">ROUND(D19*E19/10000,0)</f>
        <v>7</v>
      </c>
      <c r="D19" s="796">
        <f ca="1">IF(C1="",'数据-汇总表'!E5,IF(INDIRECT("'数据-取费表'!c"&amp;$K$1)="住宅",INDIRECT("'数据-取费表'!k"&amp;$K$1),0))</f>
        <v>460.33</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-27745</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-6445</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-6445</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33496</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460.33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460.33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460.33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460.33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估价对象为房地产，为所有。根据《国有土地使用证》[]，估价对象（分摊）出让国有建设用地使用权面积为109.97平方米，建筑面积为460.33平方米。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估价对象为房地产,属开发建设的，该项目尚在开发建设中。根据《国有土地使用证》[]，估价对象（分摊）出让国有建设用地使用权面积为109.97平方米，规划建筑面积为460.33平方米。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167.6086</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345930.72</v>
      </c>
      <c r="D5" s="203" t="s">
        <v>1467</v>
      </c>
      <c r="E5" s="204" t="s">
        <v>1468</v>
      </c>
      <c r="F5" s="204" t="s">
        <v>1469</v>
      </c>
      <c r="G5" s="205"/>
    </row>
    <row r="6" spans="1:8" s="206" customFormat="1" ht="13.5" customHeight="1">
      <c r="A6" s="732" t="s">
        <v>346</v>
      </c>
      <c r="B6" s="207" t="s">
        <v>1471</v>
      </c>
      <c r="C6" s="208">
        <f>标定地价!Q16*'数据-汇总表'!G21</f>
        <v>298743.71999999997</v>
      </c>
      <c r="D6" s="209"/>
      <c r="E6" s="210"/>
      <c r="F6" s="210"/>
      <c r="G6" s="211"/>
    </row>
    <row r="7" spans="1:8" s="206" customFormat="1" ht="13.5" customHeight="1">
      <c r="A7" s="732" t="s">
        <v>347</v>
      </c>
      <c r="B7" s="207" t="s">
        <v>1473</v>
      </c>
      <c r="C7" s="212">
        <f>ROUND(C6*F7,0)</f>
        <v>9112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38075</v>
      </c>
      <c r="D8" s="214"/>
      <c r="E8" s="212"/>
      <c r="F8" s="213"/>
      <c r="G8" s="1714" t="s">
        <v>3550</v>
      </c>
    </row>
    <row r="9" spans="1:8" s="206" customFormat="1" ht="13.5" customHeight="1">
      <c r="A9" s="733" t="s">
        <v>355</v>
      </c>
      <c r="B9" s="216" t="s">
        <v>1476</v>
      </c>
      <c r="C9" s="217">
        <f ca="1">ROUND(D9*E9,0)</f>
        <v>38075</v>
      </c>
      <c r="D9" s="795">
        <f ca="1">IF(B1="",'数据-汇总表'!E5,IF(INDIRECT("'数据-取费表'!c"&amp;$G$1)="住宅",INDIRECT("'数据-取费表'!k"&amp;$G$1),0))</f>
        <v>266.26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266.26</v>
      </c>
      <c r="E19" s="203">
        <f>'数据-取费表'!B31</f>
        <v>280</v>
      </c>
      <c r="F19" s="223"/>
      <c r="G19" s="1714" t="s">
        <v>3551</v>
      </c>
    </row>
    <row r="20" spans="1:7" s="206" customFormat="1" ht="13.5" customHeight="1">
      <c r="A20" s="247" t="s">
        <v>1491</v>
      </c>
      <c r="B20" s="202" t="s">
        <v>1492</v>
      </c>
      <c r="C20" s="224">
        <f ca="1">ROUND((C5+C19)*F20,0)</f>
        <v>3459</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10430</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10378</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52</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62890</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62890</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462838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918065</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772154</v>
      </c>
      <c r="D34" s="209"/>
      <c r="E34" s="212"/>
      <c r="F34" s="249"/>
      <c r="G34" s="211"/>
    </row>
    <row r="35" spans="1:7" ht="13.5" customHeight="1">
      <c r="A35" s="734" t="s">
        <v>351</v>
      </c>
      <c r="B35" s="207" t="s">
        <v>1525</v>
      </c>
      <c r="C35" s="212">
        <f ca="1">ROUND(C34*F35,0)</f>
        <v>38608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38608</v>
      </c>
      <c r="D36" s="212"/>
      <c r="E36" s="212"/>
      <c r="F36" s="251">
        <f>'数据-取费表'!B34</f>
        <v>0.05</v>
      </c>
      <c r="G36" s="252" t="s">
        <v>1528</v>
      </c>
    </row>
    <row r="37" spans="1:7" s="250" customFormat="1" ht="13.5" customHeight="1">
      <c r="A37" s="734" t="s">
        <v>353</v>
      </c>
      <c r="B37" s="207" t="s">
        <v>1529</v>
      </c>
      <c r="C37" s="241">
        <f ca="1">ROUND(E37*D37,0)</f>
        <v>53252</v>
      </c>
      <c r="D37" s="209">
        <f ca="1">D19</f>
        <v>266.26</v>
      </c>
      <c r="E37" s="241">
        <f>'数据-取费表'!B35</f>
        <v>200</v>
      </c>
      <c r="F37" s="251"/>
      <c r="G37" s="253"/>
    </row>
    <row r="38" spans="1:7" ht="13.5" customHeight="1">
      <c r="A38" s="734" t="s">
        <v>354</v>
      </c>
      <c r="B38" s="207" t="s">
        <v>1531</v>
      </c>
      <c r="C38" s="212">
        <f ca="1">ROUND(C34*F38,0)</f>
        <v>15443</v>
      </c>
      <c r="D38" s="212"/>
      <c r="E38" s="212"/>
      <c r="F38" s="251">
        <f>'数据-取费表'!B36</f>
        <v>0.02</v>
      </c>
      <c r="G38" s="211" t="s">
        <v>1526</v>
      </c>
    </row>
    <row r="39" spans="1:7" s="206" customFormat="1" ht="13.5" customHeight="1">
      <c r="A39" s="247" t="s">
        <v>1489</v>
      </c>
      <c r="B39" s="202" t="s">
        <v>1492</v>
      </c>
      <c r="C39" s="224">
        <f ca="1">ROUND(C33*F20,0)</f>
        <v>9181</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13909</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13771</v>
      </c>
      <c r="D42" s="230"/>
      <c r="E42" s="230"/>
      <c r="F42" s="231"/>
      <c r="G42" s="3567" t="s">
        <v>1589</v>
      </c>
    </row>
    <row r="43" spans="1:7" ht="13.5" customHeight="1">
      <c r="A43" s="734" t="s">
        <v>347</v>
      </c>
      <c r="B43" s="207" t="s">
        <v>1504</v>
      </c>
      <c r="C43" s="230">
        <f ca="1">ROUND(IF('数据-取费表'!B22&lt;=1,C39*F22*'数据-取费表'!B20/2,C39*(POWER((1+F22),'数据-取费表'!B20/2)-1)),0)</f>
        <v>138</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166904</v>
      </c>
      <c r="D45" s="227">
        <f ca="1">C47</f>
        <v>5.0000000000000001E-3</v>
      </c>
      <c r="E45" s="228" t="s">
        <v>1537</v>
      </c>
      <c r="F45" s="238">
        <f ca="1">F27</f>
        <v>0.18</v>
      </c>
      <c r="G45" s="239" t="s">
        <v>1546</v>
      </c>
    </row>
    <row r="46" spans="1:7" s="206" customFormat="1" ht="13.5" customHeight="1">
      <c r="A46" s="734" t="s">
        <v>346</v>
      </c>
      <c r="B46" s="240" t="s">
        <v>1547</v>
      </c>
      <c r="C46" s="241">
        <f ca="1">ROUND((C33+C39)*F27,0)</f>
        <v>166904</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1213248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1213248</v>
      </c>
      <c r="D51" s="224"/>
      <c r="E51" s="224"/>
      <c r="F51" s="256"/>
      <c r="G51" s="226" t="s">
        <v>1558</v>
      </c>
    </row>
    <row r="52" spans="1:7" s="200" customFormat="1" ht="16.5" thickBot="1">
      <c r="A52" s="257" t="s">
        <v>1559</v>
      </c>
      <c r="B52" s="258"/>
      <c r="C52" s="259">
        <f ca="1">C31+C51</f>
        <v>1676086</v>
      </c>
      <c r="D52" s="258"/>
      <c r="E52" s="258"/>
      <c r="F52" s="258"/>
      <c r="G52" s="260"/>
    </row>
    <row r="54" spans="1:7">
      <c r="E54" s="264">
        <f ca="1">C31/C52</f>
        <v>0.27614215499681999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165.4058</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329467.12</v>
      </c>
      <c r="D5" s="203" t="s">
        <v>1467</v>
      </c>
      <c r="E5" s="204" t="s">
        <v>1468</v>
      </c>
      <c r="F5" s="204" t="s">
        <v>1469</v>
      </c>
      <c r="G5" s="205"/>
    </row>
    <row r="6" spans="1:8" s="206" customFormat="1" ht="13.5" customHeight="1">
      <c r="A6" s="732" t="s">
        <v>346</v>
      </c>
      <c r="B6" s="207" t="s">
        <v>1471</v>
      </c>
      <c r="C6" s="208">
        <f>标定地价!Q17*'数据-汇总表'!G21</f>
        <v>282768.12</v>
      </c>
      <c r="D6" s="209"/>
      <c r="E6" s="210"/>
      <c r="F6" s="210"/>
      <c r="G6" s="211"/>
    </row>
    <row r="7" spans="1:8" s="206" customFormat="1" ht="13.5" customHeight="1">
      <c r="A7" s="732" t="s">
        <v>347</v>
      </c>
      <c r="B7" s="207" t="s">
        <v>1473</v>
      </c>
      <c r="C7" s="212">
        <f>ROUND(C6*F7,0)</f>
        <v>8624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38075</v>
      </c>
      <c r="D8" s="214"/>
      <c r="E8" s="212"/>
      <c r="F8" s="213"/>
      <c r="G8" s="1714" t="s">
        <v>3550</v>
      </c>
    </row>
    <row r="9" spans="1:8" s="206" customFormat="1" ht="13.5" customHeight="1">
      <c r="A9" s="733" t="s">
        <v>355</v>
      </c>
      <c r="B9" s="216" t="s">
        <v>1476</v>
      </c>
      <c r="C9" s="217">
        <f ca="1">ROUND(D9*E9,0)</f>
        <v>38075</v>
      </c>
      <c r="D9" s="795">
        <f ca="1">IF(B1="",'数据-汇总表'!E5,IF(INDIRECT("'数据-取费表'!c"&amp;$G$1)="住宅",INDIRECT("'数据-取费表'!k"&amp;$G$1),0))</f>
        <v>266.26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266.26</v>
      </c>
      <c r="E19" s="203">
        <f>'数据-取费表'!B31</f>
        <v>280</v>
      </c>
      <c r="F19" s="223"/>
      <c r="G19" s="1714" t="s">
        <v>3551</v>
      </c>
    </row>
    <row r="20" spans="1:7" s="206" customFormat="1" ht="13.5" customHeight="1">
      <c r="A20" s="247" t="s">
        <v>1491</v>
      </c>
      <c r="B20" s="202" t="s">
        <v>1492</v>
      </c>
      <c r="C20" s="224">
        <f ca="1">ROUND((C5+C19)*F20,0)</f>
        <v>3295</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9933</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9884</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59897</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59897</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440810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918065</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772154</v>
      </c>
      <c r="D34" s="209"/>
      <c r="E34" s="212"/>
      <c r="F34" s="249"/>
      <c r="G34" s="211"/>
    </row>
    <row r="35" spans="1:7" ht="13.5" customHeight="1">
      <c r="A35" s="734" t="s">
        <v>351</v>
      </c>
      <c r="B35" s="207" t="s">
        <v>1525</v>
      </c>
      <c r="C35" s="212">
        <f ca="1">ROUND(C34*F35,0)</f>
        <v>38608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38608</v>
      </c>
      <c r="D36" s="212"/>
      <c r="E36" s="212"/>
      <c r="F36" s="251">
        <f>'数据-取费表'!B34</f>
        <v>0.05</v>
      </c>
      <c r="G36" s="252" t="s">
        <v>1528</v>
      </c>
    </row>
    <row r="37" spans="1:7" s="250" customFormat="1" ht="13.5" customHeight="1">
      <c r="A37" s="734" t="s">
        <v>353</v>
      </c>
      <c r="B37" s="207" t="s">
        <v>1529</v>
      </c>
      <c r="C37" s="241">
        <f ca="1">ROUND(E37*D37,0)</f>
        <v>53252</v>
      </c>
      <c r="D37" s="209">
        <f ca="1">D19</f>
        <v>266.26</v>
      </c>
      <c r="E37" s="241">
        <f>'数据-取费表'!B35</f>
        <v>200</v>
      </c>
      <c r="F37" s="251"/>
      <c r="G37" s="253"/>
    </row>
    <row r="38" spans="1:7" ht="13.5" customHeight="1">
      <c r="A38" s="734" t="s">
        <v>354</v>
      </c>
      <c r="B38" s="207" t="s">
        <v>1531</v>
      </c>
      <c r="C38" s="212">
        <f ca="1">ROUND(C34*F38,0)</f>
        <v>15443</v>
      </c>
      <c r="D38" s="212"/>
      <c r="E38" s="212"/>
      <c r="F38" s="251">
        <f>'数据-取费表'!B36</f>
        <v>0.02</v>
      </c>
      <c r="G38" s="211" t="s">
        <v>1526</v>
      </c>
    </row>
    <row r="39" spans="1:7" s="206" customFormat="1" ht="13.5" customHeight="1">
      <c r="A39" s="247" t="s">
        <v>1489</v>
      </c>
      <c r="B39" s="202" t="s">
        <v>1492</v>
      </c>
      <c r="C39" s="224">
        <f ca="1">ROUND(C33*F20,0)</f>
        <v>9181</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13909</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13771</v>
      </c>
      <c r="D42" s="230"/>
      <c r="E42" s="230"/>
      <c r="F42" s="231"/>
      <c r="G42" s="3567" t="s">
        <v>1589</v>
      </c>
    </row>
    <row r="43" spans="1:7" ht="13.5" customHeight="1">
      <c r="A43" s="734" t="s">
        <v>347</v>
      </c>
      <c r="B43" s="207" t="s">
        <v>1504</v>
      </c>
      <c r="C43" s="230">
        <f ca="1">ROUND(IF('数据-取费表'!B22&lt;=1,C39*F22*'数据-取费表'!B20/2,C39*(POWER((1+F22),'数据-取费表'!B20/2)-1)),0)</f>
        <v>138</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166904</v>
      </c>
      <c r="D45" s="227">
        <f ca="1">C47</f>
        <v>5.0000000000000001E-3</v>
      </c>
      <c r="E45" s="228" t="s">
        <v>1537</v>
      </c>
      <c r="F45" s="238">
        <f ca="1">F27</f>
        <v>0.18</v>
      </c>
      <c r="G45" s="239" t="s">
        <v>1546</v>
      </c>
    </row>
    <row r="46" spans="1:7" s="206" customFormat="1" ht="13.5" customHeight="1">
      <c r="A46" s="734" t="s">
        <v>346</v>
      </c>
      <c r="B46" s="240" t="s">
        <v>1547</v>
      </c>
      <c r="C46" s="241">
        <f ca="1">ROUND((C33+C39)*F27,0)</f>
        <v>166904</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1213248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1213248</v>
      </c>
      <c r="D51" s="224"/>
      <c r="E51" s="224"/>
      <c r="F51" s="256"/>
      <c r="G51" s="226" t="s">
        <v>1558</v>
      </c>
    </row>
    <row r="52" spans="1:7" s="200" customFormat="1" ht="16.5" thickBot="1">
      <c r="A52" s="257" t="s">
        <v>1559</v>
      </c>
      <c r="B52" s="258"/>
      <c r="C52" s="259">
        <f ca="1">C31+C51</f>
        <v>1654058</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160.59690000000001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293524.06</v>
      </c>
      <c r="D5" s="203" t="s">
        <v>1467</v>
      </c>
      <c r="E5" s="204" t="s">
        <v>1468</v>
      </c>
      <c r="F5" s="204" t="s">
        <v>1469</v>
      </c>
      <c r="G5" s="205"/>
    </row>
    <row r="6" spans="1:8" s="206" customFormat="1" ht="13.5" customHeight="1">
      <c r="A6" s="732" t="s">
        <v>346</v>
      </c>
      <c r="B6" s="207" t="s">
        <v>1471</v>
      </c>
      <c r="C6" s="208">
        <f>标定地价!Q18*'数据-汇总表'!G21</f>
        <v>247888.06</v>
      </c>
      <c r="D6" s="209"/>
      <c r="E6" s="210"/>
      <c r="F6" s="210"/>
      <c r="G6" s="211"/>
    </row>
    <row r="7" spans="1:8" s="206" customFormat="1" ht="13.5" customHeight="1">
      <c r="A7" s="732" t="s">
        <v>347</v>
      </c>
      <c r="B7" s="207" t="s">
        <v>1473</v>
      </c>
      <c r="C7" s="212">
        <f>ROUND(C6*F7,0)</f>
        <v>7561</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38075</v>
      </c>
      <c r="D8" s="214"/>
      <c r="E8" s="212"/>
      <c r="F8" s="213"/>
      <c r="G8" s="1714" t="s">
        <v>3550</v>
      </c>
    </row>
    <row r="9" spans="1:8" s="206" customFormat="1" ht="13.5" customHeight="1">
      <c r="A9" s="733" t="s">
        <v>355</v>
      </c>
      <c r="B9" s="216" t="s">
        <v>1476</v>
      </c>
      <c r="C9" s="217">
        <f ca="1">ROUND(D9*E9,0)</f>
        <v>38075</v>
      </c>
      <c r="D9" s="795">
        <f ca="1">IF(B1="",'数据-汇总表'!E5,IF(INDIRECT("'数据-取费表'!c"&amp;$G$1)="住宅",INDIRECT("'数据-取费表'!k"&amp;$G$1),0))</f>
        <v>266.26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266.26</v>
      </c>
      <c r="E19" s="203">
        <f>'数据-取费表'!B31</f>
        <v>280</v>
      </c>
      <c r="F19" s="223"/>
      <c r="G19" s="1714" t="s">
        <v>3551</v>
      </c>
    </row>
    <row r="20" spans="1:7" s="206" customFormat="1" ht="13.5" customHeight="1">
      <c r="A20" s="247" t="s">
        <v>1491</v>
      </c>
      <c r="B20" s="202" t="s">
        <v>1492</v>
      </c>
      <c r="C20" s="224">
        <f ca="1">ROUND((C5+C19)*F20,0)</f>
        <v>2935</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8850</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8806</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53363</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53363</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392721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918065</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772154</v>
      </c>
      <c r="D34" s="209"/>
      <c r="E34" s="212"/>
      <c r="F34" s="249"/>
      <c r="G34" s="211"/>
    </row>
    <row r="35" spans="1:7" ht="13.5" customHeight="1">
      <c r="A35" s="734" t="s">
        <v>351</v>
      </c>
      <c r="B35" s="207" t="s">
        <v>1525</v>
      </c>
      <c r="C35" s="212">
        <f ca="1">ROUND(C34*F35,0)</f>
        <v>38608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38608</v>
      </c>
      <c r="D36" s="212"/>
      <c r="E36" s="212"/>
      <c r="F36" s="251">
        <f>'数据-取费表'!B34</f>
        <v>0.05</v>
      </c>
      <c r="G36" s="252" t="s">
        <v>1528</v>
      </c>
    </row>
    <row r="37" spans="1:7" s="250" customFormat="1" ht="13.5" customHeight="1">
      <c r="A37" s="734" t="s">
        <v>353</v>
      </c>
      <c r="B37" s="207" t="s">
        <v>1529</v>
      </c>
      <c r="C37" s="241">
        <f ca="1">ROUND(E37*D37,0)</f>
        <v>53252</v>
      </c>
      <c r="D37" s="209">
        <f ca="1">D19</f>
        <v>266.26</v>
      </c>
      <c r="E37" s="241">
        <f>'数据-取费表'!B35</f>
        <v>200</v>
      </c>
      <c r="F37" s="251"/>
      <c r="G37" s="253"/>
    </row>
    <row r="38" spans="1:7" ht="13.5" customHeight="1">
      <c r="A38" s="734" t="s">
        <v>354</v>
      </c>
      <c r="B38" s="207" t="s">
        <v>1531</v>
      </c>
      <c r="C38" s="212">
        <f ca="1">ROUND(C34*F38,0)</f>
        <v>15443</v>
      </c>
      <c r="D38" s="212"/>
      <c r="E38" s="212"/>
      <c r="F38" s="251">
        <f>'数据-取费表'!B36</f>
        <v>0.02</v>
      </c>
      <c r="G38" s="211" t="s">
        <v>1526</v>
      </c>
    </row>
    <row r="39" spans="1:7" s="206" customFormat="1" ht="13.5" customHeight="1">
      <c r="A39" s="247" t="s">
        <v>1489</v>
      </c>
      <c r="B39" s="202" t="s">
        <v>1492</v>
      </c>
      <c r="C39" s="224">
        <f ca="1">ROUND(C33*F20,0)</f>
        <v>9181</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13909</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13771</v>
      </c>
      <c r="D42" s="230"/>
      <c r="E42" s="230"/>
      <c r="F42" s="231"/>
      <c r="G42" s="3567" t="s">
        <v>1589</v>
      </c>
    </row>
    <row r="43" spans="1:7" ht="13.5" customHeight="1">
      <c r="A43" s="734" t="s">
        <v>347</v>
      </c>
      <c r="B43" s="207" t="s">
        <v>1504</v>
      </c>
      <c r="C43" s="230">
        <f ca="1">ROUND(IF('数据-取费表'!B22&lt;=1,C39*F22*'数据-取费表'!B20/2,C39*(POWER((1+F22),'数据-取费表'!B20/2)-1)),0)</f>
        <v>138</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166904</v>
      </c>
      <c r="D45" s="227">
        <f ca="1">C47</f>
        <v>5.0000000000000001E-3</v>
      </c>
      <c r="E45" s="228" t="s">
        <v>1537</v>
      </c>
      <c r="F45" s="238">
        <f ca="1">F27</f>
        <v>0.18</v>
      </c>
      <c r="G45" s="239" t="s">
        <v>1546</v>
      </c>
    </row>
    <row r="46" spans="1:7" s="206" customFormat="1" ht="13.5" customHeight="1">
      <c r="A46" s="734" t="s">
        <v>346</v>
      </c>
      <c r="B46" s="240" t="s">
        <v>1547</v>
      </c>
      <c r="C46" s="241">
        <f ca="1">ROUND((C33+C39)*F27,0)</f>
        <v>166904</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1213248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1213248</v>
      </c>
      <c r="D51" s="224"/>
      <c r="E51" s="224"/>
      <c r="F51" s="256"/>
      <c r="G51" s="226" t="s">
        <v>1558</v>
      </c>
    </row>
    <row r="52" spans="1:7" s="200" customFormat="1" ht="16.5" thickBot="1">
      <c r="A52" s="257" t="s">
        <v>1559</v>
      </c>
      <c r="B52" s="258"/>
      <c r="C52" s="259">
        <f ca="1">C31+C51</f>
        <v>1605969</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A51" sqref="A51:XFD5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181.63200000000001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450744.04</v>
      </c>
      <c r="D5" s="203" t="s">
        <v>1467</v>
      </c>
      <c r="E5" s="204" t="s">
        <v>1468</v>
      </c>
      <c r="F5" s="204" t="s">
        <v>1469</v>
      </c>
      <c r="G5" s="205"/>
    </row>
    <row r="6" spans="1:8" s="206" customFormat="1" ht="13.5" customHeight="1">
      <c r="A6" s="732" t="s">
        <v>346</v>
      </c>
      <c r="B6" s="207" t="s">
        <v>1471</v>
      </c>
      <c r="C6" s="208">
        <f>标定地价!Q19*'数据-汇总表'!G21</f>
        <v>400455.04</v>
      </c>
      <c r="D6" s="209"/>
      <c r="E6" s="210"/>
      <c r="F6" s="210"/>
      <c r="G6" s="211"/>
    </row>
    <row r="7" spans="1:8" s="206" customFormat="1" ht="13.5" customHeight="1">
      <c r="A7" s="732" t="s">
        <v>347</v>
      </c>
      <c r="B7" s="207" t="s">
        <v>1473</v>
      </c>
      <c r="C7" s="212">
        <f>ROUND(C6*F7,0)</f>
        <v>12214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38075</v>
      </c>
      <c r="D8" s="214"/>
      <c r="E8" s="212"/>
      <c r="F8" s="213"/>
      <c r="G8" s="1714" t="s">
        <v>3550</v>
      </c>
    </row>
    <row r="9" spans="1:8" s="206" customFormat="1" ht="13.5" customHeight="1">
      <c r="A9" s="733" t="s">
        <v>355</v>
      </c>
      <c r="B9" s="216" t="s">
        <v>1476</v>
      </c>
      <c r="C9" s="217">
        <f ca="1">ROUND(D9*E9,0)</f>
        <v>38075</v>
      </c>
      <c r="D9" s="795">
        <f ca="1">IF(B1="",'数据-汇总表'!E5,IF(INDIRECT("'数据-取费表'!c"&amp;$G$1)="住宅",INDIRECT("'数据-取费表'!k"&amp;$G$1),0))</f>
        <v>266.26</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266.26</v>
      </c>
      <c r="E19" s="203">
        <f>'数据-取费表'!B31</f>
        <v>280</v>
      </c>
      <c r="F19" s="223"/>
      <c r="G19" s="1714" t="s">
        <v>3551</v>
      </c>
    </row>
    <row r="20" spans="1:7" s="206" customFormat="1" ht="13.5" customHeight="1">
      <c r="A20" s="247" t="s">
        <v>1491</v>
      </c>
      <c r="B20" s="202" t="s">
        <v>1492</v>
      </c>
      <c r="C20" s="224">
        <f ca="1">ROUND((C5+C19)*F20,0)</f>
        <v>4507</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13590</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13522</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81945</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81945</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603072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918065</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772154</v>
      </c>
      <c r="D34" s="209"/>
      <c r="E34" s="212"/>
      <c r="F34" s="249"/>
      <c r="G34" s="211"/>
    </row>
    <row r="35" spans="1:7" ht="13.5" customHeight="1">
      <c r="A35" s="734" t="s">
        <v>351</v>
      </c>
      <c r="B35" s="207" t="s">
        <v>1525</v>
      </c>
      <c r="C35" s="212">
        <f ca="1">ROUND(C34*F35,0)</f>
        <v>38608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38608</v>
      </c>
      <c r="D36" s="212"/>
      <c r="E36" s="212"/>
      <c r="F36" s="251">
        <f>'数据-取费表'!B34</f>
        <v>0.05</v>
      </c>
      <c r="G36" s="252" t="s">
        <v>1528</v>
      </c>
    </row>
    <row r="37" spans="1:7" s="250" customFormat="1" ht="13.5" customHeight="1">
      <c r="A37" s="734" t="s">
        <v>353</v>
      </c>
      <c r="B37" s="207" t="s">
        <v>1529</v>
      </c>
      <c r="C37" s="241">
        <f ca="1">ROUND(E37*D37,0)</f>
        <v>53252</v>
      </c>
      <c r="D37" s="209">
        <f ca="1">D19</f>
        <v>266.26</v>
      </c>
      <c r="E37" s="241">
        <f>'数据-取费表'!B35</f>
        <v>200</v>
      </c>
      <c r="F37" s="251"/>
      <c r="G37" s="253"/>
    </row>
    <row r="38" spans="1:7" ht="13.5" customHeight="1">
      <c r="A38" s="734" t="s">
        <v>354</v>
      </c>
      <c r="B38" s="207" t="s">
        <v>1531</v>
      </c>
      <c r="C38" s="212">
        <f ca="1">ROUND(C34*F38,0)</f>
        <v>15443</v>
      </c>
      <c r="D38" s="212"/>
      <c r="E38" s="212"/>
      <c r="F38" s="251">
        <f>'数据-取费表'!B36</f>
        <v>0.02</v>
      </c>
      <c r="G38" s="211" t="s">
        <v>1526</v>
      </c>
    </row>
    <row r="39" spans="1:7" s="206" customFormat="1" ht="13.5" customHeight="1">
      <c r="A39" s="247" t="s">
        <v>1489</v>
      </c>
      <c r="B39" s="202" t="s">
        <v>1492</v>
      </c>
      <c r="C39" s="224">
        <f ca="1">ROUND(C33*F20,0)</f>
        <v>9181</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13909</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13771</v>
      </c>
      <c r="D42" s="230"/>
      <c r="E42" s="230"/>
      <c r="F42" s="231"/>
      <c r="G42" s="3567" t="s">
        <v>1589</v>
      </c>
    </row>
    <row r="43" spans="1:7" ht="13.5" customHeight="1">
      <c r="A43" s="734" t="s">
        <v>347</v>
      </c>
      <c r="B43" s="207" t="s">
        <v>1504</v>
      </c>
      <c r="C43" s="230">
        <f ca="1">ROUND(IF('数据-取费表'!B22&lt;=1,C39*F22*'数据-取费表'!B20/2,C39*(POWER((1+F22),'数据-取费表'!B20/2)-1)),0)</f>
        <v>138</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166904</v>
      </c>
      <c r="D45" s="227">
        <f ca="1">C47</f>
        <v>5.0000000000000001E-3</v>
      </c>
      <c r="E45" s="228" t="s">
        <v>1537</v>
      </c>
      <c r="F45" s="238">
        <f ca="1">F27</f>
        <v>0.18</v>
      </c>
      <c r="G45" s="239" t="s">
        <v>1546</v>
      </c>
    </row>
    <row r="46" spans="1:7" s="206" customFormat="1" ht="13.5" customHeight="1">
      <c r="A46" s="734" t="s">
        <v>346</v>
      </c>
      <c r="B46" s="240" t="s">
        <v>1547</v>
      </c>
      <c r="C46" s="241">
        <f ca="1">ROUND((C33+C39)*F27,0)</f>
        <v>166904</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1213248</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1213248</v>
      </c>
      <c r="D51" s="224"/>
      <c r="E51" s="224"/>
      <c r="F51" s="256"/>
      <c r="G51" s="226" t="s">
        <v>1558</v>
      </c>
    </row>
    <row r="52" spans="1:7" s="200" customFormat="1" ht="16.5" thickBot="1">
      <c r="A52" s="257" t="s">
        <v>1559</v>
      </c>
      <c r="B52" s="258"/>
      <c r="C52" s="259">
        <f ca="1">C31+C51</f>
        <v>1816320</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28996</v>
      </c>
      <c r="C2" s="2" t="s">
        <v>106</v>
      </c>
      <c r="D2" s="191"/>
      <c r="E2" s="191"/>
      <c r="F2" s="191"/>
      <c r="G2" s="191"/>
    </row>
    <row r="3" spans="1:7" s="192" customFormat="1" ht="18" customHeight="1" thickBot="1">
      <c r="A3" s="195" t="s">
        <v>58</v>
      </c>
      <c r="B3" s="196">
        <f ca="1">ROUND(B2*10000/'数据-汇总表'!E3,0)</f>
        <v>629896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7</v>
      </c>
      <c r="D9" s="795">
        <f>'数据-汇总表'!E5</f>
        <v>460.33</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460.33</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4791</v>
      </c>
      <c r="D27" s="227">
        <f>C29</f>
        <v>6.4000000000000003E-3</v>
      </c>
      <c r="E27" s="228" t="s">
        <v>99</v>
      </c>
      <c r="F27" s="238">
        <f>'数据-取费表'!Q16</f>
        <v>0.23</v>
      </c>
      <c r="G27" s="239" t="s">
        <v>431</v>
      </c>
    </row>
    <row r="28" spans="1:7" s="206" customFormat="1" ht="13.5" customHeight="1">
      <c r="A28" s="734" t="s">
        <v>349</v>
      </c>
      <c r="B28" s="240" t="s">
        <v>424</v>
      </c>
      <c r="C28" s="241">
        <f>ROUND((C5+C19+C20)*F27*'数据-取费表'!B21/'数据-取费表'!B20,0)</f>
        <v>4791</v>
      </c>
      <c r="D28" s="227"/>
      <c r="E28" s="228"/>
      <c r="F28" s="238"/>
      <c r="G28" s="239"/>
    </row>
    <row r="29" spans="1:7" s="206" customFormat="1" ht="13.5" customHeight="1">
      <c r="A29" s="734" t="s">
        <v>347</v>
      </c>
      <c r="B29" s="240" t="s">
        <v>425</v>
      </c>
      <c r="C29" s="230">
        <f>ROUND(C21*F27*'数据-取费表'!B21/'数据-取费表'!B20,4)</f>
        <v>6.4000000000000003E-3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133</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v>
      </c>
      <c r="D36" s="212"/>
      <c r="E36" s="212"/>
      <c r="F36" s="251">
        <f>'数据-取费表'!B34</f>
        <v>0.05</v>
      </c>
      <c r="G36" s="252" t="s">
        <v>35</v>
      </c>
    </row>
    <row r="37" spans="1:7" s="250" customFormat="1" ht="13.5" customHeight="1">
      <c r="A37" s="734" t="s">
        <v>353</v>
      </c>
      <c r="B37" s="207" t="s">
        <v>91</v>
      </c>
      <c r="C37" s="241">
        <f>ROUND(E37*D37*F34/10000,0)</f>
        <v>9</v>
      </c>
      <c r="D37" s="209">
        <f>'数据-汇总表'!E3</f>
        <v>460.33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37</v>
      </c>
      <c r="D45" s="227">
        <f>C47</f>
        <v>6.4000000000000003E-3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6.4000000000000003E-3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219</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219</v>
      </c>
      <c r="D51" s="224"/>
      <c r="E51" s="224"/>
      <c r="F51" s="256"/>
      <c r="G51" s="226" t="s">
        <v>37</v>
      </c>
    </row>
    <row r="52" spans="1:7" s="200" customFormat="1" ht="16.5" thickBot="1">
      <c r="A52" s="257" t="s">
        <v>38</v>
      </c>
      <c r="B52" s="258"/>
      <c r="C52" s="259">
        <f ca="1">C31+C51</f>
        <v>28996</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460.33</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D2" activePane="bottomRight" state="frozen"/>
      <selection pane="topRight" activeCell="H1" sqref="H1"/>
      <selection pane="bottomLeft" activeCell="A2" sqref="A2"/>
      <selection pane="bottomRight" activeCell="A2" sqref="A2:XFD4"/>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ROUND(AF17*AG17,0)</f>
        <v>6890</v>
      </c>
      <c r="AJ17" s="3726">
        <f t="shared" ref="AJ17" ca="1" si="41">AC17-AI17</f>
        <v>15033</v>
      </c>
      <c r="AK17" s="3726">
        <f t="shared" ca="1" si="12"/>
        <v>3547788</v>
      </c>
      <c r="AL17" s="3729">
        <f t="shared" ref="AL17" ca="1" si="42">ROUND(AK17/AA17/10000,4)</f>
        <v>0.2296</v>
      </c>
      <c r="AN17" s="3726">
        <v>3514984</v>
      </c>
      <c r="AO17" s="3726">
        <f t="shared" ref="AO17" ca="1" si="43">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ROUND(AF20*AG20,0)</f>
        <v>6890</v>
      </c>
      <c r="AJ20" s="3726">
        <f t="shared" ref="AJ20" ca="1" si="48">AC20-AI20</f>
        <v>10905</v>
      </c>
      <c r="AK20" s="3726">
        <f t="shared" ca="1" si="12"/>
        <v>2763327</v>
      </c>
      <c r="AL20" s="3729">
        <f t="shared" ref="AL20" ca="1" si="49">ROUND(AK20/AA20/10000,4)</f>
        <v>0.215</v>
      </c>
      <c r="AN20" s="3726">
        <v>2728104.4</v>
      </c>
      <c r="AO20" s="3726">
        <f t="shared" ref="AO20" ca="1" si="50">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ROUND(AF23*AG23,0)</f>
        <v>6890</v>
      </c>
      <c r="AJ23" s="3726">
        <f t="shared" ref="AJ23" ca="1" si="56">AC23-AI23</f>
        <v>10464</v>
      </c>
      <c r="AK23" s="3726">
        <f t="shared" ca="1" si="12"/>
        <v>2651577.6</v>
      </c>
      <c r="AL23" s="3729">
        <f t="shared" ref="AL23" ca="1" si="57">ROUND(AK23/AA23/10000,4)</f>
        <v>0.21160000000000001</v>
      </c>
      <c r="AN23" s="3726">
        <v>2616355</v>
      </c>
      <c r="AO23" s="3726">
        <f t="shared" ref="AO23" ca="1" si="58">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ROUND(AF26*AG26,0)</f>
        <v>6890</v>
      </c>
      <c r="AJ26" s="3726">
        <f t="shared" ref="AJ26" ca="1" si="63">AC26-AI26</f>
        <v>13475</v>
      </c>
      <c r="AK26" s="3726">
        <f ca="1">AJ26*G26</f>
        <v>3414565</v>
      </c>
      <c r="AL26" s="3729">
        <f t="shared" ref="AL26" ca="1" si="64">ROUND(AK26/AA26/10000,4)</f>
        <v>0.23219999999999999</v>
      </c>
      <c r="AN26" s="3726">
        <v>3379342.4</v>
      </c>
      <c r="AO26" s="3726">
        <f t="shared" ref="AO26" ca="1" si="65">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ROUND(AF29*AG29,0)</f>
        <v>6890</v>
      </c>
      <c r="AJ29" s="3726">
        <f t="shared" ref="AJ29" ca="1" si="70">AC29-AI29</f>
        <v>14171</v>
      </c>
      <c r="AK29" s="3726">
        <f t="shared" ca="1" si="12"/>
        <v>3590931.4</v>
      </c>
      <c r="AL29" s="3729">
        <f t="shared" ref="AL29" ca="1" si="71">ROUND(AK29/AA29/10000,4)</f>
        <v>0.2361</v>
      </c>
      <c r="AN29" s="3726">
        <v>3555708.8000000003</v>
      </c>
      <c r="AO29" s="3726">
        <f t="shared" ref="AO29" ca="1" si="72">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ROUND(AF32*AG32,0)</f>
        <v>6890</v>
      </c>
      <c r="AJ32" s="3726">
        <f t="shared" ref="AJ32" ca="1" si="77">AC32-AI32</f>
        <v>12187</v>
      </c>
      <c r="AK32" s="3726">
        <f t="shared" ca="1" si="12"/>
        <v>3088185.8000000003</v>
      </c>
      <c r="AL32" s="3729">
        <f t="shared" ref="AL32" ca="1" si="78">ROUND(AK32/AA32/10000,4)</f>
        <v>0.22420000000000001</v>
      </c>
      <c r="AN32" s="3726">
        <v>3052963.2</v>
      </c>
      <c r="AO32" s="3726">
        <f t="shared" ref="AO32" ca="1" si="79">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ROUND(AF35*AG35,0)</f>
        <v>6890</v>
      </c>
      <c r="AJ35" s="3726">
        <f t="shared" ref="AJ35" ca="1" si="85">AC35-AI35</f>
        <v>10556</v>
      </c>
      <c r="AK35" s="3726">
        <f t="shared" ca="1" si="12"/>
        <v>2692941.16</v>
      </c>
      <c r="AL35" s="3729">
        <f t="shared" ref="AL35" ca="1" si="86">ROUND(AK35/AA35/10000,4)</f>
        <v>0.2132</v>
      </c>
      <c r="AN35" s="3726">
        <v>2657480.87</v>
      </c>
      <c r="AO35" s="3726">
        <f t="shared" ref="AO35" ca="1" si="87">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ca="1">ROUND(AF38*AG38*AH38,0)</f>
        <v>7028</v>
      </c>
      <c r="AJ38" s="3726">
        <f t="shared" ref="AJ38" ca="1" si="91">AC38-AI38</f>
        <v>10158</v>
      </c>
      <c r="AK38" s="3726">
        <f t="shared" ca="1" si="12"/>
        <v>2704669.08</v>
      </c>
      <c r="AL38" s="3729">
        <f t="shared" ref="AL38" ca="1" si="92">ROUND(AK38/AA38/10000,4)</f>
        <v>0.21410000000000001</v>
      </c>
      <c r="AN38" s="3726">
        <v>2704402.82</v>
      </c>
      <c r="AO38" s="3726">
        <f t="shared" ref="AO38" ca="1" si="93">AK38-AN38</f>
        <v>266.26000000024214</v>
      </c>
    </row>
    <row r="39" spans="1:4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M39">
        <f ca="1">ROUND(AK38/10000,1)</f>
        <v>270.5</v>
      </c>
      <c r="AN39" s="3727"/>
      <c r="AO39" s="3727"/>
    </row>
    <row r="40" spans="1:4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4">ROUND((X41*G41+X42*G42+X43*G43)/Z41,4)</f>
        <v>0.64770000000000005</v>
      </c>
      <c r="Z41" s="3726">
        <f t="shared" si="30"/>
        <v>557.32000000000005</v>
      </c>
      <c r="AA41" s="3726">
        <f>房源表及成交价!R15</f>
        <v>1812.1902</v>
      </c>
      <c r="AB41" s="3726">
        <f t="shared" ref="AB41" si="95">ROUND(AA41/Z41*10000,0)</f>
        <v>32516</v>
      </c>
      <c r="AC41" s="3282">
        <f>ROUND(AC42*X41,0)</f>
        <v>17535</v>
      </c>
      <c r="AD41" s="3279">
        <f t="shared" si="7"/>
        <v>545.76</v>
      </c>
      <c r="AE41" s="3726">
        <v>1</v>
      </c>
      <c r="AF41" s="3726">
        <f ca="1">VLOOKUP(AE41,标定地价!$O$16:$R$19,4,0)</f>
        <v>6822</v>
      </c>
      <c r="AG41" s="3726">
        <f t="shared" ref="AG41" si="96">$AG$2</f>
        <v>1.01</v>
      </c>
      <c r="AH41" s="3726">
        <v>1.02</v>
      </c>
      <c r="AI41" s="3726">
        <f t="shared" ref="AI41" ca="1" si="97">ROUND(AF41*AG41,0)</f>
        <v>6890</v>
      </c>
      <c r="AJ41" s="3726">
        <f t="shared" ref="AJ41" ca="1" si="98">AC41-AI41</f>
        <v>10645</v>
      </c>
      <c r="AK41" s="3726">
        <f t="shared" ca="1" si="12"/>
        <v>3313149.8000000003</v>
      </c>
      <c r="AL41" s="3729">
        <f t="shared" ref="AL41" ca="1" si="99">ROUND(AK41/AA41/10000,4)</f>
        <v>0.18279999999999999</v>
      </c>
      <c r="AN41" s="3726">
        <v>3269887.44</v>
      </c>
      <c r="AO41" s="3726">
        <f t="shared" ref="AO41" ca="1" si="100">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1">ROUND((X44*G44+X45*G45+X46*G46)/Z44,4)</f>
        <v>0.68100000000000005</v>
      </c>
      <c r="Z44" s="3726">
        <f t="shared" si="30"/>
        <v>687.33999999999992</v>
      </c>
      <c r="AA44" s="3726">
        <f>房源表及成交价!R16</f>
        <v>2784.9094</v>
      </c>
      <c r="AB44" s="3726">
        <f t="shared" ref="AB44" si="102">ROUND(AA44/Z44*10000,0)</f>
        <v>40517</v>
      </c>
      <c r="AC44" s="3281">
        <f>ROUND(AC45*X44,0)</f>
        <v>20782</v>
      </c>
      <c r="AD44" s="3286">
        <f t="shared" si="7"/>
        <v>733.81</v>
      </c>
      <c r="AE44" s="3726">
        <v>1</v>
      </c>
      <c r="AF44" s="3726">
        <f ca="1">VLOOKUP(AE44,标定地价!$O$16:$R$19,4,0)</f>
        <v>6822</v>
      </c>
      <c r="AG44" s="3726">
        <f t="shared" ref="AG44" si="103">$AG$2</f>
        <v>1.01</v>
      </c>
      <c r="AH44" s="3726">
        <v>1.02</v>
      </c>
      <c r="AI44" s="3726">
        <f t="shared" ref="AI44" ca="1" si="104">ROUND(AF44*AG44,0)</f>
        <v>6890</v>
      </c>
      <c r="AJ44" s="3726">
        <f t="shared" ref="AJ44" ca="1" si="105">AC44-AI44</f>
        <v>13892</v>
      </c>
      <c r="AK44" s="3726">
        <f t="shared" ca="1" si="12"/>
        <v>4905265.2</v>
      </c>
      <c r="AL44" s="3729">
        <f t="shared" ref="AL44" ca="1" si="106">ROUND(AK44/AA44/10000,4)</f>
        <v>0.17610000000000001</v>
      </c>
      <c r="AN44" s="3726">
        <v>4856184.3000000007</v>
      </c>
      <c r="AO44" s="3726">
        <f t="shared" ref="AO44" ca="1" si="107">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8">ROUND((X47*G47+X48*G48+X49*G49)/Z47,4)</f>
        <v>0.63959999999999995</v>
      </c>
      <c r="Z47" s="3726">
        <f t="shared" si="30"/>
        <v>785.45</v>
      </c>
      <c r="AA47" s="3726">
        <f>房源表及成交价!R17</f>
        <v>2624.7078000000001</v>
      </c>
      <c r="AB47" s="3726">
        <f t="shared" ref="AB47" si="109">ROUND(AA47/Z47*10000,0)</f>
        <v>33417</v>
      </c>
      <c r="AC47" s="3282">
        <f>ROUND(AC48*X47,0)</f>
        <v>18251</v>
      </c>
      <c r="AD47" s="3279">
        <f t="shared" si="7"/>
        <v>823.5</v>
      </c>
      <c r="AE47" s="3726">
        <v>1</v>
      </c>
      <c r="AF47" s="3726">
        <f ca="1">VLOOKUP(AE47,标定地价!$O$16:$R$19,4,0)</f>
        <v>6822</v>
      </c>
      <c r="AG47" s="3726">
        <f t="shared" ref="AG47" si="110">$AG$2</f>
        <v>1.01</v>
      </c>
      <c r="AH47" s="3726">
        <v>1.02</v>
      </c>
      <c r="AI47" s="3726">
        <f t="shared" ref="AI47" ca="1" si="111">ROUND(AF47*AG47,0)</f>
        <v>6890</v>
      </c>
      <c r="AJ47" s="3726">
        <f t="shared" ref="AJ47" ca="1" si="112">AC47-AI47</f>
        <v>11361</v>
      </c>
      <c r="AK47" s="3726">
        <f t="shared" ca="1" si="12"/>
        <v>5126196.8099999996</v>
      </c>
      <c r="AL47" s="3729">
        <f t="shared" ref="AL47" ca="1" si="113">ROUND(AK47/AA47/10000,4)</f>
        <v>0.1953</v>
      </c>
      <c r="AN47" s="3726">
        <v>5063478.62</v>
      </c>
      <c r="AO47" s="3726">
        <f t="shared" ref="AO47" ca="1" si="114">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7" t="s">
        <v>1589</v>
      </c>
    </row>
    <row r="43" spans="1:7" ht="13.5" customHeight="1">
      <c r="A43" s="734" t="s">
        <v>347</v>
      </c>
      <c r="B43" s="207" t="s">
        <v>1543</v>
      </c>
      <c r="C43" s="230">
        <f ca="1">ROUND(IF('数据-取费表'!B22&lt;=1,C39*F22*'数据-取费表'!B20/2,C39*(POWER((1+F22),'数据-取费表'!B20/2)-1)),0)</f>
        <v>100</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270.46690799999999</v>
      </c>
      <c r="S16" s="3338">
        <f t="shared" ca="1" si="4"/>
        <v>0.21410849828961395</v>
      </c>
      <c r="T16" s="3243">
        <f t="shared" ca="1" si="5"/>
        <v>1.0158</v>
      </c>
      <c r="U16" s="3243">
        <f t="shared" ca="1" si="6"/>
        <v>0.58755003584385113</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2025-12-22T06:05:02Z</dcterms:modified>
</cp:coreProperties>
</file>