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19425" windowHeight="1021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清单" sheetId="83" r:id="rId10"/>
    <sheet name="定义" sheetId="10" r:id="rId11"/>
    <sheet name="常用公式" sheetId="78" r:id="rId12"/>
    <sheet name="项目基本情况" sheetId="4" r:id="rId13"/>
    <sheet name="数据-基础表" sheetId="3" r:id="rId14"/>
    <sheet name="Sheet1" sheetId="82" r:id="rId15"/>
    <sheet name="明细表" sheetId="80" r:id="rId16"/>
    <sheet name="数据-汇总表" sheetId="6" r:id="rId17"/>
    <sheet name="数据-取费表" sheetId="1" r:id="rId18"/>
    <sheet name="估价对象房地状况" sheetId="20" r:id="rId19"/>
    <sheet name="系统读取表" sheetId="74" r:id="rId20"/>
    <sheet name="结果表" sheetId="9" state="hidden" r:id="rId21"/>
    <sheet name="成本法" sheetId="68" state="hidden"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r:id="rId31"/>
    <sheet name="典型户型修正" sheetId="31" r:id="rId32"/>
    <sheet name="比较法-工业" sheetId="37" state="hidden" r:id="rId33"/>
    <sheet name="典型户型修正办" sheetId="81" state="hidden" r:id="rId34"/>
    <sheet name="比较法-仓储" sheetId="36" r:id="rId35"/>
    <sheet name="比较法-车位" sheetId="35"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4" hidden="1">'比较法-仓储'!$A$1:$L$37</definedName>
    <definedName name="_xlnm._FilterDatabase" localSheetId="35"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9">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33">典型户型修正办!$5:$5</definedName>
    <definedName name="一修多修正项2">典型户型修正!$5:$5</definedName>
    <definedName name="一修多修正项3" localSheetId="33">典型户型修正办!$7:$7</definedName>
    <definedName name="一修多修正项3">典型户型修正!$7:$7</definedName>
    <definedName name="一修多修正项4" localSheetId="33">典型户型修正办!$9:$9</definedName>
    <definedName name="一修多修正项4">典型户型修正!$9:$9</definedName>
    <definedName name="一修多修正项5" localSheetId="33">典型户型修正办!$11:$11</definedName>
    <definedName name="一修多修正项5">典型户型修正!$11:$11</definedName>
    <definedName name="一修多修正项6" localSheetId="33">典型户型修正办!$13:$13</definedName>
    <definedName name="一修多修正项6">典型户型修正!$13:$13</definedName>
    <definedName name="一修多修正项7" localSheetId="33">典型户型修正办!$15:$15</definedName>
    <definedName name="一修多修正项7">典型户型修正!$15:$15</definedName>
    <definedName name="一修多修正项8" localSheetId="33">典型户型修正办!$17:$17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3" i="83" l="1"/>
  <c r="K3" i="83"/>
  <c r="J4" i="83"/>
  <c r="K4" i="83"/>
  <c r="J5" i="83"/>
  <c r="K5" i="83"/>
  <c r="J6" i="83"/>
  <c r="K6" i="83"/>
  <c r="J7" i="83"/>
  <c r="K7" i="83"/>
  <c r="K2" i="83"/>
  <c r="J2" i="83"/>
  <c r="I7" i="83"/>
  <c r="I6" i="83"/>
  <c r="I5" i="83"/>
  <c r="I4" i="83"/>
  <c r="I3" i="83"/>
  <c r="I2" i="83"/>
  <c r="C4" i="83" l="1"/>
  <c r="E33" i="83" l="1"/>
  <c r="I33" i="83" s="1"/>
  <c r="I32" i="83"/>
  <c r="E68" i="83"/>
  <c r="E67" i="83"/>
  <c r="E66" i="83"/>
  <c r="E65" i="83"/>
  <c r="E64" i="83"/>
  <c r="E56" i="83"/>
  <c r="E55" i="83"/>
  <c r="E44" i="83"/>
  <c r="E53" i="83" s="1"/>
  <c r="E5" i="83" s="1"/>
  <c r="E24" i="83"/>
  <c r="E23" i="83"/>
  <c r="E14" i="83"/>
  <c r="E13" i="83"/>
  <c r="H96" i="83"/>
  <c r="G96" i="83"/>
  <c r="F96" i="83"/>
  <c r="E96" i="83"/>
  <c r="D96" i="83"/>
  <c r="C96" i="83"/>
  <c r="E87" i="83"/>
  <c r="E86" i="83" s="1"/>
  <c r="E88" i="83" s="1"/>
  <c r="E81" i="83"/>
  <c r="E80" i="83" s="1"/>
  <c r="E83" i="83" s="1"/>
  <c r="H71" i="83"/>
  <c r="H70" i="83"/>
  <c r="H69" i="83"/>
  <c r="H68" i="83"/>
  <c r="H67" i="83"/>
  <c r="H65" i="83"/>
  <c r="H62" i="83"/>
  <c r="H61" i="83"/>
  <c r="H60" i="83"/>
  <c r="H59" i="83"/>
  <c r="H58" i="83"/>
  <c r="H57" i="83"/>
  <c r="H56" i="83"/>
  <c r="H52" i="83"/>
  <c r="H51" i="83"/>
  <c r="H50" i="83"/>
  <c r="H49" i="83"/>
  <c r="H48" i="83"/>
  <c r="H47" i="83"/>
  <c r="H46" i="83"/>
  <c r="H45" i="83"/>
  <c r="H41" i="83"/>
  <c r="H40" i="83"/>
  <c r="H39" i="83"/>
  <c r="H38" i="83"/>
  <c r="H37" i="83"/>
  <c r="H36" i="83"/>
  <c r="H35" i="83"/>
  <c r="H34" i="83"/>
  <c r="H30" i="83"/>
  <c r="H29" i="83"/>
  <c r="H28" i="83"/>
  <c r="H27" i="83"/>
  <c r="H26" i="83"/>
  <c r="H25" i="83"/>
  <c r="H24" i="83"/>
  <c r="H16" i="83"/>
  <c r="H17" i="83" s="1"/>
  <c r="H18" i="83" s="1"/>
  <c r="H19" i="83" s="1"/>
  <c r="H20" i="83" s="1"/>
  <c r="H15" i="83"/>
  <c r="H14" i="83"/>
  <c r="H12" i="83"/>
  <c r="H22" i="83" s="1"/>
  <c r="H43" i="83" s="1"/>
  <c r="H64" i="83" s="1"/>
  <c r="H66" i="83" s="1"/>
  <c r="I53" i="83" l="1"/>
  <c r="E42" i="83"/>
  <c r="E89" i="83"/>
  <c r="E21" i="83"/>
  <c r="E31" i="83"/>
  <c r="F97" i="83"/>
  <c r="E63" i="83"/>
  <c r="C97" i="83"/>
  <c r="C98" i="83" s="1"/>
  <c r="E73" i="83"/>
  <c r="H13" i="83"/>
  <c r="H23" i="83" s="1"/>
  <c r="H44" i="83" s="1"/>
  <c r="H53" i="83" s="1"/>
  <c r="H32" i="83"/>
  <c r="H54" i="83" s="1"/>
  <c r="H33" i="83"/>
  <c r="H55" i="83" s="1"/>
  <c r="L27" i="82"/>
  <c r="L21" i="82"/>
  <c r="L17" i="82"/>
  <c r="L14" i="82"/>
  <c r="L11" i="82"/>
  <c r="L7" i="82"/>
  <c r="L3" i="82"/>
  <c r="K24" i="82"/>
  <c r="B30" i="31"/>
  <c r="T30" i="31"/>
  <c r="K4" i="82"/>
  <c r="F22" i="82"/>
  <c r="F23" i="82"/>
  <c r="E7" i="83" l="1"/>
  <c r="I73" i="83"/>
  <c r="E6" i="83"/>
  <c r="I63" i="83"/>
  <c r="E3" i="83"/>
  <c r="I31" i="83"/>
  <c r="E2" i="83"/>
  <c r="I21" i="83"/>
  <c r="I42" i="83"/>
  <c r="E4" i="83"/>
  <c r="H73" i="83"/>
  <c r="E74" i="83"/>
  <c r="H63" i="83"/>
  <c r="H31" i="83"/>
  <c r="H21" i="83"/>
  <c r="H42" i="83"/>
  <c r="E105" i="34"/>
  <c r="D105" i="34"/>
  <c r="E8" i="83" l="1"/>
  <c r="H74" i="83"/>
  <c r="E3" i="31"/>
  <c r="D3" i="31"/>
  <c r="D4" i="31"/>
  <c r="C4" i="31"/>
  <c r="C3" i="31"/>
  <c r="T5" i="31"/>
  <c r="E4" i="31" l="1"/>
  <c r="K10" i="82"/>
  <c r="K13" i="82" s="1"/>
  <c r="K16" i="82" s="1"/>
  <c r="K20" i="82" s="1"/>
  <c r="E88" i="36" l="1"/>
  <c r="F88" i="36" s="1"/>
  <c r="G88" i="36" s="1"/>
  <c r="H88" i="36" s="1"/>
  <c r="D88" i="36"/>
  <c r="B29" i="31"/>
  <c r="T29" i="31"/>
  <c r="T28" i="31"/>
  <c r="T27" i="31"/>
  <c r="T26" i="31"/>
  <c r="T25" i="31"/>
  <c r="F20" i="82"/>
  <c r="F19" i="82"/>
  <c r="F18" i="82"/>
  <c r="F17" i="82"/>
  <c r="B28" i="31" s="1"/>
  <c r="F16" i="82"/>
  <c r="F15" i="82"/>
  <c r="F14" i="82"/>
  <c r="B27" i="31" s="1"/>
  <c r="F13" i="82"/>
  <c r="F12" i="82"/>
  <c r="F11" i="82"/>
  <c r="B26" i="31" s="1"/>
  <c r="F10" i="82"/>
  <c r="F9" i="82"/>
  <c r="F8" i="82"/>
  <c r="F7" i="82"/>
  <c r="B25" i="31" s="1"/>
  <c r="F6" i="82"/>
  <c r="F5" i="82"/>
  <c r="F4" i="82"/>
  <c r="F3" i="82"/>
  <c r="C34" i="34" s="1"/>
  <c r="G26" i="82"/>
  <c r="B24" i="31" l="1"/>
  <c r="G21" i="82"/>
  <c r="J22" i="82" s="1"/>
  <c r="G17" i="82"/>
  <c r="J18" i="82" s="1"/>
  <c r="G14" i="82"/>
  <c r="J15" i="82" s="1"/>
  <c r="G11" i="82"/>
  <c r="J12" i="82" s="1"/>
  <c r="G7" i="82"/>
  <c r="J8" i="82" s="1"/>
  <c r="G3" i="82"/>
  <c r="F27" i="82"/>
  <c r="D92" i="35"/>
  <c r="E92" i="35" s="1"/>
  <c r="F92" i="35" s="1"/>
  <c r="G92" i="35" s="1"/>
  <c r="H92" i="35" s="1"/>
  <c r="I92" i="35" s="1"/>
  <c r="G29" i="35"/>
  <c r="I29" i="35"/>
  <c r="E29" i="35"/>
  <c r="K14" i="35"/>
  <c r="J4" i="82" l="1"/>
  <c r="G27" i="82"/>
  <c r="I101" i="80"/>
  <c r="H101" i="80"/>
  <c r="G101" i="80"/>
  <c r="G102" i="80" s="1"/>
  <c r="F101" i="80"/>
  <c r="E101" i="80"/>
  <c r="D101" i="80"/>
  <c r="D102" i="80" s="1"/>
  <c r="F71" i="80"/>
  <c r="F70" i="80" s="1"/>
  <c r="D103" i="80" l="1"/>
  <c r="I27" i="36" l="1"/>
  <c r="G27" i="36"/>
  <c r="E27" i="36"/>
  <c r="I36" i="33"/>
  <c r="G36" i="33"/>
  <c r="E36" i="33"/>
  <c r="C30" i="36"/>
  <c r="K20" i="36"/>
  <c r="K20" i="35" s="1"/>
  <c r="K18" i="36"/>
  <c r="K16" i="36"/>
  <c r="K16" i="35" s="1"/>
  <c r="K14" i="36"/>
  <c r="D89" i="33" l="1"/>
  <c r="E89" i="33" s="1"/>
  <c r="F89" i="33" s="1"/>
  <c r="M44" i="31"/>
  <c r="O44" i="31"/>
  <c r="A26" i="31"/>
  <c r="A27" i="31"/>
  <c r="A28" i="31"/>
  <c r="A29" i="31"/>
  <c r="A26" i="81"/>
  <c r="B26" i="81"/>
  <c r="A27" i="81"/>
  <c r="B27" i="81"/>
  <c r="B25" i="81"/>
  <c r="A24" i="81"/>
  <c r="A25" i="81"/>
  <c r="B24" i="8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R222" i="81"/>
  <c r="S222" i="81" s="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R206" i="81"/>
  <c r="S206" i="81" s="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R190" i="81"/>
  <c r="S190" i="81" s="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R172" i="81"/>
  <c r="S172" i="81" s="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R156" i="81"/>
  <c r="S156" i="81" s="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R140" i="81"/>
  <c r="S140" i="81" s="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R124" i="81"/>
  <c r="S124" i="81" s="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R108" i="81"/>
  <c r="S108" i="81" s="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R92" i="81"/>
  <c r="S92" i="81" s="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R76" i="81"/>
  <c r="S76" i="81" s="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R60" i="81"/>
  <c r="S60" i="81" s="1"/>
  <c r="Q60" i="81"/>
  <c r="O60" i="81"/>
  <c r="M60" i="81"/>
  <c r="K60" i="81"/>
  <c r="I60" i="81"/>
  <c r="G60" i="81"/>
  <c r="C60" i="81"/>
  <c r="R59" i="81"/>
  <c r="S59" i="81" s="1"/>
  <c r="Q59" i="81"/>
  <c r="O59" i="81"/>
  <c r="M59" i="81"/>
  <c r="K59" i="81"/>
  <c r="I59" i="81"/>
  <c r="G59" i="81"/>
  <c r="C59" i="81"/>
  <c r="R58" i="81"/>
  <c r="S58" i="81" s="1"/>
  <c r="Q58" i="81"/>
  <c r="O58" i="81"/>
  <c r="M58" i="81"/>
  <c r="K58" i="81"/>
  <c r="I58" i="81"/>
  <c r="G58" i="81"/>
  <c r="C58" i="81"/>
  <c r="R57" i="81"/>
  <c r="S57" i="81" s="1"/>
  <c r="Q57" i="81"/>
  <c r="O57" i="81"/>
  <c r="M57" i="81"/>
  <c r="K57" i="81"/>
  <c r="I57" i="81"/>
  <c r="G57" i="81"/>
  <c r="C57" i="81"/>
  <c r="R56" i="81"/>
  <c r="S56" i="81" s="1"/>
  <c r="Q56" i="81"/>
  <c r="O56" i="81"/>
  <c r="M56" i="81"/>
  <c r="K56" i="81"/>
  <c r="I56" i="81"/>
  <c r="G56" i="81"/>
  <c r="C56" i="81"/>
  <c r="R55" i="81"/>
  <c r="S55" i="81" s="1"/>
  <c r="Q55" i="81"/>
  <c r="O55" i="81"/>
  <c r="M55" i="81"/>
  <c r="K55" i="81"/>
  <c r="I55" i="81"/>
  <c r="G55" i="81"/>
  <c r="C55" i="81"/>
  <c r="R54" i="81"/>
  <c r="S54" i="81" s="1"/>
  <c r="Q54" i="81"/>
  <c r="O54" i="81"/>
  <c r="M54" i="81"/>
  <c r="K54" i="81"/>
  <c r="I54" i="81"/>
  <c r="G54" i="81"/>
  <c r="C54" i="81"/>
  <c r="R53" i="81"/>
  <c r="S53" i="81" s="1"/>
  <c r="Q53" i="81"/>
  <c r="O53" i="81"/>
  <c r="M53" i="81"/>
  <c r="K53" i="81"/>
  <c r="I53" i="81"/>
  <c r="G53" i="81"/>
  <c r="C53" i="81"/>
  <c r="R52" i="81"/>
  <c r="S52" i="81" s="1"/>
  <c r="Q52" i="81"/>
  <c r="O52" i="81"/>
  <c r="M52" i="81"/>
  <c r="K52" i="81"/>
  <c r="I52" i="81"/>
  <c r="G52" i="81"/>
  <c r="C52" i="81"/>
  <c r="R51" i="81"/>
  <c r="S51" i="81" s="1"/>
  <c r="Q51" i="81"/>
  <c r="O51" i="81"/>
  <c r="M51" i="81"/>
  <c r="K51" i="81"/>
  <c r="I51" i="81"/>
  <c r="G51" i="81"/>
  <c r="C51" i="81"/>
  <c r="R50" i="81"/>
  <c r="S50" i="81" s="1"/>
  <c r="Q50" i="81"/>
  <c r="O50" i="81"/>
  <c r="M50" i="81"/>
  <c r="K50" i="81"/>
  <c r="I50" i="81"/>
  <c r="G50" i="81"/>
  <c r="C50" i="81"/>
  <c r="R49" i="81"/>
  <c r="S49" i="81" s="1"/>
  <c r="Q49" i="81"/>
  <c r="O49" i="81"/>
  <c r="M49" i="81"/>
  <c r="K49" i="81"/>
  <c r="I49" i="81"/>
  <c r="G49" i="81"/>
  <c r="C49" i="81"/>
  <c r="R48" i="81"/>
  <c r="S48" i="81" s="1"/>
  <c r="Q48" i="81"/>
  <c r="O48" i="81"/>
  <c r="M48" i="81"/>
  <c r="K48" i="81"/>
  <c r="I48" i="81"/>
  <c r="G48" i="81"/>
  <c r="C48" i="81"/>
  <c r="R47" i="81"/>
  <c r="S47" i="81" s="1"/>
  <c r="Q47" i="81"/>
  <c r="O47" i="81"/>
  <c r="M47" i="81"/>
  <c r="K47" i="81"/>
  <c r="I47" i="81"/>
  <c r="G47" i="81"/>
  <c r="C47" i="81"/>
  <c r="R46" i="81"/>
  <c r="S46" i="81" s="1"/>
  <c r="Q46" i="81"/>
  <c r="O46" i="81"/>
  <c r="M46" i="81"/>
  <c r="K46" i="81"/>
  <c r="I46" i="81"/>
  <c r="G46" i="81"/>
  <c r="C46" i="81"/>
  <c r="R45" i="81"/>
  <c r="S45" i="81" s="1"/>
  <c r="Q45" i="81"/>
  <c r="O45" i="81"/>
  <c r="M45" i="81"/>
  <c r="K45" i="81"/>
  <c r="I45" i="81"/>
  <c r="G45" i="81"/>
  <c r="C45" i="81"/>
  <c r="R44" i="81"/>
  <c r="S44" i="81" s="1"/>
  <c r="Q44" i="81"/>
  <c r="O44" i="81"/>
  <c r="M44" i="81"/>
  <c r="K44" i="81"/>
  <c r="I44" i="81"/>
  <c r="G44" i="81"/>
  <c r="C44" i="81"/>
  <c r="R43" i="81"/>
  <c r="S43" i="81" s="1"/>
  <c r="Q43" i="81"/>
  <c r="O43" i="81"/>
  <c r="M43" i="81"/>
  <c r="K43" i="81"/>
  <c r="I43" i="81"/>
  <c r="G43" i="81"/>
  <c r="C43" i="81"/>
  <c r="R42" i="81"/>
  <c r="S42" i="81" s="1"/>
  <c r="Q42" i="81"/>
  <c r="O42" i="81"/>
  <c r="M42" i="81"/>
  <c r="K42" i="81"/>
  <c r="I42" i="81"/>
  <c r="G42" i="81"/>
  <c r="C42" i="81"/>
  <c r="R41" i="81"/>
  <c r="S41" i="81" s="1"/>
  <c r="Q41" i="81"/>
  <c r="O41" i="81"/>
  <c r="M41" i="81"/>
  <c r="K41" i="81"/>
  <c r="I41" i="81"/>
  <c r="G41" i="81"/>
  <c r="C41" i="81"/>
  <c r="R40" i="81"/>
  <c r="S40" i="81" s="1"/>
  <c r="Q40" i="81"/>
  <c r="O40" i="81"/>
  <c r="M40" i="81"/>
  <c r="K40" i="81"/>
  <c r="I40" i="81"/>
  <c r="G40" i="81"/>
  <c r="C40" i="81"/>
  <c r="R39" i="81"/>
  <c r="S39" i="81" s="1"/>
  <c r="Q39" i="81"/>
  <c r="O39" i="81"/>
  <c r="M39" i="81"/>
  <c r="K39" i="81"/>
  <c r="I39" i="81"/>
  <c r="G39" i="81"/>
  <c r="C39" i="81"/>
  <c r="R38" i="81"/>
  <c r="S38" i="81" s="1"/>
  <c r="Q38" i="81"/>
  <c r="O38" i="81"/>
  <c r="M38" i="81"/>
  <c r="K38" i="81"/>
  <c r="I38" i="81"/>
  <c r="G38" i="81"/>
  <c r="C38" i="81"/>
  <c r="R37" i="81"/>
  <c r="S37" i="81" s="1"/>
  <c r="Q37" i="81"/>
  <c r="O37" i="81"/>
  <c r="M37" i="81"/>
  <c r="K37" i="81"/>
  <c r="I37" i="81"/>
  <c r="G37" i="81"/>
  <c r="C37" i="81"/>
  <c r="R36" i="81"/>
  <c r="S36" i="81" s="1"/>
  <c r="Q36" i="81"/>
  <c r="O36" i="81"/>
  <c r="M36" i="81"/>
  <c r="K36" i="81"/>
  <c r="I36" i="81"/>
  <c r="G36" i="81"/>
  <c r="C36" i="81"/>
  <c r="R35" i="81"/>
  <c r="S35" i="81" s="1"/>
  <c r="Q35" i="81"/>
  <c r="O35" i="81"/>
  <c r="M35" i="81"/>
  <c r="K35" i="81"/>
  <c r="I35" i="81"/>
  <c r="G35" i="81"/>
  <c r="C35" i="81"/>
  <c r="R34" i="81"/>
  <c r="S34" i="81" s="1"/>
  <c r="Q34" i="81"/>
  <c r="O34" i="81"/>
  <c r="M34" i="81"/>
  <c r="K34" i="81"/>
  <c r="I34" i="81"/>
  <c r="G34" i="81"/>
  <c r="C34" i="81"/>
  <c r="R33" i="81"/>
  <c r="S33" i="81" s="1"/>
  <c r="Q33" i="81"/>
  <c r="O33" i="81"/>
  <c r="M33" i="81"/>
  <c r="K33" i="81"/>
  <c r="I33" i="81"/>
  <c r="G33" i="81"/>
  <c r="C33" i="81"/>
  <c r="R32" i="81"/>
  <c r="S32" i="81" s="1"/>
  <c r="Q32" i="81"/>
  <c r="O32" i="81"/>
  <c r="M32" i="81"/>
  <c r="K32" i="81"/>
  <c r="I32" i="81"/>
  <c r="G32" i="81"/>
  <c r="C32" i="81"/>
  <c r="R31" i="81"/>
  <c r="S31" i="81" s="1"/>
  <c r="Q31" i="81"/>
  <c r="O31" i="81"/>
  <c r="M31" i="81"/>
  <c r="K31" i="81"/>
  <c r="I31" i="81"/>
  <c r="G31" i="81"/>
  <c r="C31" i="81"/>
  <c r="R30" i="81"/>
  <c r="S30" i="81" s="1"/>
  <c r="Q30" i="81"/>
  <c r="O30" i="81"/>
  <c r="M30" i="81"/>
  <c r="K30" i="81"/>
  <c r="I30" i="81"/>
  <c r="G30" i="81"/>
  <c r="C30" i="81"/>
  <c r="R29" i="81"/>
  <c r="S29" i="81" s="1"/>
  <c r="Q29" i="81"/>
  <c r="O29" i="81"/>
  <c r="M29" i="81"/>
  <c r="K29" i="81"/>
  <c r="I29" i="81"/>
  <c r="G29" i="81"/>
  <c r="C29" i="81"/>
  <c r="Q28" i="81"/>
  <c r="O28" i="81"/>
  <c r="M28" i="81"/>
  <c r="K28" i="81"/>
  <c r="I28" i="81"/>
  <c r="G28" i="81"/>
  <c r="C28" i="81"/>
  <c r="R28" i="81" s="1"/>
  <c r="S28" i="81" s="1"/>
  <c r="Q27" i="81"/>
  <c r="O27" i="81"/>
  <c r="M27" i="81"/>
  <c r="K27" i="81"/>
  <c r="I27" i="81"/>
  <c r="G27" i="81"/>
  <c r="T26" i="81"/>
  <c r="T27" i="81" s="1"/>
  <c r="Q26" i="81"/>
  <c r="O26" i="81"/>
  <c r="M26" i="81"/>
  <c r="K26" i="81"/>
  <c r="I26" i="81"/>
  <c r="G26" i="81"/>
  <c r="Q25" i="81"/>
  <c r="O25" i="81"/>
  <c r="M25" i="81"/>
  <c r="K25" i="81"/>
  <c r="I25" i="81"/>
  <c r="G25" i="81"/>
  <c r="T24" i="81"/>
  <c r="T25" i="81" s="1"/>
  <c r="B22"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T5" i="81"/>
  <c r="D4" i="81"/>
  <c r="E4" i="81" s="1"/>
  <c r="F4" i="81" s="1"/>
  <c r="G4" i="81" s="1"/>
  <c r="H4" i="81" s="1"/>
  <c r="I4" i="81" s="1"/>
  <c r="S2" i="81"/>
  <c r="R2" i="81"/>
  <c r="Q2" i="81"/>
  <c r="P2" i="81"/>
  <c r="O2" i="81"/>
  <c r="N2" i="81"/>
  <c r="M2" i="81"/>
  <c r="L2" i="81"/>
  <c r="K2" i="81"/>
  <c r="J2" i="81"/>
  <c r="I2" i="81"/>
  <c r="H2" i="81"/>
  <c r="G2" i="81"/>
  <c r="F2" i="81"/>
  <c r="E2" i="81"/>
  <c r="D2" i="81"/>
  <c r="C2" i="81"/>
  <c r="R67"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A25" i="31"/>
  <c r="A24" i="31"/>
  <c r="K23" i="34"/>
  <c r="K21" i="34"/>
  <c r="K19" i="34"/>
  <c r="K17" i="34"/>
  <c r="D104" i="33"/>
  <c r="E104" i="33" s="1"/>
  <c r="M15" i="3"/>
  <c r="K14" i="3"/>
  <c r="F20" i="81"/>
  <c r="F104" i="33" l="1"/>
  <c r="Q44" i="31"/>
  <c r="D6" i="81"/>
  <c r="E47" i="81" s="1"/>
  <c r="E57" i="81"/>
  <c r="E35" i="81"/>
  <c r="E43" i="81"/>
  <c r="E51" i="81"/>
  <c r="E59" i="81"/>
  <c r="E28" i="81"/>
  <c r="E37" i="81"/>
  <c r="E29" i="81"/>
  <c r="E45" i="81"/>
  <c r="E46" i="81"/>
  <c r="C25" i="81"/>
  <c r="C26" i="81"/>
  <c r="C27" i="81"/>
  <c r="E321" i="81"/>
  <c r="E315" i="81"/>
  <c r="E314" i="81"/>
  <c r="E313" i="81"/>
  <c r="E311" i="81"/>
  <c r="E309" i="81"/>
  <c r="E306" i="81"/>
  <c r="E304" i="81"/>
  <c r="E303" i="81"/>
  <c r="E302" i="81"/>
  <c r="E300" i="81"/>
  <c r="E298" i="81"/>
  <c r="E296" i="81"/>
  <c r="E295" i="81"/>
  <c r="E293" i="81"/>
  <c r="E291" i="81"/>
  <c r="E289" i="81"/>
  <c r="E288" i="81"/>
  <c r="E287" i="81"/>
  <c r="E285" i="81"/>
  <c r="E283" i="81"/>
  <c r="E281" i="81"/>
  <c r="E279" i="81"/>
  <c r="E277" i="81"/>
  <c r="E275" i="81"/>
  <c r="E273" i="81"/>
  <c r="E271" i="81"/>
  <c r="E269" i="81"/>
  <c r="E267" i="81"/>
  <c r="E265" i="81"/>
  <c r="E263" i="81"/>
  <c r="E261" i="81"/>
  <c r="E259" i="81"/>
  <c r="E256" i="81"/>
  <c r="E254" i="81"/>
  <c r="E252" i="81"/>
  <c r="E250" i="81"/>
  <c r="E248" i="81"/>
  <c r="E246" i="81"/>
  <c r="E244" i="81"/>
  <c r="E242" i="81"/>
  <c r="E240" i="81"/>
  <c r="E238" i="81"/>
  <c r="E236" i="81"/>
  <c r="E234" i="81"/>
  <c r="E232" i="81"/>
  <c r="E230" i="81"/>
  <c r="E228" i="81"/>
  <c r="E226" i="81"/>
  <c r="E225" i="81"/>
  <c r="E223" i="81"/>
  <c r="E221" i="81"/>
  <c r="E219" i="81"/>
  <c r="E217" i="81"/>
  <c r="E215" i="81"/>
  <c r="E213" i="81"/>
  <c r="E211" i="81"/>
  <c r="E209" i="81"/>
  <c r="E207" i="81"/>
  <c r="E205" i="81"/>
  <c r="E203" i="81"/>
  <c r="E201" i="81"/>
  <c r="E199" i="81"/>
  <c r="E197" i="81"/>
  <c r="E195" i="81"/>
  <c r="E193" i="81"/>
  <c r="E191" i="81"/>
  <c r="E189" i="81"/>
  <c r="E187" i="81"/>
  <c r="E185" i="81"/>
  <c r="E183" i="81"/>
  <c r="E181" i="81"/>
  <c r="E179" i="81"/>
  <c r="E176" i="81"/>
  <c r="E174" i="81"/>
  <c r="E172" i="81"/>
  <c r="E170" i="81"/>
  <c r="E168" i="81"/>
  <c r="E166" i="81"/>
  <c r="E164" i="81"/>
  <c r="E162" i="81"/>
  <c r="E161" i="81"/>
  <c r="E160" i="81"/>
  <c r="E158" i="81"/>
  <c r="E156" i="81"/>
  <c r="E154" i="81"/>
  <c r="E152" i="81"/>
  <c r="E150" i="81"/>
  <c r="E148" i="81"/>
  <c r="E146" i="81"/>
  <c r="E144" i="81"/>
  <c r="E142" i="81"/>
  <c r="E140" i="81"/>
  <c r="E138" i="81"/>
  <c r="E136" i="81"/>
  <c r="E134" i="81"/>
  <c r="E132" i="81"/>
  <c r="E130" i="81"/>
  <c r="E129" i="81"/>
  <c r="E128" i="81"/>
  <c r="E126" i="81"/>
  <c r="E124" i="81"/>
  <c r="E122" i="81"/>
  <c r="E120" i="81"/>
  <c r="E118" i="81"/>
  <c r="E116" i="81"/>
  <c r="E114" i="81"/>
  <c r="E112" i="81"/>
  <c r="E109" i="81"/>
  <c r="E107" i="81"/>
  <c r="E105" i="81"/>
  <c r="E103" i="81"/>
  <c r="E101" i="81"/>
  <c r="E99" i="81"/>
  <c r="E98" i="81"/>
  <c r="E97" i="81"/>
  <c r="E95" i="81"/>
  <c r="E93" i="81"/>
  <c r="E91" i="81"/>
  <c r="E89" i="81"/>
  <c r="E87" i="81"/>
  <c r="E85" i="81"/>
  <c r="E83" i="81"/>
  <c r="E81" i="81"/>
  <c r="E79" i="81"/>
  <c r="E77" i="81"/>
  <c r="E75" i="81"/>
  <c r="E73" i="81"/>
  <c r="E71" i="81"/>
  <c r="E69" i="81"/>
  <c r="E67" i="81"/>
  <c r="E65" i="81"/>
  <c r="E64" i="81"/>
  <c r="E63" i="81"/>
  <c r="E6" i="81"/>
  <c r="F6" i="81" s="1"/>
  <c r="E320" i="81"/>
  <c r="E319" i="81"/>
  <c r="E318" i="81"/>
  <c r="E317" i="81"/>
  <c r="E316" i="81"/>
  <c r="E312" i="81"/>
  <c r="E310" i="81"/>
  <c r="E308" i="81"/>
  <c r="E307" i="81"/>
  <c r="E305" i="81"/>
  <c r="E301" i="81"/>
  <c r="E299" i="81"/>
  <c r="E297" i="81"/>
  <c r="E294" i="81"/>
  <c r="E292" i="81"/>
  <c r="E290" i="81"/>
  <c r="E286" i="81"/>
  <c r="E284" i="81"/>
  <c r="E282" i="81"/>
  <c r="E280" i="81"/>
  <c r="E278" i="81"/>
  <c r="E276" i="81"/>
  <c r="E274" i="81"/>
  <c r="E272" i="81"/>
  <c r="E270" i="81"/>
  <c r="E268" i="81"/>
  <c r="E266" i="81"/>
  <c r="E264" i="81"/>
  <c r="E262" i="81"/>
  <c r="E260" i="81"/>
  <c r="E258" i="81"/>
  <c r="E257" i="81"/>
  <c r="E255" i="81"/>
  <c r="E253" i="81"/>
  <c r="E251" i="81"/>
  <c r="E249" i="81"/>
  <c r="E247" i="81"/>
  <c r="E245" i="81"/>
  <c r="E243" i="81"/>
  <c r="E241" i="81"/>
  <c r="E239" i="81"/>
  <c r="E237" i="81"/>
  <c r="E235" i="81"/>
  <c r="E233" i="81"/>
  <c r="E231" i="81"/>
  <c r="E229" i="81"/>
  <c r="E227" i="81"/>
  <c r="E224" i="81"/>
  <c r="E222" i="81"/>
  <c r="E220" i="81"/>
  <c r="E218" i="81"/>
  <c r="E216" i="81"/>
  <c r="E214" i="81"/>
  <c r="E212" i="81"/>
  <c r="E210" i="81"/>
  <c r="E208" i="81"/>
  <c r="E206" i="81"/>
  <c r="E204" i="81"/>
  <c r="E202" i="81"/>
  <c r="E200" i="81"/>
  <c r="E198" i="81"/>
  <c r="E196" i="81"/>
  <c r="E194" i="81"/>
  <c r="E192" i="81"/>
  <c r="E190" i="81"/>
  <c r="E188" i="81"/>
  <c r="E186" i="81"/>
  <c r="E184" i="81"/>
  <c r="E182" i="81"/>
  <c r="E180" i="81"/>
  <c r="E178" i="81"/>
  <c r="E177" i="81"/>
  <c r="E175" i="81"/>
  <c r="E173" i="81"/>
  <c r="E171" i="81"/>
  <c r="E169" i="81"/>
  <c r="E167" i="81"/>
  <c r="E165" i="81"/>
  <c r="E163" i="81"/>
  <c r="E159" i="81"/>
  <c r="E157" i="81"/>
  <c r="E155" i="81"/>
  <c r="E153" i="81"/>
  <c r="E151" i="81"/>
  <c r="E149" i="81"/>
  <c r="E147" i="81"/>
  <c r="E145" i="81"/>
  <c r="E143" i="81"/>
  <c r="E141" i="81"/>
  <c r="E139" i="81"/>
  <c r="E137" i="81"/>
  <c r="E135" i="81"/>
  <c r="E133" i="81"/>
  <c r="E131" i="81"/>
  <c r="E127" i="81"/>
  <c r="E125" i="81"/>
  <c r="E123" i="81"/>
  <c r="E121" i="81"/>
  <c r="E119" i="81"/>
  <c r="E117" i="81"/>
  <c r="E115" i="81"/>
  <c r="E113" i="81"/>
  <c r="E111" i="81"/>
  <c r="E110" i="81"/>
  <c r="E108" i="81"/>
  <c r="E106" i="81"/>
  <c r="E104" i="81"/>
  <c r="E102" i="81"/>
  <c r="E100" i="81"/>
  <c r="E96" i="81"/>
  <c r="E94" i="81"/>
  <c r="E92" i="81"/>
  <c r="E90" i="81"/>
  <c r="E88" i="81"/>
  <c r="E86" i="81"/>
  <c r="E84" i="81"/>
  <c r="E82" i="81"/>
  <c r="E80" i="81"/>
  <c r="E78" i="81"/>
  <c r="E76" i="81"/>
  <c r="E74" i="81"/>
  <c r="E72" i="81"/>
  <c r="E70" i="81"/>
  <c r="E68" i="81"/>
  <c r="E66" i="81"/>
  <c r="E62" i="81"/>
  <c r="E61" i="81"/>
  <c r="E26" i="81"/>
  <c r="E60" i="81"/>
  <c r="E524" i="81"/>
  <c r="E523" i="81"/>
  <c r="E522" i="81"/>
  <c r="E521" i="81"/>
  <c r="E520" i="81"/>
  <c r="E519" i="81"/>
  <c r="E518" i="81"/>
  <c r="E517" i="81"/>
  <c r="E516" i="81"/>
  <c r="E515" i="81"/>
  <c r="E514" i="81"/>
  <c r="E513" i="81"/>
  <c r="E512" i="81"/>
  <c r="E511" i="81"/>
  <c r="E510" i="81"/>
  <c r="E509" i="81"/>
  <c r="E508" i="81"/>
  <c r="E507" i="81"/>
  <c r="E506" i="81"/>
  <c r="E505" i="81"/>
  <c r="E504" i="81"/>
  <c r="E503" i="81"/>
  <c r="E502" i="81"/>
  <c r="E501" i="81"/>
  <c r="E500" i="81"/>
  <c r="E499" i="81"/>
  <c r="E498" i="81"/>
  <c r="E497" i="81"/>
  <c r="E496" i="81"/>
  <c r="E495" i="81"/>
  <c r="E494" i="81"/>
  <c r="E493" i="81"/>
  <c r="E492" i="81"/>
  <c r="E491" i="81"/>
  <c r="E490" i="81"/>
  <c r="E489" i="81"/>
  <c r="E488" i="81"/>
  <c r="E487" i="81"/>
  <c r="E486" i="81"/>
  <c r="E485" i="81"/>
  <c r="E484" i="81"/>
  <c r="E483" i="81"/>
  <c r="E482" i="81"/>
  <c r="E481" i="81"/>
  <c r="E480" i="81"/>
  <c r="E479" i="81"/>
  <c r="E478" i="81"/>
  <c r="E477" i="81"/>
  <c r="E476" i="81"/>
  <c r="E475" i="81"/>
  <c r="E474" i="81"/>
  <c r="E473" i="81"/>
  <c r="E472" i="81"/>
  <c r="E471" i="81"/>
  <c r="E470" i="81"/>
  <c r="E469" i="81"/>
  <c r="E468" i="81"/>
  <c r="E467" i="81"/>
  <c r="E466" i="81"/>
  <c r="E465" i="81"/>
  <c r="E464" i="81"/>
  <c r="E463" i="81"/>
  <c r="E462" i="81"/>
  <c r="E461" i="81"/>
  <c r="E460" i="81"/>
  <c r="E459" i="81"/>
  <c r="E458" i="81"/>
  <c r="E457" i="81"/>
  <c r="E456" i="81"/>
  <c r="E455" i="81"/>
  <c r="E454" i="81"/>
  <c r="E453" i="81"/>
  <c r="E452" i="81"/>
  <c r="E451" i="81"/>
  <c r="E450" i="81"/>
  <c r="E449" i="81"/>
  <c r="E448" i="81"/>
  <c r="E447" i="81"/>
  <c r="E446" i="81"/>
  <c r="E445" i="81"/>
  <c r="E444" i="81"/>
  <c r="E443" i="81"/>
  <c r="E442" i="81"/>
  <c r="E441" i="81"/>
  <c r="E440" i="81"/>
  <c r="E439" i="81"/>
  <c r="E438" i="81"/>
  <c r="E437" i="81"/>
  <c r="E436" i="81"/>
  <c r="E435" i="81"/>
  <c r="E434" i="81"/>
  <c r="E433" i="81"/>
  <c r="E432" i="81"/>
  <c r="E431" i="81"/>
  <c r="E430" i="81"/>
  <c r="E429" i="81"/>
  <c r="E428" i="81"/>
  <c r="E427" i="81"/>
  <c r="E426" i="81"/>
  <c r="E425" i="81"/>
  <c r="E424" i="81"/>
  <c r="E423" i="81"/>
  <c r="E422" i="81"/>
  <c r="E421" i="81"/>
  <c r="E420" i="81"/>
  <c r="E419" i="81"/>
  <c r="E418" i="81"/>
  <c r="E417" i="81"/>
  <c r="E416" i="81"/>
  <c r="E415" i="81"/>
  <c r="E414" i="81"/>
  <c r="E413" i="81"/>
  <c r="E412" i="81"/>
  <c r="E411" i="81"/>
  <c r="E410" i="81"/>
  <c r="E409" i="81"/>
  <c r="E408" i="81"/>
  <c r="E407" i="81"/>
  <c r="E406" i="81"/>
  <c r="E405" i="81"/>
  <c r="E404" i="81"/>
  <c r="E403" i="81"/>
  <c r="E402" i="81"/>
  <c r="E401" i="81"/>
  <c r="E400" i="81"/>
  <c r="E399" i="81"/>
  <c r="E398" i="81"/>
  <c r="E397" i="81"/>
  <c r="E396" i="81"/>
  <c r="E395" i="81"/>
  <c r="E394" i="81"/>
  <c r="E393" i="81"/>
  <c r="E392" i="81"/>
  <c r="E391" i="81"/>
  <c r="E390" i="81"/>
  <c r="E389" i="81"/>
  <c r="E388" i="81"/>
  <c r="E387" i="81"/>
  <c r="E386" i="81"/>
  <c r="E385" i="81"/>
  <c r="E384" i="81"/>
  <c r="E383" i="81"/>
  <c r="E382" i="81"/>
  <c r="E381" i="81"/>
  <c r="E380" i="81"/>
  <c r="E379" i="81"/>
  <c r="E378" i="81"/>
  <c r="E377" i="81"/>
  <c r="E376" i="81"/>
  <c r="E375" i="81"/>
  <c r="E374" i="81"/>
  <c r="E373" i="81"/>
  <c r="E372" i="81"/>
  <c r="E371" i="81"/>
  <c r="E370" i="81"/>
  <c r="E369" i="81"/>
  <c r="E368" i="81"/>
  <c r="E367" i="81"/>
  <c r="E366" i="81"/>
  <c r="E365" i="81"/>
  <c r="E364" i="81"/>
  <c r="E363" i="81"/>
  <c r="E362" i="81"/>
  <c r="E361" i="81"/>
  <c r="E360" i="81"/>
  <c r="E359" i="81"/>
  <c r="E358" i="81"/>
  <c r="E357" i="81"/>
  <c r="E356" i="81"/>
  <c r="E355" i="81"/>
  <c r="E322" i="81"/>
  <c r="E323" i="81"/>
  <c r="E324" i="81"/>
  <c r="E325" i="81"/>
  <c r="E326" i="81"/>
  <c r="E327" i="81"/>
  <c r="E328" i="81"/>
  <c r="E329" i="81"/>
  <c r="E330" i="81"/>
  <c r="E331" i="81"/>
  <c r="E332" i="81"/>
  <c r="E333" i="81"/>
  <c r="E334" i="81"/>
  <c r="E335" i="81"/>
  <c r="E336" i="81"/>
  <c r="E337" i="81"/>
  <c r="E338" i="81"/>
  <c r="E339" i="81"/>
  <c r="E340" i="81"/>
  <c r="E341" i="81"/>
  <c r="E342" i="81"/>
  <c r="E343" i="81"/>
  <c r="E344" i="81"/>
  <c r="E345" i="81"/>
  <c r="E346" i="81"/>
  <c r="E347" i="81"/>
  <c r="E348" i="81"/>
  <c r="E349" i="81"/>
  <c r="E350" i="81"/>
  <c r="E351" i="81"/>
  <c r="E352" i="81"/>
  <c r="E353" i="81"/>
  <c r="E354" i="81"/>
  <c r="F92" i="80"/>
  <c r="F91" i="80" s="1"/>
  <c r="F86" i="80"/>
  <c r="F85" i="80" s="1"/>
  <c r="F66" i="80"/>
  <c r="F63" i="80"/>
  <c r="F65" i="80" s="1"/>
  <c r="F64" i="80" s="1"/>
  <c r="F69" i="80"/>
  <c r="F68" i="80" s="1"/>
  <c r="F78" i="80"/>
  <c r="F53" i="80"/>
  <c r="F51" i="80"/>
  <c r="F39" i="80"/>
  <c r="F49" i="80" s="1"/>
  <c r="M49" i="80" s="1"/>
  <c r="F27" i="80"/>
  <c r="F37" i="80" s="1"/>
  <c r="M37" i="80" s="1"/>
  <c r="F15" i="80"/>
  <c r="F17" i="80"/>
  <c r="F5" i="80"/>
  <c r="F3" i="80"/>
  <c r="F88" i="80" l="1"/>
  <c r="J85" i="80"/>
  <c r="C31" i="35" s="1"/>
  <c r="F93" i="80"/>
  <c r="J91" i="80"/>
  <c r="I13" i="3"/>
  <c r="C33" i="33"/>
  <c r="E56" i="81"/>
  <c r="E31" i="81"/>
  <c r="E48" i="81"/>
  <c r="E38" i="81"/>
  <c r="F77" i="80"/>
  <c r="E40" i="81"/>
  <c r="E30" i="81"/>
  <c r="E32" i="81"/>
  <c r="E53" i="81"/>
  <c r="E49" i="81"/>
  <c r="E41" i="81"/>
  <c r="E55" i="81"/>
  <c r="E33" i="81"/>
  <c r="G104" i="33"/>
  <c r="E34" i="81"/>
  <c r="E58" i="81"/>
  <c r="E42" i="81"/>
  <c r="E50" i="81"/>
  <c r="E44" i="81"/>
  <c r="E52" i="81"/>
  <c r="E36" i="81"/>
  <c r="E39" i="81"/>
  <c r="E54" i="81"/>
  <c r="E27" i="81"/>
  <c r="E25" i="81"/>
  <c r="G6" i="81"/>
  <c r="H6" i="81" s="1"/>
  <c r="I6" i="81" s="1"/>
  <c r="J6" i="81" s="1"/>
  <c r="K6" i="81" s="1"/>
  <c r="L6" i="81" s="1"/>
  <c r="M6" i="81" s="1"/>
  <c r="N6" i="81" s="1"/>
  <c r="O6" i="81" s="1"/>
  <c r="P6" i="81" s="1"/>
  <c r="Q6" i="81" s="1"/>
  <c r="R6" i="81" s="1"/>
  <c r="S6" i="81" s="1"/>
  <c r="F62" i="80"/>
  <c r="F76" i="80" s="1"/>
  <c r="F25" i="80"/>
  <c r="M25" i="80" s="1"/>
  <c r="F80" i="80"/>
  <c r="F13" i="80"/>
  <c r="M13" i="80" s="1"/>
  <c r="F61" i="80"/>
  <c r="M61" i="80" s="1"/>
  <c r="F81" i="80" l="1"/>
  <c r="B14" i="74"/>
  <c r="H104" i="33"/>
  <c r="D3" i="4"/>
  <c r="I104" i="33" l="1"/>
  <c r="C44" i="31"/>
  <c r="G14" i="73"/>
  <c r="F14" i="73"/>
  <c r="E14" i="73"/>
  <c r="J104" i="33" l="1"/>
  <c r="K104" i="33"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M32" i="79"/>
  <c r="T32" i="79" s="1"/>
  <c r="W32" i="79" s="1"/>
  <c r="L32" i="79"/>
  <c r="S32" i="79" s="1"/>
  <c r="I32" i="79"/>
  <c r="AB31" i="79"/>
  <c r="AA31" i="79"/>
  <c r="Z31" i="79"/>
  <c r="N31" i="79"/>
  <c r="M31" i="79"/>
  <c r="L31" i="79"/>
  <c r="S31" i="79" s="1"/>
  <c r="I31" i="79"/>
  <c r="AB30" i="79"/>
  <c r="AA30" i="79"/>
  <c r="AA23" i="79" s="1"/>
  <c r="AD23" i="79" s="1"/>
  <c r="Z30" i="79"/>
  <c r="N30" i="79"/>
  <c r="M30" i="79"/>
  <c r="M23" i="79" s="1"/>
  <c r="P23" i="79" s="1"/>
  <c r="L30" i="79"/>
  <c r="I30" i="79"/>
  <c r="AD30" i="79" s="1"/>
  <c r="AB29" i="79"/>
  <c r="AA29" i="79"/>
  <c r="Z29" i="79"/>
  <c r="N29" i="79"/>
  <c r="M29" i="79"/>
  <c r="L29" i="79"/>
  <c r="L23" i="79" s="1"/>
  <c r="I29" i="79"/>
  <c r="AB25" i="79"/>
  <c r="AA25" i="79"/>
  <c r="Z25" i="79"/>
  <c r="N25" i="79"/>
  <c r="N23" i="79" s="1"/>
  <c r="M25" i="79"/>
  <c r="L25" i="79"/>
  <c r="I25" i="79"/>
  <c r="AD25" i="79" s="1"/>
  <c r="U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M14" i="79"/>
  <c r="T14" i="79" s="1"/>
  <c r="W14" i="79" s="1"/>
  <c r="L14" i="79"/>
  <c r="S14" i="79" s="1"/>
  <c r="K14" i="79"/>
  <c r="I14" i="79"/>
  <c r="AC13" i="79"/>
  <c r="AB13" i="79"/>
  <c r="AA13" i="79"/>
  <c r="AD13" i="79" s="1"/>
  <c r="Z13" i="79"/>
  <c r="Y13" i="79"/>
  <c r="O13" i="79"/>
  <c r="V13" i="79" s="1"/>
  <c r="N13" i="79"/>
  <c r="M13" i="79"/>
  <c r="P13" i="79" s="1"/>
  <c r="L13" i="79"/>
  <c r="K13" i="79"/>
  <c r="I13" i="79"/>
  <c r="AD12" i="79"/>
  <c r="AC12" i="79"/>
  <c r="AB12" i="79"/>
  <c r="AA12" i="79"/>
  <c r="Z12" i="79"/>
  <c r="Y12" i="79"/>
  <c r="O12" i="79"/>
  <c r="N12" i="79"/>
  <c r="U12" i="79" s="1"/>
  <c r="M12" i="79"/>
  <c r="L12" i="79"/>
  <c r="S12" i="79" s="1"/>
  <c r="K12" i="79"/>
  <c r="R12" i="79" s="1"/>
  <c r="I12" i="79"/>
  <c r="AC11" i="79"/>
  <c r="AB11" i="79"/>
  <c r="AA11" i="79"/>
  <c r="AD11" i="79" s="1"/>
  <c r="Z11" i="79"/>
  <c r="Y11" i="79"/>
  <c r="O11" i="79"/>
  <c r="V11" i="79" s="1"/>
  <c r="N11" i="79"/>
  <c r="U11" i="79" s="1"/>
  <c r="M11" i="79"/>
  <c r="P11" i="79" s="1"/>
  <c r="L11" i="79"/>
  <c r="K11" i="79"/>
  <c r="I11" i="79"/>
  <c r="AC10" i="79"/>
  <c r="AB10" i="79"/>
  <c r="AA10" i="79"/>
  <c r="AD10" i="79" s="1"/>
  <c r="Z10" i="79"/>
  <c r="Z3" i="79" s="1"/>
  <c r="Y10" i="79"/>
  <c r="O10" i="79"/>
  <c r="N10" i="79"/>
  <c r="M10" i="79"/>
  <c r="L10" i="79"/>
  <c r="S10" i="79" s="1"/>
  <c r="K10" i="79"/>
  <c r="I10" i="79"/>
  <c r="AC9" i="79"/>
  <c r="AC3" i="79" s="1"/>
  <c r="AB9" i="79"/>
  <c r="AA9" i="79"/>
  <c r="AD9" i="79" s="1"/>
  <c r="Z9" i="79"/>
  <c r="Y9" i="79"/>
  <c r="O9" i="79"/>
  <c r="N9" i="79"/>
  <c r="M9" i="79"/>
  <c r="M3" i="79" s="1"/>
  <c r="P3" i="79" s="1"/>
  <c r="L9" i="79"/>
  <c r="L3" i="79" s="1"/>
  <c r="K9" i="79"/>
  <c r="I9" i="79"/>
  <c r="AC5" i="79"/>
  <c r="AB5" i="79"/>
  <c r="AA5" i="79"/>
  <c r="AD5" i="79" s="1"/>
  <c r="Z5" i="79"/>
  <c r="Y5" i="79"/>
  <c r="Y3" i="79" s="1"/>
  <c r="P5" i="79"/>
  <c r="O5" i="79"/>
  <c r="V3" i="79" s="1"/>
  <c r="N5" i="79"/>
  <c r="N3" i="79" s="1"/>
  <c r="M5" i="79"/>
  <c r="L5" i="79"/>
  <c r="K5" i="79"/>
  <c r="K3" i="79" s="1"/>
  <c r="I5" i="79"/>
  <c r="AB3" i="79"/>
  <c r="O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3" i="79" l="1"/>
  <c r="W23" i="79" s="1"/>
  <c r="AD31" i="79"/>
  <c r="T3" i="79"/>
  <c r="W3" i="79" s="1"/>
  <c r="R10" i="79"/>
  <c r="T12" i="79"/>
  <c r="W12" i="79" s="1"/>
  <c r="U14" i="79"/>
  <c r="AD29" i="79"/>
  <c r="S30" i="79"/>
  <c r="T31" i="79"/>
  <c r="W31" i="79" s="1"/>
  <c r="U32" i="79"/>
  <c r="U31" i="79"/>
  <c r="S3" i="79"/>
  <c r="T10" i="79"/>
  <c r="W10" i="79" s="1"/>
  <c r="V12" i="79"/>
  <c r="R13" i="79"/>
  <c r="U30" i="79"/>
  <c r="U3" i="79"/>
  <c r="U10" i="79"/>
  <c r="R11" i="79"/>
  <c r="S13" i="79"/>
  <c r="V10" i="79"/>
  <c r="S11" i="79"/>
  <c r="AA3" i="79"/>
  <c r="AD3" i="79" s="1"/>
  <c r="U13" i="79"/>
  <c r="R14" i="79"/>
  <c r="AD32"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2" i="71" s="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X17" i="71" s="1"/>
  <c r="N23" i="71"/>
  <c r="AH22" i="71"/>
  <c r="AG22" i="71"/>
  <c r="AE22" i="71"/>
  <c r="AF22" i="71"/>
  <c r="AD22" i="71"/>
  <c r="Q23" i="71"/>
  <c r="AB23" i="71" s="1"/>
  <c r="P23" i="71"/>
  <c r="O23" i="71"/>
  <c r="D25" i="71"/>
  <c r="AH23" i="71"/>
  <c r="AG23" i="71"/>
  <c r="AE23" i="71"/>
  <c r="AF23" i="71"/>
  <c r="AD23" i="71"/>
  <c r="AD24" i="71"/>
  <c r="AG24" i="71"/>
  <c r="AH24" i="71"/>
  <c r="AE24" i="71"/>
  <c r="AF24" i="71" s="1"/>
  <c r="N24" i="71"/>
  <c r="Q24" i="71"/>
  <c r="P24" i="71"/>
  <c r="O24" i="71"/>
  <c r="Q25" i="71"/>
  <c r="F24"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AA24" i="71" s="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F55" i="71" s="1"/>
  <c r="F56" i="71" s="1"/>
  <c r="V56" i="71" s="1"/>
  <c r="P54" i="71"/>
  <c r="O54" i="71"/>
  <c r="N54" i="71"/>
  <c r="B55" i="71" s="1"/>
  <c r="B56" i="71" s="1"/>
  <c r="S56" i="71" s="1"/>
  <c r="Q53" i="71"/>
  <c r="F54" i="71"/>
  <c r="P53" i="71"/>
  <c r="E54" i="71"/>
  <c r="E55" i="71" s="1"/>
  <c r="E56" i="71" s="1"/>
  <c r="O53" i="71"/>
  <c r="C54" i="71" s="1"/>
  <c r="N53" i="71"/>
  <c r="B54" i="71"/>
  <c r="D53" i="71"/>
  <c r="Q52" i="71"/>
  <c r="P52" i="71"/>
  <c r="O52" i="71"/>
  <c r="N52" i="71"/>
  <c r="Q51" i="71"/>
  <c r="P51" i="71"/>
  <c r="O51" i="71"/>
  <c r="N51" i="71"/>
  <c r="Q50" i="71"/>
  <c r="P50" i="71"/>
  <c r="O50" i="71"/>
  <c r="N50" i="71"/>
  <c r="Q49" i="71"/>
  <c r="F50" i="7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N45" i="71"/>
  <c r="B46" i="71" s="1"/>
  <c r="D45" i="71"/>
  <c r="Q44" i="71"/>
  <c r="P44" i="71"/>
  <c r="O44" i="71"/>
  <c r="N44" i="71"/>
  <c r="Q43" i="71"/>
  <c r="P43" i="71"/>
  <c r="O43" i="71"/>
  <c r="N43" i="71"/>
  <c r="Q42" i="71"/>
  <c r="P42" i="71"/>
  <c r="O42" i="71"/>
  <c r="N42" i="71"/>
  <c r="F42" i="71"/>
  <c r="F43" i="71"/>
  <c r="F44" i="71" s="1"/>
  <c r="V44" i="71" s="1"/>
  <c r="Q41" i="71"/>
  <c r="P41" i="71"/>
  <c r="E42" i="71"/>
  <c r="E43" i="71" s="1"/>
  <c r="O41" i="71"/>
  <c r="C42" i="71" s="1"/>
  <c r="N41" i="71"/>
  <c r="B42" i="71"/>
  <c r="B43" i="71"/>
  <c r="B44" i="71" s="1"/>
  <c r="S44" i="71" s="1"/>
  <c r="D41" i="71"/>
  <c r="Q40" i="71"/>
  <c r="P40" i="71"/>
  <c r="O40" i="71"/>
  <c r="N40" i="71"/>
  <c r="AB39" i="71"/>
  <c r="Q39" i="71"/>
  <c r="P39" i="71"/>
  <c r="AA39" i="71"/>
  <c r="O39" i="71"/>
  <c r="Y39" i="71" s="1"/>
  <c r="Z39" i="71" s="1"/>
  <c r="N39" i="71"/>
  <c r="X39" i="71"/>
  <c r="Q38" i="71"/>
  <c r="AB38" i="71"/>
  <c r="P38" i="71"/>
  <c r="O38" i="71"/>
  <c r="Y38" i="71" s="1"/>
  <c r="Z38" i="71" s="1"/>
  <c r="N38" i="71"/>
  <c r="F38" i="71"/>
  <c r="F39" i="71" s="1"/>
  <c r="F40" i="71" s="1"/>
  <c r="V40" i="71" s="1"/>
  <c r="Q37" i="71"/>
  <c r="P37" i="71"/>
  <c r="O37" i="71"/>
  <c r="N37" i="71"/>
  <c r="B38" i="71" s="1"/>
  <c r="B39" i="71" s="1"/>
  <c r="B40" i="71" s="1"/>
  <c r="S40" i="71" s="1"/>
  <c r="D37" i="71"/>
  <c r="Q36" i="71"/>
  <c r="AB36" i="71"/>
  <c r="P36" i="71"/>
  <c r="O36" i="71"/>
  <c r="Y36" i="71" s="1"/>
  <c r="Z36" i="71" s="1"/>
  <c r="N36" i="71"/>
  <c r="X33" i="71" s="1"/>
  <c r="Q35" i="71"/>
  <c r="AB35" i="71" s="1"/>
  <c r="P35" i="71"/>
  <c r="AA34" i="71" s="1"/>
  <c r="O35" i="71"/>
  <c r="N35" i="71"/>
  <c r="Q34" i="71"/>
  <c r="AB34" i="71"/>
  <c r="P34" i="71"/>
  <c r="O34" i="71"/>
  <c r="Y34" i="71"/>
  <c r="Z34" i="71" s="1"/>
  <c r="N34" i="71"/>
  <c r="Q33" i="71"/>
  <c r="F34" i="71" s="1"/>
  <c r="F35" i="71" s="1"/>
  <c r="F36" i="71" s="1"/>
  <c r="V36" i="71" s="1"/>
  <c r="P33" i="71"/>
  <c r="AA30" i="71" s="1"/>
  <c r="O33" i="71"/>
  <c r="N33" i="71"/>
  <c r="D33" i="71"/>
  <c r="Q32" i="71"/>
  <c r="AB30" i="71" s="1"/>
  <c r="AB32" i="71"/>
  <c r="P32" i="71"/>
  <c r="O32" i="71"/>
  <c r="Y32" i="71"/>
  <c r="Z32" i="71" s="1"/>
  <c r="N32" i="71"/>
  <c r="Q31" i="71"/>
  <c r="P31" i="71"/>
  <c r="O31" i="71"/>
  <c r="N31" i="71"/>
  <c r="Q30" i="71"/>
  <c r="P30" i="71"/>
  <c r="O30" i="71"/>
  <c r="Y26" i="71" s="1"/>
  <c r="Z26" i="71" s="1"/>
  <c r="N30" i="71"/>
  <c r="X30" i="71" s="1"/>
  <c r="Q29" i="71"/>
  <c r="AB29" i="71" s="1"/>
  <c r="P29" i="71"/>
  <c r="O29" i="71"/>
  <c r="Y25" i="71" s="1"/>
  <c r="Z25" i="71" s="1"/>
  <c r="N29" i="71"/>
  <c r="D29" i="71"/>
  <c r="O28" i="71"/>
  <c r="N28" i="71"/>
  <c r="E30" i="71"/>
  <c r="E31" i="71" s="1"/>
  <c r="E32" i="71" s="1"/>
  <c r="U32" i="71" s="1"/>
  <c r="B34" i="71"/>
  <c r="B35" i="71"/>
  <c r="B36" i="71"/>
  <c r="S36" i="71" s="1"/>
  <c r="X37" i="71"/>
  <c r="E38" i="71"/>
  <c r="X31" i="71"/>
  <c r="C34" i="71"/>
  <c r="D34" i="71" s="1"/>
  <c r="X35" i="71"/>
  <c r="X36" i="71"/>
  <c r="C38" i="71"/>
  <c r="Y37" i="71"/>
  <c r="Z37" i="71" s="1"/>
  <c r="AB37" i="71"/>
  <c r="X38" i="71"/>
  <c r="C28" i="71"/>
  <c r="Y28" i="71"/>
  <c r="Z28" i="71" s="1"/>
  <c r="B28" i="71"/>
  <c r="B27" i="71"/>
  <c r="B26" i="71"/>
  <c r="C47" i="71"/>
  <c r="D47" i="71" s="1"/>
  <c r="D46" i="71"/>
  <c r="C51" i="71"/>
  <c r="D50" i="71"/>
  <c r="P28" i="71"/>
  <c r="U56" i="71"/>
  <c r="E59" i="71"/>
  <c r="E60" i="71" s="1"/>
  <c r="U60" i="71" s="1"/>
  <c r="U68" i="71"/>
  <c r="Q28" i="71"/>
  <c r="AB24" i="71" s="1"/>
  <c r="C63" i="71"/>
  <c r="C64" i="71" s="1"/>
  <c r="D64" i="71" s="1"/>
  <c r="D62" i="71"/>
  <c r="T68" i="71"/>
  <c r="O68" i="71"/>
  <c r="D68" i="71"/>
  <c r="C67" i="71"/>
  <c r="C66" i="71" s="1"/>
  <c r="D66" i="71" s="1"/>
  <c r="Q68" i="71"/>
  <c r="C71" i="71"/>
  <c r="E71" i="71"/>
  <c r="E70" i="71"/>
  <c r="D72" i="71"/>
  <c r="C75" i="71"/>
  <c r="D75" i="71" s="1"/>
  <c r="E75" i="71"/>
  <c r="E74" i="71"/>
  <c r="D76" i="71"/>
  <c r="C79" i="71"/>
  <c r="E79" i="71"/>
  <c r="E78" i="71"/>
  <c r="D80" i="71"/>
  <c r="C83" i="71"/>
  <c r="C82" i="71" s="1"/>
  <c r="D82" i="71" s="1"/>
  <c r="T28" i="71"/>
  <c r="C27" i="71"/>
  <c r="S28" i="71"/>
  <c r="F28" i="71"/>
  <c r="F27" i="71"/>
  <c r="F26" i="71"/>
  <c r="AB25" i="71"/>
  <c r="AB28" i="71"/>
  <c r="D28" i="71"/>
  <c r="U28" i="71" s="1"/>
  <c r="D67" i="71"/>
  <c r="D63" i="71"/>
  <c r="D83" i="71"/>
  <c r="D79" i="71"/>
  <c r="C78" i="71"/>
  <c r="D78" i="71"/>
  <c r="D71" i="71"/>
  <c r="C70" i="71"/>
  <c r="D70" i="71"/>
  <c r="C52" i="71"/>
  <c r="T52" i="71" s="1"/>
  <c r="D51"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S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S21" i="21" s="1"/>
  <c r="AA21" i="21"/>
  <c r="D81" i="21"/>
  <c r="G20" i="20"/>
  <c r="B88" i="43"/>
  <c r="C22" i="20"/>
  <c r="B100" i="43" s="1"/>
  <c r="B77" i="43"/>
  <c r="B57" i="43"/>
  <c r="C25" i="40"/>
  <c r="F94" i="40"/>
  <c r="H25" i="40"/>
  <c r="U25" i="40" s="1"/>
  <c r="G94" i="40"/>
  <c r="J25" i="40"/>
  <c r="AC25" i="40" s="1"/>
  <c r="H29" i="39"/>
  <c r="AB29" i="39" s="1"/>
  <c r="J29" i="39"/>
  <c r="AC29" i="39" s="1"/>
  <c r="J18" i="36"/>
  <c r="AC18" i="36" s="1"/>
  <c r="H18" i="35"/>
  <c r="AB18" i="35" s="1"/>
  <c r="J18" i="35"/>
  <c r="AC18" i="35" s="1"/>
  <c r="H21" i="37"/>
  <c r="AB21" i="37" s="1"/>
  <c r="F21" i="37"/>
  <c r="AA21" i="37" s="1"/>
  <c r="H21" i="34"/>
  <c r="U21" i="34" s="1"/>
  <c r="H21" i="33"/>
  <c r="U21" i="33" s="1"/>
  <c r="F21" i="33"/>
  <c r="AA21" i="33" s="1"/>
  <c r="H1" i="69"/>
  <c r="S21" i="37"/>
  <c r="AB21" i="34"/>
  <c r="AB21" i="33"/>
  <c r="U18" i="35"/>
  <c r="J21" i="37"/>
  <c r="AC21" i="37" s="1"/>
  <c r="J21" i="34"/>
  <c r="AC21" i="34" s="1"/>
  <c r="J21" i="33"/>
  <c r="W21" i="33" s="1"/>
  <c r="H21" i="21"/>
  <c r="AB21" i="21" s="1"/>
  <c r="F38" i="69"/>
  <c r="E37" i="69"/>
  <c r="F36" i="69"/>
  <c r="F35" i="69"/>
  <c r="F21" i="69"/>
  <c r="F40" i="69" s="1"/>
  <c r="F20" i="69"/>
  <c r="F39" i="69" s="1"/>
  <c r="E10" i="69"/>
  <c r="E9" i="69"/>
  <c r="C7" i="69"/>
  <c r="U21" i="21"/>
  <c r="J21" i="21"/>
  <c r="W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K29" i="31" s="1"/>
  <c r="D10" i="31"/>
  <c r="E10" i="31" s="1"/>
  <c r="F10" i="31" s="1"/>
  <c r="D8" i="31"/>
  <c r="G44" i="31" s="1"/>
  <c r="D6" i="31"/>
  <c r="E6" i="31" s="1"/>
  <c r="F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A104" i="3" s="1"/>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BT100" i="3"/>
  <c r="BS100" i="3"/>
  <c r="BR100" i="3"/>
  <c r="BQ100" i="3"/>
  <c r="BP100" i="3"/>
  <c r="BO100" i="3"/>
  <c r="BN100" i="3"/>
  <c r="BM100" i="3"/>
  <c r="BK100" i="3"/>
  <c r="BJ100" i="3"/>
  <c r="BI100" i="3"/>
  <c r="BH100" i="3"/>
  <c r="BA100" i="3" s="1"/>
  <c r="BG100" i="3"/>
  <c r="BF100" i="3"/>
  <c r="BE100" i="3"/>
  <c r="BD100" i="3"/>
  <c r="BC100" i="3"/>
  <c r="BB100" i="3"/>
  <c r="AX100" i="3"/>
  <c r="AW100" i="3"/>
  <c r="AV100" i="3"/>
  <c r="AC100" i="3"/>
  <c r="H100" i="3"/>
  <c r="G100" i="3"/>
  <c r="BT99" i="3"/>
  <c r="BS99" i="3"/>
  <c r="BL99" i="3" s="1"/>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c r="BT93" i="3"/>
  <c r="BS93" i="3"/>
  <c r="BR93" i="3"/>
  <c r="BL93" i="3" s="1"/>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A91" i="3" s="1"/>
  <c r="BF91" i="3"/>
  <c r="BE91" i="3"/>
  <c r="BD91" i="3"/>
  <c r="BC91" i="3"/>
  <c r="BB91" i="3"/>
  <c r="AX91" i="3"/>
  <c r="AW91" i="3"/>
  <c r="AV91" i="3"/>
  <c r="AC91" i="3"/>
  <c r="H91" i="3"/>
  <c r="G91" i="3"/>
  <c r="BT90" i="3"/>
  <c r="BS90" i="3"/>
  <c r="BR90" i="3"/>
  <c r="BL90" i="3" s="1"/>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A81" i="3" s="1"/>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B77" i="3"/>
  <c r="BA77" i="3"/>
  <c r="AX77" i="3"/>
  <c r="AW77" i="3"/>
  <c r="AV77" i="3"/>
  <c r="AC77" i="3"/>
  <c r="H77" i="3"/>
  <c r="G77" i="3"/>
  <c r="BT76" i="3"/>
  <c r="BS76" i="3"/>
  <c r="BR76" i="3"/>
  <c r="BL76" i="3" s="1"/>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A74" i="3" s="1"/>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A70" i="3" s="1"/>
  <c r="BG70" i="3"/>
  <c r="BF70" i="3"/>
  <c r="BE70" i="3"/>
  <c r="BD70" i="3"/>
  <c r="BC70" i="3"/>
  <c r="BB70" i="3"/>
  <c r="AX70" i="3"/>
  <c r="AW70" i="3"/>
  <c r="AV70" i="3"/>
  <c r="AC70" i="3"/>
  <c r="H70" i="3"/>
  <c r="G70" i="3"/>
  <c r="BT69" i="3"/>
  <c r="BS69" i="3"/>
  <c r="BL69" i="3" s="1"/>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L66" i="3" s="1"/>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A64" i="3" s="1"/>
  <c r="BE64" i="3"/>
  <c r="BD64" i="3"/>
  <c r="BC64" i="3"/>
  <c r="BB64" i="3"/>
  <c r="AX64" i="3"/>
  <c r="AW64" i="3"/>
  <c r="AV64" i="3"/>
  <c r="AC64" i="3"/>
  <c r="H64" i="3"/>
  <c r="G64" i="3"/>
  <c r="BT63" i="3"/>
  <c r="BS63" i="3"/>
  <c r="BR63" i="3"/>
  <c r="BQ63" i="3"/>
  <c r="BL63" i="3" s="1"/>
  <c r="BP63" i="3"/>
  <c r="BO63" i="3"/>
  <c r="BN63" i="3"/>
  <c r="BM63" i="3"/>
  <c r="BK63" i="3"/>
  <c r="BJ63" i="3"/>
  <c r="BI63" i="3"/>
  <c r="BH63" i="3"/>
  <c r="BG63" i="3"/>
  <c r="BF63" i="3"/>
  <c r="BE63" i="3"/>
  <c r="BD63" i="3"/>
  <c r="BC63" i="3"/>
  <c r="BB63" i="3"/>
  <c r="BA63" i="3"/>
  <c r="AX63" i="3"/>
  <c r="AW63" i="3"/>
  <c r="AV63" i="3"/>
  <c r="AC63" i="3"/>
  <c r="H63" i="3"/>
  <c r="G63" i="3" s="1"/>
  <c r="BT62" i="3"/>
  <c r="BS62" i="3"/>
  <c r="BL62" i="3" s="1"/>
  <c r="BR62" i="3"/>
  <c r="BQ62" i="3"/>
  <c r="BP62" i="3"/>
  <c r="BO62" i="3"/>
  <c r="BN62" i="3"/>
  <c r="BM62" i="3"/>
  <c r="BK62" i="3"/>
  <c r="BJ62" i="3"/>
  <c r="BI62" i="3"/>
  <c r="BH62" i="3"/>
  <c r="BG62" i="3"/>
  <c r="BF62" i="3"/>
  <c r="BE62" i="3"/>
  <c r="BD62" i="3"/>
  <c r="BC62" i="3"/>
  <c r="BA62" i="3" s="1"/>
  <c r="AZ62" i="3" s="1"/>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A58" i="3" s="1"/>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L51" i="3" s="1"/>
  <c r="BN51" i="3"/>
  <c r="BM51" i="3"/>
  <c r="BK51" i="3"/>
  <c r="BJ51" i="3"/>
  <c r="BI51" i="3"/>
  <c r="BH51" i="3"/>
  <c r="BG51" i="3"/>
  <c r="BA51" i="3" s="1"/>
  <c r="BF51" i="3"/>
  <c r="BE51" i="3"/>
  <c r="BD51" i="3"/>
  <c r="BC51" i="3"/>
  <c r="BB51" i="3"/>
  <c r="AX51" i="3"/>
  <c r="AW51" i="3"/>
  <c r="AV51" i="3"/>
  <c r="AC51" i="3"/>
  <c r="H51" i="3"/>
  <c r="G51" i="3"/>
  <c r="BT50" i="3"/>
  <c r="BS50" i="3"/>
  <c r="BR50" i="3"/>
  <c r="BQ50" i="3"/>
  <c r="BL50" i="3" s="1"/>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A45" i="3" s="1"/>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L41" i="3" s="1"/>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K39" i="3"/>
  <c r="BJ39" i="3"/>
  <c r="BI39" i="3"/>
  <c r="BH39" i="3"/>
  <c r="BG39" i="3"/>
  <c r="BF39" i="3"/>
  <c r="BE39" i="3"/>
  <c r="BA39" i="3" s="1"/>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L29" i="3" s="1"/>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A27" i="3" s="1"/>
  <c r="BG27" i="3"/>
  <c r="BF27" i="3"/>
  <c r="BE27" i="3"/>
  <c r="BD27" i="3"/>
  <c r="BC27" i="3"/>
  <c r="BB27" i="3"/>
  <c r="AX27" i="3"/>
  <c r="AW27" i="3"/>
  <c r="AV27" i="3"/>
  <c r="AC27" i="3"/>
  <c r="H27" i="3"/>
  <c r="G27" i="3" s="1"/>
  <c r="BT26" i="3"/>
  <c r="BS26" i="3"/>
  <c r="BL26" i="3" s="1"/>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A21" i="3" s="1"/>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A18" i="3" s="1"/>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L202" i="3" s="1"/>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BA198" i="3"/>
  <c r="AX198" i="3"/>
  <c r="AW198" i="3"/>
  <c r="AV198" i="3"/>
  <c r="AC198" i="3"/>
  <c r="H198" i="3"/>
  <c r="G198" i="3" s="1"/>
  <c r="BT197" i="3"/>
  <c r="BS197" i="3"/>
  <c r="BL197" i="3" s="1"/>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L193" i="3" s="1"/>
  <c r="BM193" i="3"/>
  <c r="BK193" i="3"/>
  <c r="BJ193" i="3"/>
  <c r="BI193" i="3"/>
  <c r="BH193" i="3"/>
  <c r="BA193" i="3" s="1"/>
  <c r="AZ193" i="3" s="1"/>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B186" i="3"/>
  <c r="BA186" i="3"/>
  <c r="AX186" i="3"/>
  <c r="AW186" i="3"/>
  <c r="AV186" i="3"/>
  <c r="AC186" i="3"/>
  <c r="H186" i="3"/>
  <c r="G186" i="3" s="1"/>
  <c r="BT185" i="3"/>
  <c r="BS185" i="3"/>
  <c r="BL185" i="3" s="1"/>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L179" i="3" s="1"/>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A158" i="3" s="1"/>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L150" i="3" s="1"/>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A146" i="3" s="1"/>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K141" i="3"/>
  <c r="BJ141" i="3"/>
  <c r="BI141" i="3"/>
  <c r="BH141" i="3"/>
  <c r="BA141" i="3" s="1"/>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L137" i="3" s="1"/>
  <c r="BM137" i="3"/>
  <c r="BK137" i="3"/>
  <c r="BJ137" i="3"/>
  <c r="BI137" i="3"/>
  <c r="BH137" i="3"/>
  <c r="BG137" i="3"/>
  <c r="BF137" i="3"/>
  <c r="BE137" i="3"/>
  <c r="BD137" i="3"/>
  <c r="BA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A130" i="3" s="1"/>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A121" i="3" s="1"/>
  <c r="AZ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L302" i="3" s="1"/>
  <c r="BR302" i="3"/>
  <c r="BQ302" i="3"/>
  <c r="BP302" i="3"/>
  <c r="BO302" i="3"/>
  <c r="BN302" i="3"/>
  <c r="BM302" i="3"/>
  <c r="BK302" i="3"/>
  <c r="BJ302" i="3"/>
  <c r="BI302" i="3"/>
  <c r="BH302" i="3"/>
  <c r="BG302" i="3"/>
  <c r="BF302" i="3"/>
  <c r="BE302" i="3"/>
  <c r="BD302" i="3"/>
  <c r="BC302" i="3"/>
  <c r="BA302" i="3" s="1"/>
  <c r="AZ302" i="3" s="1"/>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A298" i="3" s="1"/>
  <c r="AZ298" i="3" s="1"/>
  <c r="BE298" i="3"/>
  <c r="BD298" i="3"/>
  <c r="BC298" i="3"/>
  <c r="BB298" i="3"/>
  <c r="AX298" i="3"/>
  <c r="AW298" i="3"/>
  <c r="AV298" i="3"/>
  <c r="AC298" i="3"/>
  <c r="H298" i="3"/>
  <c r="G298" i="3"/>
  <c r="BT297" i="3"/>
  <c r="BS297" i="3"/>
  <c r="BR297" i="3"/>
  <c r="BQ297" i="3"/>
  <c r="BL297" i="3" s="1"/>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L296" i="3" s="1"/>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L291" i="3" s="1"/>
  <c r="BR291" i="3"/>
  <c r="BQ291" i="3"/>
  <c r="BP291" i="3"/>
  <c r="BO291" i="3"/>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A289" i="3" s="1"/>
  <c r="BD289" i="3"/>
  <c r="BC289" i="3"/>
  <c r="BB289" i="3"/>
  <c r="AX289" i="3"/>
  <c r="AW289" i="3"/>
  <c r="AV289" i="3"/>
  <c r="AC289" i="3"/>
  <c r="H289" i="3"/>
  <c r="G289" i="3" s="1"/>
  <c r="BT288" i="3"/>
  <c r="BS288" i="3"/>
  <c r="BR288" i="3"/>
  <c r="BQ288" i="3"/>
  <c r="BP288" i="3"/>
  <c r="BL288" i="3" s="1"/>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L280" i="3" s="1"/>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L275" i="3" s="1"/>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L274" i="3" s="1"/>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A272" i="3" s="1"/>
  <c r="AZ272" i="3" s="1"/>
  <c r="BF272" i="3"/>
  <c r="BE272" i="3"/>
  <c r="BD272" i="3"/>
  <c r="BC272" i="3"/>
  <c r="BB272" i="3"/>
  <c r="AX272" i="3"/>
  <c r="AW272" i="3"/>
  <c r="AV272" i="3"/>
  <c r="AC272" i="3"/>
  <c r="H272" i="3"/>
  <c r="G272" i="3"/>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A269" i="3" s="1"/>
  <c r="BD269" i="3"/>
  <c r="BC269" i="3"/>
  <c r="BB269" i="3"/>
  <c r="AX269" i="3"/>
  <c r="AW269" i="3"/>
  <c r="AV269" i="3"/>
  <c r="AC269" i="3"/>
  <c r="G269" i="3" s="1"/>
  <c r="H269" i="3"/>
  <c r="BT268" i="3"/>
  <c r="BS268" i="3"/>
  <c r="BR268" i="3"/>
  <c r="BQ268" i="3"/>
  <c r="BP268" i="3"/>
  <c r="BO268" i="3"/>
  <c r="BL268" i="3" s="1"/>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BA267" i="3"/>
  <c r="AX267" i="3"/>
  <c r="AW267" i="3"/>
  <c r="AV267" i="3"/>
  <c r="AC267" i="3"/>
  <c r="H267" i="3"/>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L260" i="3" s="1"/>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A258" i="3" s="1"/>
  <c r="AZ258" i="3" s="1"/>
  <c r="BE258" i="3"/>
  <c r="BD258" i="3"/>
  <c r="BC258" i="3"/>
  <c r="BB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A254" i="3" s="1"/>
  <c r="BG254" i="3"/>
  <c r="BF254" i="3"/>
  <c r="BE254" i="3"/>
  <c r="BD254" i="3"/>
  <c r="BC254" i="3"/>
  <c r="BB254" i="3"/>
  <c r="AX254" i="3"/>
  <c r="AW254" i="3"/>
  <c r="AV254" i="3"/>
  <c r="AC254" i="3"/>
  <c r="H254" i="3"/>
  <c r="G254" i="3"/>
  <c r="BT253" i="3"/>
  <c r="BS253" i="3"/>
  <c r="BR253" i="3"/>
  <c r="BL253" i="3" s="1"/>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A251" i="3" s="1"/>
  <c r="BF251" i="3"/>
  <c r="BE251" i="3"/>
  <c r="BD251" i="3"/>
  <c r="BC251" i="3"/>
  <c r="BB251" i="3"/>
  <c r="AX251" i="3"/>
  <c r="AW251" i="3"/>
  <c r="AV251" i="3"/>
  <c r="AC251" i="3"/>
  <c r="H251" i="3"/>
  <c r="G251" i="3" s="1"/>
  <c r="BT250" i="3"/>
  <c r="BS250" i="3"/>
  <c r="BR250" i="3"/>
  <c r="BQ250" i="3"/>
  <c r="BL250" i="3" s="1"/>
  <c r="BP250" i="3"/>
  <c r="BO250" i="3"/>
  <c r="BN250" i="3"/>
  <c r="BM250" i="3"/>
  <c r="BK250" i="3"/>
  <c r="BJ250" i="3"/>
  <c r="BI250" i="3"/>
  <c r="BH250" i="3"/>
  <c r="BG250" i="3"/>
  <c r="BF250" i="3"/>
  <c r="BE250" i="3"/>
  <c r="BD250" i="3"/>
  <c r="BC250" i="3"/>
  <c r="BB250" i="3"/>
  <c r="BA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G248" i="3" s="1"/>
  <c r="H248" i="3"/>
  <c r="BT247" i="3"/>
  <c r="BS247" i="3"/>
  <c r="BR247" i="3"/>
  <c r="BQ247" i="3"/>
  <c r="BP247" i="3"/>
  <c r="BO247" i="3"/>
  <c r="BL247" i="3" s="1"/>
  <c r="BN247" i="3"/>
  <c r="BM247" i="3"/>
  <c r="BK247" i="3"/>
  <c r="BJ247" i="3"/>
  <c r="BI247" i="3"/>
  <c r="BH247" i="3"/>
  <c r="BG247" i="3"/>
  <c r="BA247" i="3" s="1"/>
  <c r="BF247" i="3"/>
  <c r="BE247" i="3"/>
  <c r="BD247" i="3"/>
  <c r="BC247" i="3"/>
  <c r="BB247" i="3"/>
  <c r="AX247" i="3"/>
  <c r="AW247" i="3"/>
  <c r="AV247" i="3"/>
  <c r="AC247" i="3"/>
  <c r="H247" i="3"/>
  <c r="G247" i="3"/>
  <c r="BT246" i="3"/>
  <c r="BS246" i="3"/>
  <c r="BR246" i="3"/>
  <c r="BL246" i="3" s="1"/>
  <c r="BQ246" i="3"/>
  <c r="BP246" i="3"/>
  <c r="BO246" i="3"/>
  <c r="BN246" i="3"/>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G245" i="3" s="1"/>
  <c r="H245" i="3"/>
  <c r="BT244" i="3"/>
  <c r="BS244" i="3"/>
  <c r="BR244" i="3"/>
  <c r="BQ244" i="3"/>
  <c r="BP244" i="3"/>
  <c r="BO244" i="3"/>
  <c r="BL244" i="3" s="1"/>
  <c r="BN244" i="3"/>
  <c r="BM244" i="3"/>
  <c r="BK244" i="3"/>
  <c r="BJ244" i="3"/>
  <c r="BI244" i="3"/>
  <c r="BH244" i="3"/>
  <c r="BG244" i="3"/>
  <c r="BA244" i="3" s="1"/>
  <c r="BF244" i="3"/>
  <c r="BE244" i="3"/>
  <c r="BD244" i="3"/>
  <c r="BC244" i="3"/>
  <c r="BB244" i="3"/>
  <c r="AX244" i="3"/>
  <c r="AW244" i="3"/>
  <c r="AV244" i="3"/>
  <c r="AC244" i="3"/>
  <c r="H244" i="3"/>
  <c r="G244" i="3"/>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L241" i="3" s="1"/>
  <c r="BN241" i="3"/>
  <c r="BM241" i="3"/>
  <c r="BK241" i="3"/>
  <c r="BJ241" i="3"/>
  <c r="BI241" i="3"/>
  <c r="BH241" i="3"/>
  <c r="BG241" i="3"/>
  <c r="BA241" i="3" s="1"/>
  <c r="BF241" i="3"/>
  <c r="BE241" i="3"/>
  <c r="BD241" i="3"/>
  <c r="BC241" i="3"/>
  <c r="BB241" i="3"/>
  <c r="AX241" i="3"/>
  <c r="AW241" i="3"/>
  <c r="AV241" i="3"/>
  <c r="AC241" i="3"/>
  <c r="H241" i="3"/>
  <c r="G241" i="3" s="1"/>
  <c r="BT240" i="3"/>
  <c r="BS240" i="3"/>
  <c r="BR240" i="3"/>
  <c r="BQ240" i="3"/>
  <c r="BL240" i="3" s="1"/>
  <c r="BP240" i="3"/>
  <c r="BO240" i="3"/>
  <c r="BN240" i="3"/>
  <c r="BM240" i="3"/>
  <c r="BK240" i="3"/>
  <c r="BJ240" i="3"/>
  <c r="BI240" i="3"/>
  <c r="BH240" i="3"/>
  <c r="BG240" i="3"/>
  <c r="BF240" i="3"/>
  <c r="BE240" i="3"/>
  <c r="BD240" i="3"/>
  <c r="BC240" i="3"/>
  <c r="BB240" i="3"/>
  <c r="BA240" i="3"/>
  <c r="AX240" i="3"/>
  <c r="AW240" i="3"/>
  <c r="AV240" i="3"/>
  <c r="AC240" i="3"/>
  <c r="H240" i="3"/>
  <c r="G240" i="3"/>
  <c r="BT239" i="3"/>
  <c r="BS239" i="3"/>
  <c r="BL239" i="3" s="1"/>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A238" i="3" s="1"/>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A237" i="3" s="1"/>
  <c r="BG237" i="3"/>
  <c r="BF237" i="3"/>
  <c r="BE237" i="3"/>
  <c r="BD237" i="3"/>
  <c r="BC237" i="3"/>
  <c r="BB237" i="3"/>
  <c r="AX237" i="3"/>
  <c r="AW237" i="3"/>
  <c r="AV237" i="3"/>
  <c r="AC237" i="3"/>
  <c r="H237" i="3"/>
  <c r="G237" i="3"/>
  <c r="BT236" i="3"/>
  <c r="BS236" i="3"/>
  <c r="BR236" i="3"/>
  <c r="BL236" i="3" s="1"/>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A234" i="3" s="1"/>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L232" i="3" s="1"/>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A227" i="3" s="1"/>
  <c r="BG227" i="3"/>
  <c r="BF227" i="3"/>
  <c r="BE227" i="3"/>
  <c r="BD227" i="3"/>
  <c r="BC227" i="3"/>
  <c r="BB227" i="3"/>
  <c r="AX227" i="3"/>
  <c r="AW227" i="3"/>
  <c r="AV227" i="3"/>
  <c r="AC227" i="3"/>
  <c r="H227" i="3"/>
  <c r="G227" i="3"/>
  <c r="BT226" i="3"/>
  <c r="BS226" i="3"/>
  <c r="BR226" i="3"/>
  <c r="BL226" i="3" s="1"/>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A224" i="3" s="1"/>
  <c r="BG224" i="3"/>
  <c r="BF224" i="3"/>
  <c r="BE224" i="3"/>
  <c r="BD224" i="3"/>
  <c r="BC224" i="3"/>
  <c r="BB224" i="3"/>
  <c r="AX224" i="3"/>
  <c r="AW224" i="3"/>
  <c r="AV224" i="3"/>
  <c r="AC224" i="3"/>
  <c r="H224" i="3"/>
  <c r="G224" i="3"/>
  <c r="BT223" i="3"/>
  <c r="BS223" i="3"/>
  <c r="BR223" i="3"/>
  <c r="BL223" i="3" s="1"/>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A221" i="3" s="1"/>
  <c r="BE221" i="3"/>
  <c r="BD221" i="3"/>
  <c r="BC221" i="3"/>
  <c r="BB221" i="3"/>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A218" i="3" s="1"/>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A215" i="3" s="1"/>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L213" i="3" s="1"/>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A211" i="3" s="1"/>
  <c r="AZ211" i="3" s="1"/>
  <c r="BG211" i="3"/>
  <c r="BF211" i="3"/>
  <c r="BE211" i="3"/>
  <c r="BD211" i="3"/>
  <c r="BC211" i="3"/>
  <c r="BB211" i="3"/>
  <c r="AX211" i="3"/>
  <c r="AW211" i="3"/>
  <c r="AV211" i="3"/>
  <c r="AC211" i="3"/>
  <c r="H211" i="3"/>
  <c r="G211" i="3"/>
  <c r="BT210" i="3"/>
  <c r="BS210" i="3"/>
  <c r="BL210" i="3" s="1"/>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A209" i="3" s="1"/>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A208" i="3" s="1"/>
  <c r="AZ208" i="3" s="1"/>
  <c r="BG208" i="3"/>
  <c r="BF208" i="3"/>
  <c r="BE208" i="3"/>
  <c r="BD208" i="3"/>
  <c r="BC208" i="3"/>
  <c r="BB208" i="3"/>
  <c r="AX208" i="3"/>
  <c r="AW208" i="3"/>
  <c r="AV208" i="3"/>
  <c r="AC208" i="3"/>
  <c r="H208" i="3"/>
  <c r="G208" i="3"/>
  <c r="BT397" i="3"/>
  <c r="BS397" i="3"/>
  <c r="BL397" i="3" s="1"/>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A396" i="3" s="1"/>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A395" i="3" s="1"/>
  <c r="AZ395" i="3" s="1"/>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L386" i="3" s="1"/>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L375" i="3" s="1"/>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A374" i="3" s="1"/>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A370" i="3" s="1"/>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L368" i="3" s="1"/>
  <c r="BN368" i="3"/>
  <c r="BM368" i="3"/>
  <c r="BK368" i="3"/>
  <c r="BJ368" i="3"/>
  <c r="BI368" i="3"/>
  <c r="BH368" i="3"/>
  <c r="BG368" i="3"/>
  <c r="BA368" i="3" s="1"/>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A367" i="3" s="1"/>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A366" i="3" s="1"/>
  <c r="BG366" i="3"/>
  <c r="BF366" i="3"/>
  <c r="BE366" i="3"/>
  <c r="BD366" i="3"/>
  <c r="BC366" i="3"/>
  <c r="BB366" i="3"/>
  <c r="AX366" i="3"/>
  <c r="AW366" i="3"/>
  <c r="AV366" i="3"/>
  <c r="AC366" i="3"/>
  <c r="H366" i="3"/>
  <c r="G366" i="3"/>
  <c r="BT365" i="3"/>
  <c r="BS365" i="3"/>
  <c r="BR365" i="3"/>
  <c r="BL365" i="3" s="1"/>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A353" i="3" s="1"/>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A352" i="3" s="1"/>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A350" i="3" s="1"/>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A349" i="3" s="1"/>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A480" i="3" s="1"/>
  <c r="AZ480" i="3" s="1"/>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A464" i="3" s="1"/>
  <c r="AZ464" i="3" s="1"/>
  <c r="BE464" i="3"/>
  <c r="BD464" i="3"/>
  <c r="BC464" i="3"/>
  <c r="BB464" i="3"/>
  <c r="AX464" i="3"/>
  <c r="AW464" i="3"/>
  <c r="AV464" i="3"/>
  <c r="AC464" i="3"/>
  <c r="H464" i="3"/>
  <c r="G464" i="3"/>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A451" i="3" s="1"/>
  <c r="AZ451" i="3" s="1"/>
  <c r="BD451" i="3"/>
  <c r="BC451" i="3"/>
  <c r="BB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A448" i="3" s="1"/>
  <c r="AZ448" i="3" s="1"/>
  <c r="BD448" i="3"/>
  <c r="BC448" i="3"/>
  <c r="BB448" i="3"/>
  <c r="AX448" i="3"/>
  <c r="AW448" i="3"/>
  <c r="AV448" i="3"/>
  <c r="AC448" i="3"/>
  <c r="H448" i="3"/>
  <c r="G448" i="3"/>
  <c r="BT447" i="3"/>
  <c r="BS447" i="3"/>
  <c r="BR447" i="3"/>
  <c r="BQ447" i="3"/>
  <c r="BP447" i="3"/>
  <c r="BL447" i="3" s="1"/>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A446" i="3" s="1"/>
  <c r="AZ446" i="3" s="1"/>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A443" i="3" s="1"/>
  <c r="AZ443" i="3" s="1"/>
  <c r="BD443" i="3"/>
  <c r="BC443" i="3"/>
  <c r="BB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A437" i="3" s="1"/>
  <c r="BD437" i="3"/>
  <c r="BC437" i="3"/>
  <c r="BB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L433" i="3" s="1"/>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A431" i="3" s="1"/>
  <c r="AZ431" i="3" s="1"/>
  <c r="BD431" i="3"/>
  <c r="BC431" i="3"/>
  <c r="BB431" i="3"/>
  <c r="AX431" i="3"/>
  <c r="AW431" i="3"/>
  <c r="AV431" i="3"/>
  <c r="AC431" i="3"/>
  <c r="G431" i="3" s="1"/>
  <c r="H431" i="3"/>
  <c r="BT430" i="3"/>
  <c r="BS430" i="3"/>
  <c r="BR430" i="3"/>
  <c r="BQ430" i="3"/>
  <c r="BP430" i="3"/>
  <c r="BL430" i="3" s="1"/>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L419" i="3" s="1"/>
  <c r="BO419" i="3"/>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L416" i="3" s="1"/>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L402" i="3" s="1"/>
  <c r="BO402" i="3"/>
  <c r="BN402" i="3"/>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A400" i="3" s="1"/>
  <c r="AZ400" i="3" s="1"/>
  <c r="BD400" i="3"/>
  <c r="BC400" i="3"/>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C25" i="31"/>
  <c r="C26" i="31"/>
  <c r="C27" i="31"/>
  <c r="C28" i="31"/>
  <c r="C29" i="31"/>
  <c r="C30" i="31"/>
  <c r="C31" i="31"/>
  <c r="C32" i="31"/>
  <c r="C33" i="31"/>
  <c r="C34" i="31"/>
  <c r="C35" i="31"/>
  <c r="C36" i="31"/>
  <c r="C37" i="31"/>
  <c r="C38" i="31"/>
  <c r="C39" i="31"/>
  <c r="C40" i="31"/>
  <c r="C41" i="31"/>
  <c r="C42" i="31"/>
  <c r="C43"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O29" i="31"/>
  <c r="O30" i="31"/>
  <c r="O31" i="31"/>
  <c r="O32" i="31"/>
  <c r="O33" i="31"/>
  <c r="O34" i="31"/>
  <c r="O35" i="31"/>
  <c r="O36" i="31"/>
  <c r="O37" i="31"/>
  <c r="O38" i="31"/>
  <c r="O39" i="31"/>
  <c r="O40" i="31"/>
  <c r="O41" i="31"/>
  <c r="O42" i="31"/>
  <c r="O43"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M29" i="31"/>
  <c r="M30" i="31"/>
  <c r="M31" i="31"/>
  <c r="M32" i="31"/>
  <c r="M33" i="31"/>
  <c r="M34" i="31"/>
  <c r="M35" i="31"/>
  <c r="M36" i="31"/>
  <c r="M37" i="31"/>
  <c r="M38" i="31"/>
  <c r="M39" i="31"/>
  <c r="M40" i="31"/>
  <c r="M41" i="31"/>
  <c r="M42" i="31"/>
  <c r="M43"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K30" i="31"/>
  <c r="K32" i="31"/>
  <c r="K34" i="31"/>
  <c r="K36" i="31"/>
  <c r="K38" i="31"/>
  <c r="K40" i="31"/>
  <c r="K42"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I29" i="31"/>
  <c r="I30" i="31"/>
  <c r="I31" i="31"/>
  <c r="I32" i="31"/>
  <c r="I33" i="31"/>
  <c r="I34" i="31"/>
  <c r="I35" i="31"/>
  <c r="I36" i="31"/>
  <c r="I37" i="31"/>
  <c r="I38" i="31"/>
  <c r="I39" i="31"/>
  <c r="I40" i="31"/>
  <c r="I41" i="31"/>
  <c r="I42" i="31"/>
  <c r="I43"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26" i="31"/>
  <c r="G27" i="31"/>
  <c r="G28" i="31"/>
  <c r="E29" i="31"/>
  <c r="E30" i="31"/>
  <c r="E31" i="31"/>
  <c r="E32" i="31"/>
  <c r="E33" i="31"/>
  <c r="E34" i="31"/>
  <c r="E35" i="31"/>
  <c r="E36" i="31"/>
  <c r="E37" i="31"/>
  <c r="E38" i="31"/>
  <c r="E39" i="31"/>
  <c r="E40" i="31"/>
  <c r="E41" i="31"/>
  <c r="E42" i="31"/>
  <c r="E43"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26" i="31"/>
  <c r="E27" i="31"/>
  <c r="E28" i="31"/>
  <c r="P23" i="31"/>
  <c r="N23" i="31"/>
  <c r="L23" i="31"/>
  <c r="J23" i="31"/>
  <c r="H23" i="31"/>
  <c r="F23" i="31"/>
  <c r="Q25" i="31"/>
  <c r="O25" i="31"/>
  <c r="M25" i="31"/>
  <c r="K25" i="31"/>
  <c r="G25" i="31"/>
  <c r="E25" i="31"/>
  <c r="S78" i="31"/>
  <c r="S77" i="31"/>
  <c r="S76" i="31"/>
  <c r="S75" i="31"/>
  <c r="S74" i="31"/>
  <c r="S73" i="31"/>
  <c r="S72" i="31"/>
  <c r="S71" i="31"/>
  <c r="S67" i="31"/>
  <c r="S98" i="31"/>
  <c r="S97" i="31"/>
  <c r="S96" i="31"/>
  <c r="S95" i="31"/>
  <c r="S94" i="31"/>
  <c r="S93" i="31"/>
  <c r="S92" i="31"/>
  <c r="S91" i="31"/>
  <c r="S90" i="31"/>
  <c r="S89" i="31"/>
  <c r="S88" i="31"/>
  <c r="S87" i="31"/>
  <c r="S86" i="31"/>
  <c r="S85" i="31"/>
  <c r="S84" i="31"/>
  <c r="S83" i="31"/>
  <c r="S82" i="31"/>
  <c r="S81" i="31"/>
  <c r="S80" i="31"/>
  <c r="S79" i="31"/>
  <c r="S99" i="31"/>
  <c r="S100" i="31"/>
  <c r="S101" i="31"/>
  <c r="S102"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BL496" i="3" s="1"/>
  <c r="H497" i="3"/>
  <c r="AC497" i="3"/>
  <c r="BB497" i="3"/>
  <c r="BC497" i="3"/>
  <c r="BD497" i="3"/>
  <c r="BE497" i="3"/>
  <c r="BF497" i="3"/>
  <c r="BG497" i="3"/>
  <c r="BA497" i="3" s="1"/>
  <c r="BH497" i="3"/>
  <c r="BI497" i="3"/>
  <c r="BJ497" i="3"/>
  <c r="BK497" i="3"/>
  <c r="BM497" i="3"/>
  <c r="BN497" i="3"/>
  <c r="BO497" i="3"/>
  <c r="BP497" i="3"/>
  <c r="BL497" i="3" s="1"/>
  <c r="BR497" i="3"/>
  <c r="BS497" i="3"/>
  <c r="BT497" i="3"/>
  <c r="H498" i="3"/>
  <c r="AC498" i="3"/>
  <c r="BB498" i="3"/>
  <c r="BC498" i="3"/>
  <c r="BD498" i="3"/>
  <c r="BA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H5" i="3" s="1"/>
  <c r="BI499" i="3"/>
  <c r="BJ499" i="3"/>
  <c r="BK499" i="3"/>
  <c r="BM499" i="3"/>
  <c r="BN499" i="3"/>
  <c r="BO499" i="3"/>
  <c r="BP499" i="3"/>
  <c r="BR499" i="3"/>
  <c r="BR5" i="3" s="1"/>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I5" i="3" s="1"/>
  <c r="BJ501" i="3"/>
  <c r="BK501" i="3"/>
  <c r="BM501" i="3"/>
  <c r="BN501" i="3"/>
  <c r="BO501" i="3"/>
  <c r="BP501" i="3"/>
  <c r="BR501" i="3"/>
  <c r="BS501" i="3"/>
  <c r="BT501" i="3"/>
  <c r="H502" i="3"/>
  <c r="AC502" i="3"/>
  <c r="BB502" i="3"/>
  <c r="BC502" i="3"/>
  <c r="BD502" i="3"/>
  <c r="BE502" i="3"/>
  <c r="BF502" i="3"/>
  <c r="BA502" i="3" s="1"/>
  <c r="AZ502" i="3" s="1"/>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BL503" i="3" s="1"/>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A506" i="3" s="1"/>
  <c r="BI506" i="3"/>
  <c r="BJ506" i="3"/>
  <c r="BK506" i="3"/>
  <c r="BM506" i="3"/>
  <c r="BN506" i="3"/>
  <c r="BO506" i="3"/>
  <c r="BP506" i="3"/>
  <c r="BQ506" i="3"/>
  <c r="BL506" i="3" s="1"/>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A508" i="3" s="1"/>
  <c r="BJ508" i="3"/>
  <c r="BK508" i="3"/>
  <c r="BM508" i="3"/>
  <c r="BN508" i="3"/>
  <c r="BO508" i="3"/>
  <c r="BP508" i="3"/>
  <c r="BQ508" i="3"/>
  <c r="BR508" i="3"/>
  <c r="BL508" i="3" s="1"/>
  <c r="BS508" i="3"/>
  <c r="BT508" i="3"/>
  <c r="H509" i="3"/>
  <c r="BB509" i="3"/>
  <c r="BC509" i="3"/>
  <c r="BD509" i="3"/>
  <c r="BE509" i="3"/>
  <c r="BF509" i="3"/>
  <c r="BA509" i="3" s="1"/>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A511" i="3" s="1"/>
  <c r="BH511" i="3"/>
  <c r="BI511" i="3"/>
  <c r="BJ511" i="3"/>
  <c r="BK511" i="3"/>
  <c r="BM511" i="3"/>
  <c r="BN511" i="3"/>
  <c r="BO511" i="3"/>
  <c r="BP511" i="3"/>
  <c r="BL511" i="3" s="1"/>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L513" i="3" s="1"/>
  <c r="BS513" i="3"/>
  <c r="BT513" i="3"/>
  <c r="H514" i="3"/>
  <c r="AC514" i="3"/>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A520" i="3" s="1"/>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A523" i="3" s="1"/>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s="1"/>
  <c r="H525" i="3"/>
  <c r="AC525" i="3"/>
  <c r="BB525" i="3"/>
  <c r="BC525" i="3"/>
  <c r="BD525" i="3"/>
  <c r="BE525" i="3"/>
  <c r="BF525" i="3"/>
  <c r="BG525" i="3"/>
  <c r="BA525" i="3" s="1"/>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A552" i="3" s="1"/>
  <c r="BI552" i="3"/>
  <c r="BJ552" i="3"/>
  <c r="BK552" i="3"/>
  <c r="BM552" i="3"/>
  <c r="BN552" i="3"/>
  <c r="BO552" i="3"/>
  <c r="BP552" i="3"/>
  <c r="BQ552" i="3"/>
  <c r="BR552" i="3"/>
  <c r="BS552" i="3"/>
  <c r="BT552" i="3"/>
  <c r="H553" i="3"/>
  <c r="AC553" i="3"/>
  <c r="BB553" i="3"/>
  <c r="BC553" i="3"/>
  <c r="BD553" i="3"/>
  <c r="BD5"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A554" i="3" s="1"/>
  <c r="BJ554" i="3"/>
  <c r="BK554" i="3"/>
  <c r="BM554" i="3"/>
  <c r="BN554" i="3"/>
  <c r="BO554" i="3"/>
  <c r="BP554" i="3"/>
  <c r="BQ554" i="3"/>
  <c r="BR554" i="3"/>
  <c r="BL554" i="3" s="1"/>
  <c r="BS554" i="3"/>
  <c r="BT554" i="3"/>
  <c r="H555" i="3"/>
  <c r="AC555" i="3"/>
  <c r="BB555" i="3"/>
  <c r="BC555" i="3"/>
  <c r="BD555" i="3"/>
  <c r="BE555" i="3"/>
  <c r="BA555" i="3" s="1"/>
  <c r="BF555" i="3"/>
  <c r="BG555" i="3"/>
  <c r="BH555" i="3"/>
  <c r="BI555" i="3"/>
  <c r="BJ555" i="3"/>
  <c r="BK555" i="3"/>
  <c r="BM555" i="3"/>
  <c r="BN555" i="3"/>
  <c r="BL555" i="3" s="1"/>
  <c r="BO555" i="3"/>
  <c r="BP555" i="3"/>
  <c r="BR555" i="3"/>
  <c r="BS555" i="3"/>
  <c r="BT555" i="3"/>
  <c r="H556" i="3"/>
  <c r="AC556" i="3"/>
  <c r="G556" i="3"/>
  <c r="BB556" i="3"/>
  <c r="BC556" i="3"/>
  <c r="BD556" i="3"/>
  <c r="BE556" i="3"/>
  <c r="BF556" i="3"/>
  <c r="BG556" i="3"/>
  <c r="BH556" i="3"/>
  <c r="BI556" i="3"/>
  <c r="BA556" i="3" s="1"/>
  <c r="BJ556" i="3"/>
  <c r="BK556" i="3"/>
  <c r="BM556" i="3"/>
  <c r="BN556" i="3"/>
  <c r="BO556" i="3"/>
  <c r="BP556" i="3"/>
  <c r="BQ556" i="3"/>
  <c r="BR556" i="3"/>
  <c r="BL556" i="3" s="1"/>
  <c r="BS556" i="3"/>
  <c r="BT556" i="3"/>
  <c r="H557" i="3"/>
  <c r="BB557" i="3"/>
  <c r="BC557" i="3"/>
  <c r="BD557" i="3"/>
  <c r="BE557" i="3"/>
  <c r="BF557" i="3"/>
  <c r="BF5" i="3" s="1"/>
  <c r="BG557" i="3"/>
  <c r="BH557" i="3"/>
  <c r="BI557" i="3"/>
  <c r="BJ557" i="3"/>
  <c r="BK557" i="3"/>
  <c r="BM557" i="3"/>
  <c r="BN557" i="3"/>
  <c r="BO557" i="3"/>
  <c r="BL557" i="3" s="1"/>
  <c r="BP557" i="3"/>
  <c r="BR557" i="3"/>
  <c r="BS557" i="3"/>
  <c r="BT557" i="3"/>
  <c r="H558" i="3"/>
  <c r="AC558" i="3"/>
  <c r="G558" i="3"/>
  <c r="BB558" i="3"/>
  <c r="BA558" i="3" s="1"/>
  <c r="BC558" i="3"/>
  <c r="BD558" i="3"/>
  <c r="BE558" i="3"/>
  <c r="BF558" i="3"/>
  <c r="BG558" i="3"/>
  <c r="BH558" i="3"/>
  <c r="BI558" i="3"/>
  <c r="BJ558" i="3"/>
  <c r="BK558" i="3"/>
  <c r="BM558" i="3"/>
  <c r="BN558" i="3"/>
  <c r="BO558" i="3"/>
  <c r="BP558" i="3"/>
  <c r="BQ558" i="3"/>
  <c r="BR558" i="3"/>
  <c r="BS558" i="3"/>
  <c r="BL558" i="3" s="1"/>
  <c r="BT558" i="3"/>
  <c r="H559" i="3"/>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C5"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A561" i="3" s="1"/>
  <c r="BH561" i="3"/>
  <c r="BI561" i="3"/>
  <c r="BJ561" i="3"/>
  <c r="BK561" i="3"/>
  <c r="BM561" i="3"/>
  <c r="BN561" i="3"/>
  <c r="BO561" i="3"/>
  <c r="BP561" i="3"/>
  <c r="BP5" i="3" s="1"/>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A569" i="3" s="1"/>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F31" i="35"/>
  <c r="AA31" i="35" s="1"/>
  <c r="D87" i="35"/>
  <c r="E87" i="35" s="1"/>
  <c r="H34" i="37"/>
  <c r="D101" i="37"/>
  <c r="F34" i="37"/>
  <c r="D99" i="37"/>
  <c r="E99" i="37" s="1"/>
  <c r="F99" i="37" s="1"/>
  <c r="G99" i="37" s="1"/>
  <c r="H99" i="37" s="1"/>
  <c r="I99" i="37" s="1"/>
  <c r="J99" i="37" s="1"/>
  <c r="K99" i="37" s="1"/>
  <c r="L99" i="37" s="1"/>
  <c r="M99" i="37" s="1"/>
  <c r="H42" i="34"/>
  <c r="J42" i="34"/>
  <c r="W42" i="34" s="1"/>
  <c r="F42" i="34"/>
  <c r="D114" i="34"/>
  <c r="D112" i="34"/>
  <c r="E112" i="34" s="1"/>
  <c r="F112" i="34" s="1"/>
  <c r="F40" i="33"/>
  <c r="J41" i="33"/>
  <c r="AC41" i="33" s="1"/>
  <c r="D113" i="33"/>
  <c r="F37" i="33" s="1"/>
  <c r="AA37" i="33" s="1"/>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AA38" i="40" s="1"/>
  <c r="D115" i="40"/>
  <c r="E115" i="40"/>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H39" i="40"/>
  <c r="U39" i="40" s="1"/>
  <c r="Q38" i="40"/>
  <c r="Z38" i="40"/>
  <c r="J38" i="40"/>
  <c r="AC38" i="40" s="1"/>
  <c r="Q37" i="40"/>
  <c r="Z37" i="40"/>
  <c r="Q36" i="40"/>
  <c r="Z36" i="40" s="1"/>
  <c r="Q35" i="40"/>
  <c r="Z35" i="40" s="1"/>
  <c r="Q34" i="40"/>
  <c r="Z34" i="40" s="1"/>
  <c r="J34" i="40"/>
  <c r="AC34" i="40"/>
  <c r="H34" i="40"/>
  <c r="F34" i="40"/>
  <c r="AA34" i="40" s="1"/>
  <c r="Q33" i="40"/>
  <c r="Z33" i="40" s="1"/>
  <c r="Q32" i="40"/>
  <c r="Z32" i="40" s="1"/>
  <c r="Q31" i="40"/>
  <c r="Z31" i="40"/>
  <c r="Q30" i="40"/>
  <c r="Z30" i="40" s="1"/>
  <c r="Q28" i="40"/>
  <c r="Z28" i="40"/>
  <c r="Q27" i="40"/>
  <c r="Z27" i="40" s="1"/>
  <c r="Q23" i="40"/>
  <c r="Z23" i="40"/>
  <c r="Q21" i="40"/>
  <c r="Z21" i="40" s="1"/>
  <c r="Q19" i="40"/>
  <c r="Z19" i="40" s="1"/>
  <c r="Q17" i="40"/>
  <c r="Z17" i="40" s="1"/>
  <c r="Q15" i="40"/>
  <c r="Z15" i="40" s="1"/>
  <c r="Q14" i="40"/>
  <c r="Z14" i="40" s="1"/>
  <c r="Q13" i="40"/>
  <c r="Z13" i="40" s="1"/>
  <c r="Q12" i="40"/>
  <c r="Z12" i="40"/>
  <c r="Q11" i="40"/>
  <c r="Z11" i="40" s="1"/>
  <c r="Q10" i="40"/>
  <c r="Z10" i="40" s="1"/>
  <c r="Q9" i="40"/>
  <c r="Z9" i="40"/>
  <c r="J9" i="40"/>
  <c r="W9" i="40" s="1"/>
  <c r="H9" i="40"/>
  <c r="AB9" i="40" s="1"/>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s="1"/>
  <c r="F92" i="39" s="1"/>
  <c r="G92" i="39" s="1"/>
  <c r="D90" i="39"/>
  <c r="E90" i="39" s="1"/>
  <c r="F90" i="39" s="1"/>
  <c r="G90" i="39" s="1"/>
  <c r="D88" i="39"/>
  <c r="E88" i="39"/>
  <c r="F88" i="39" s="1"/>
  <c r="G88" i="39" s="1"/>
  <c r="B85" i="39"/>
  <c r="B83" i="39"/>
  <c r="J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D73" i="37"/>
  <c r="E73" i="37"/>
  <c r="F73" i="37"/>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c r="Q26" i="37"/>
  <c r="Z26" i="37"/>
  <c r="Q25" i="37"/>
  <c r="Z25" i="37"/>
  <c r="Q23" i="37"/>
  <c r="Z23" i="37"/>
  <c r="Q19" i="37"/>
  <c r="Z19" i="37"/>
  <c r="Q17" i="37"/>
  <c r="Z17" i="37" s="1"/>
  <c r="Q15" i="37"/>
  <c r="Z15" i="37" s="1"/>
  <c r="Q14" i="37"/>
  <c r="Z14" i="37"/>
  <c r="Q13" i="37"/>
  <c r="Z13" i="37"/>
  <c r="Q12" i="37"/>
  <c r="Z12" i="37" s="1"/>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H33" i="36"/>
  <c r="B91" i="36"/>
  <c r="F32" i="36" s="1"/>
  <c r="S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D64" i="36"/>
  <c r="E64" i="36" s="1"/>
  <c r="D62" i="36"/>
  <c r="E62" i="36" s="1"/>
  <c r="B59" i="36"/>
  <c r="B57" i="36"/>
  <c r="J12" i="36"/>
  <c r="B55" i="36"/>
  <c r="C51" i="36"/>
  <c r="P37" i="36"/>
  <c r="P36" i="36"/>
  <c r="V35" i="36"/>
  <c r="T35" i="36"/>
  <c r="R35" i="36"/>
  <c r="P35" i="36"/>
  <c r="Q34" i="36"/>
  <c r="Z34" i="36"/>
  <c r="Q33" i="36"/>
  <c r="Z33" i="36" s="1"/>
  <c r="Q32" i="36"/>
  <c r="Z32" i="36" s="1"/>
  <c r="Q31" i="36"/>
  <c r="Z31" i="36"/>
  <c r="Q30" i="36"/>
  <c r="Z30" i="36"/>
  <c r="Q29" i="36"/>
  <c r="Z29" i="36" s="1"/>
  <c r="Q28" i="36"/>
  <c r="Z28" i="36" s="1"/>
  <c r="J28" i="36"/>
  <c r="AC28" i="36" s="1"/>
  <c r="Q27" i="36"/>
  <c r="Z27" i="36"/>
  <c r="Q26" i="36"/>
  <c r="Z26" i="36" s="1"/>
  <c r="H26" i="36"/>
  <c r="AB26" i="36" s="1"/>
  <c r="Q25" i="36"/>
  <c r="Z25" i="36" s="1"/>
  <c r="Q24" i="36"/>
  <c r="Z24" i="36"/>
  <c r="H24" i="36"/>
  <c r="AB24" i="36"/>
  <c r="Q23" i="36"/>
  <c r="Z23" i="36" s="1"/>
  <c r="J23" i="36"/>
  <c r="AC23" i="36" s="1"/>
  <c r="F23" i="36"/>
  <c r="AA23" i="36"/>
  <c r="Q22" i="36"/>
  <c r="Z22" i="36" s="1"/>
  <c r="J22" i="36"/>
  <c r="AC22" i="36" s="1"/>
  <c r="Q20" i="36"/>
  <c r="Z20" i="36" s="1"/>
  <c r="Q16" i="36"/>
  <c r="Z16" i="36"/>
  <c r="Q14" i="36"/>
  <c r="Z14" i="36" s="1"/>
  <c r="Q13" i="36"/>
  <c r="Z13" i="36"/>
  <c r="Q12" i="36"/>
  <c r="Z12" i="36" s="1"/>
  <c r="H12" i="36"/>
  <c r="U12" i="36"/>
  <c r="Q11" i="36"/>
  <c r="Z11" i="36" s="1"/>
  <c r="Q10" i="36"/>
  <c r="Z10" i="36"/>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C53" i="35"/>
  <c r="J9" i="35" s="1"/>
  <c r="AC9" i="35" s="1"/>
  <c r="P39" i="35"/>
  <c r="P38" i="35"/>
  <c r="V37" i="35"/>
  <c r="T37" i="35"/>
  <c r="R37" i="35"/>
  <c r="P37" i="35"/>
  <c r="Q36" i="35"/>
  <c r="Z36" i="35" s="1"/>
  <c r="Q35" i="35"/>
  <c r="Z35" i="35"/>
  <c r="Q34" i="35"/>
  <c r="Z34" i="35"/>
  <c r="J34" i="35"/>
  <c r="AC34" i="35" s="1"/>
  <c r="H34" i="35"/>
  <c r="U34" i="35" s="1"/>
  <c r="F34" i="35"/>
  <c r="AA34" i="35"/>
  <c r="Q33" i="35"/>
  <c r="Z33" i="35"/>
  <c r="Q32" i="35"/>
  <c r="Z32" i="35" s="1"/>
  <c r="H32" i="35"/>
  <c r="AB32" i="35" s="1"/>
  <c r="F32" i="35"/>
  <c r="AA32" i="35" s="1"/>
  <c r="Q31" i="35"/>
  <c r="Z31" i="35"/>
  <c r="AB31" i="35"/>
  <c r="Q30" i="35"/>
  <c r="Z30" i="35" s="1"/>
  <c r="Q29" i="35"/>
  <c r="Z29" i="35"/>
  <c r="Q28" i="35"/>
  <c r="Z28" i="35" s="1"/>
  <c r="H28" i="35"/>
  <c r="AB28" i="35" s="1"/>
  <c r="F28" i="35"/>
  <c r="AA28" i="35" s="1"/>
  <c r="Q27" i="35"/>
  <c r="Z27" i="35" s="1"/>
  <c r="Q26" i="35"/>
  <c r="Z26" i="35" s="1"/>
  <c r="Q25" i="35"/>
  <c r="Z25" i="35"/>
  <c r="Q24" i="35"/>
  <c r="Z24" i="35"/>
  <c r="Q23" i="35"/>
  <c r="Z23" i="35" s="1"/>
  <c r="J23" i="35"/>
  <c r="AC23" i="35" s="1"/>
  <c r="Q22" i="35"/>
  <c r="Z22" i="35"/>
  <c r="Q20" i="35"/>
  <c r="Z20" i="35"/>
  <c r="Q16" i="35"/>
  <c r="Z16" i="35" s="1"/>
  <c r="Q14" i="35"/>
  <c r="Z14" i="35" s="1"/>
  <c r="Q13" i="35"/>
  <c r="Z13" i="35"/>
  <c r="Q12" i="35"/>
  <c r="Z12" i="35"/>
  <c r="J12" i="35"/>
  <c r="W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c r="M92" i="34" s="1"/>
  <c r="B91" i="34"/>
  <c r="B89" i="34"/>
  <c r="D88" i="34"/>
  <c r="E88" i="34" s="1"/>
  <c r="F88" i="34" s="1"/>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c r="Q34" i="34"/>
  <c r="Z34" i="34" s="1"/>
  <c r="J34" i="34"/>
  <c r="AC34" i="34" s="1"/>
  <c r="H34" i="34"/>
  <c r="AB34" i="34" s="1"/>
  <c r="F34" i="34"/>
  <c r="AA34" i="34" s="1"/>
  <c r="Q33" i="34"/>
  <c r="Z33" i="34"/>
  <c r="Q32" i="34"/>
  <c r="Z32" i="34" s="1"/>
  <c r="Q31" i="34"/>
  <c r="Z31" i="34"/>
  <c r="Q30" i="34"/>
  <c r="Z30" i="34" s="1"/>
  <c r="Q29" i="34"/>
  <c r="Z29" i="34" s="1"/>
  <c r="Q28" i="34"/>
  <c r="Z28" i="34"/>
  <c r="Q27" i="34"/>
  <c r="Z27" i="34" s="1"/>
  <c r="Q25" i="34"/>
  <c r="Z25" i="34" s="1"/>
  <c r="Q23" i="34"/>
  <c r="Z23" i="34"/>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U9" i="34" s="1"/>
  <c r="J8" i="34"/>
  <c r="AC8" i="34" s="1"/>
  <c r="H8" i="34"/>
  <c r="U8" i="34" s="1"/>
  <c r="F8" i="34"/>
  <c r="S8" i="34" s="1"/>
  <c r="D121" i="33"/>
  <c r="E121" i="33"/>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c r="F81" i="33" s="1"/>
  <c r="D79" i="33"/>
  <c r="E79" i="33" s="1"/>
  <c r="D77" i="33"/>
  <c r="E77" i="33" s="1"/>
  <c r="F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s="1"/>
  <c r="Q44" i="33"/>
  <c r="Z44" i="33"/>
  <c r="Q43" i="33"/>
  <c r="Z43" i="33" s="1"/>
  <c r="Q42" i="33"/>
  <c r="Z42" i="33"/>
  <c r="W41" i="33"/>
  <c r="Q41" i="33"/>
  <c r="Z41" i="33"/>
  <c r="Q40" i="33"/>
  <c r="Z40" i="33" s="1"/>
  <c r="J40" i="33"/>
  <c r="AC40" i="33"/>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c r="Q27" i="33"/>
  <c r="Z27" i="33" s="1"/>
  <c r="Q26" i="33"/>
  <c r="Z26" i="33" s="1"/>
  <c r="Q25" i="33"/>
  <c r="Z25" i="33"/>
  <c r="Q23" i="33"/>
  <c r="Z23" i="33"/>
  <c r="Q19" i="33"/>
  <c r="Z19" i="33" s="1"/>
  <c r="Q17" i="33"/>
  <c r="Z17" i="33" s="1"/>
  <c r="Q15" i="33"/>
  <c r="Z15" i="33"/>
  <c r="Q14" i="33"/>
  <c r="Z14" i="33"/>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s="1"/>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c r="F42" i="21"/>
  <c r="AA42" i="21" s="1"/>
  <c r="D119" i="21"/>
  <c r="F40" i="21"/>
  <c r="AA40" i="21" s="1"/>
  <c r="D117" i="21"/>
  <c r="E117" i="21"/>
  <c r="F117" i="21"/>
  <c r="G117" i="21" s="1"/>
  <c r="D115" i="21"/>
  <c r="E115" i="2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c r="L110" i="21" s="1"/>
  <c r="M110" i="21" s="1"/>
  <c r="J36" i="21"/>
  <c r="AC36" i="21" s="1"/>
  <c r="D108" i="21"/>
  <c r="E108" i="21"/>
  <c r="F108" i="21"/>
  <c r="G108" i="21"/>
  <c r="H108" i="21" s="1"/>
  <c r="I108" i="21" s="1"/>
  <c r="J108" i="21" s="1"/>
  <c r="K108" i="21" s="1"/>
  <c r="L108" i="21" s="1"/>
  <c r="M108" i="21" s="1"/>
  <c r="D106" i="21"/>
  <c r="E106" i="21"/>
  <c r="F106" i="21" s="1"/>
  <c r="G106" i="21" s="1"/>
  <c r="H106" i="21" s="1"/>
  <c r="I106" i="21" s="1"/>
  <c r="J106" i="21" s="1"/>
  <c r="K106" i="21" s="1"/>
  <c r="L106" i="21" s="1"/>
  <c r="M106" i="21"/>
  <c r="D101" i="21"/>
  <c r="E101" i="21" s="1"/>
  <c r="F101" i="21" s="1"/>
  <c r="G101" i="21" s="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c r="B126" i="21"/>
  <c r="B98" i="21"/>
  <c r="H31" i="21"/>
  <c r="B96" i="21"/>
  <c r="B94" i="21"/>
  <c r="J29" i="21"/>
  <c r="AC29" i="21"/>
  <c r="B92" i="21"/>
  <c r="F28" i="21" s="1"/>
  <c r="B90" i="21"/>
  <c r="J27" i="21" s="1"/>
  <c r="W27" i="21" s="1"/>
  <c r="B74" i="21"/>
  <c r="B72" i="21"/>
  <c r="H13" i="2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AZ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A586" i="3" s="1"/>
  <c r="AZ586" i="3" s="1"/>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S34" i="21" s="1"/>
  <c r="AA34" i="21"/>
  <c r="H34" i="21"/>
  <c r="AB34" i="21" s="1"/>
  <c r="F43" i="21"/>
  <c r="S43" i="21" s="1"/>
  <c r="H38" i="21"/>
  <c r="U38" i="21"/>
  <c r="H43" i="21"/>
  <c r="AB43" i="2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c r="J44" i="39"/>
  <c r="AC44" i="39" s="1"/>
  <c r="J35" i="39"/>
  <c r="AC35" i="39"/>
  <c r="F35" i="39"/>
  <c r="AA35" i="39" s="1"/>
  <c r="U9" i="39"/>
  <c r="W40" i="39"/>
  <c r="U30" i="37"/>
  <c r="W31" i="37"/>
  <c r="F39" i="37"/>
  <c r="S39" i="37" s="1"/>
  <c r="F29" i="36"/>
  <c r="AA29" i="36" s="1"/>
  <c r="U9" i="36"/>
  <c r="U31" i="36"/>
  <c r="J33" i="36"/>
  <c r="AC33" i="36" s="1"/>
  <c r="H22" i="35"/>
  <c r="AB22" i="35"/>
  <c r="AC27" i="35"/>
  <c r="U31" i="35"/>
  <c r="S34" i="35"/>
  <c r="W34" i="35"/>
  <c r="F36" i="34"/>
  <c r="J35" i="34"/>
  <c r="AC35" i="34" s="1"/>
  <c r="H39" i="33"/>
  <c r="AB39" i="33" s="1"/>
  <c r="F26" i="33"/>
  <c r="AA26" i="33" s="1"/>
  <c r="S40" i="33"/>
  <c r="W39" i="33"/>
  <c r="H39" i="37"/>
  <c r="AB39" i="37"/>
  <c r="F11" i="40"/>
  <c r="AA11" i="40" s="1"/>
  <c r="H11" i="40"/>
  <c r="AB11" i="40"/>
  <c r="W8" i="40"/>
  <c r="AB39" i="40"/>
  <c r="AC40" i="40"/>
  <c r="AA9" i="40"/>
  <c r="AC9" i="40"/>
  <c r="U9" i="40"/>
  <c r="S34" i="40"/>
  <c r="S40"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AC17" i="39" s="1"/>
  <c r="J27" i="39"/>
  <c r="AC27" i="39" s="1"/>
  <c r="F27" i="39"/>
  <c r="F11" i="21"/>
  <c r="S11" i="21" s="1"/>
  <c r="S40" i="21"/>
  <c r="C25" i="39"/>
  <c r="C21" i="39"/>
  <c r="H11" i="39"/>
  <c r="S40" i="39"/>
  <c r="C15" i="39"/>
  <c r="H11" i="21"/>
  <c r="U11" i="21" s="1"/>
  <c r="J11" i="21"/>
  <c r="W11" i="21" s="1"/>
  <c r="H37" i="40"/>
  <c r="U37" i="40" s="1"/>
  <c r="H36" i="40"/>
  <c r="AB36" i="40"/>
  <c r="F35" i="40"/>
  <c r="AA35" i="40"/>
  <c r="H23" i="40"/>
  <c r="AB23" i="40" s="1"/>
  <c r="H17" i="40"/>
  <c r="U17" i="40"/>
  <c r="J15" i="40"/>
  <c r="W15" i="40"/>
  <c r="J11" i="40"/>
  <c r="W11" i="40" s="1"/>
  <c r="AB8" i="39"/>
  <c r="AB12" i="33"/>
  <c r="AC12" i="34"/>
  <c r="AA12" i="34"/>
  <c r="AB12" i="36"/>
  <c r="W32" i="40"/>
  <c r="S44" i="39"/>
  <c r="F37" i="39"/>
  <c r="AA37" i="39" s="1"/>
  <c r="J34" i="36"/>
  <c r="W34" i="36" s="1"/>
  <c r="J30" i="35"/>
  <c r="W30" i="35" s="1"/>
  <c r="H30" i="35"/>
  <c r="AB30" i="35" s="1"/>
  <c r="F22" i="35"/>
  <c r="AA22" i="35" s="1"/>
  <c r="H10" i="35"/>
  <c r="U10" i="35" s="1"/>
  <c r="F33" i="36"/>
  <c r="AA33" i="36" s="1"/>
  <c r="E85" i="36"/>
  <c r="F85" i="36"/>
  <c r="G85" i="36" s="1"/>
  <c r="H85" i="36" s="1"/>
  <c r="I85" i="36" s="1"/>
  <c r="J85" i="36" s="1"/>
  <c r="K85" i="36" s="1"/>
  <c r="L85" i="36" s="1"/>
  <c r="M85" i="36" s="1"/>
  <c r="J29" i="36"/>
  <c r="AC29" i="36" s="1"/>
  <c r="F12" i="36"/>
  <c r="F24" i="36"/>
  <c r="AA24" i="36"/>
  <c r="F34" i="36"/>
  <c r="S34" i="36" s="1"/>
  <c r="F23" i="35"/>
  <c r="AA23" i="35"/>
  <c r="J32" i="35"/>
  <c r="AC32" i="35" s="1"/>
  <c r="H33" i="35"/>
  <c r="AB33" i="35" s="1"/>
  <c r="F35" i="37"/>
  <c r="S35" i="37"/>
  <c r="E101" i="37"/>
  <c r="F101" i="37" s="1"/>
  <c r="G101" i="37" s="1"/>
  <c r="H101" i="37" s="1"/>
  <c r="I101" i="37" s="1"/>
  <c r="J101" i="37" s="1"/>
  <c r="K101" i="37" s="1"/>
  <c r="L101" i="37" s="1"/>
  <c r="M101" i="37" s="1"/>
  <c r="J34" i="37"/>
  <c r="W34" i="37" s="1"/>
  <c r="AA39" i="37"/>
  <c r="AB34" i="37"/>
  <c r="J33" i="37"/>
  <c r="AC33" i="37" s="1"/>
  <c r="U42" i="34"/>
  <c r="E114" i="34"/>
  <c r="F114" i="34" s="1"/>
  <c r="G114" i="34" s="1"/>
  <c r="H114" i="34" s="1"/>
  <c r="I114" i="34" s="1"/>
  <c r="J114" i="34" s="1"/>
  <c r="K114" i="34" s="1"/>
  <c r="L114" i="34" s="1"/>
  <c r="M114" i="34" s="1"/>
  <c r="H36" i="34"/>
  <c r="U36" i="34" s="1"/>
  <c r="S35" i="34"/>
  <c r="F28" i="34"/>
  <c r="AA28" i="34"/>
  <c r="F25" i="34"/>
  <c r="S2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s="1"/>
  <c r="H28" i="40"/>
  <c r="U28" i="40"/>
  <c r="F23" i="40"/>
  <c r="AA23" i="40" s="1"/>
  <c r="F17" i="40"/>
  <c r="AA17" i="40"/>
  <c r="J17" i="40"/>
  <c r="W17" i="40"/>
  <c r="F15" i="40"/>
  <c r="S15" i="40"/>
  <c r="H15" i="40"/>
  <c r="AB15" i="40" s="1"/>
  <c r="AC11" i="40"/>
  <c r="S12" i="36"/>
  <c r="AA12" i="36"/>
  <c r="AB30" i="36"/>
  <c r="H33" i="37"/>
  <c r="AB33" i="37" s="1"/>
  <c r="F33" i="37"/>
  <c r="AA33" i="37" s="1"/>
  <c r="U34" i="37"/>
  <c r="S34" i="37"/>
  <c r="AA34" i="37"/>
  <c r="AB42" i="34"/>
  <c r="J36" i="34"/>
  <c r="W36" i="34" s="1"/>
  <c r="H25" i="34"/>
  <c r="AB25" i="34" s="1"/>
  <c r="H37" i="33"/>
  <c r="AB37" i="33" s="1"/>
  <c r="H11" i="33"/>
  <c r="AB11" i="33" s="1"/>
  <c r="F28" i="40"/>
  <c r="AA42" i="34"/>
  <c r="S42" i="34"/>
  <c r="J11" i="33"/>
  <c r="W11" i="33" s="1"/>
  <c r="S28" i="34"/>
  <c r="U23" i="40"/>
  <c r="G123" i="21"/>
  <c r="H123" i="21"/>
  <c r="I123" i="21" s="1"/>
  <c r="J123" i="21" s="1"/>
  <c r="K123" i="21" s="1"/>
  <c r="L123" i="21" s="1"/>
  <c r="M123" i="21" s="1"/>
  <c r="J42" i="21"/>
  <c r="AC42" i="21" s="1"/>
  <c r="H42" i="21"/>
  <c r="J10" i="35"/>
  <c r="AC10" i="35" s="1"/>
  <c r="BL587" i="3"/>
  <c r="J14" i="21"/>
  <c r="W14" i="21"/>
  <c r="F14" i="21"/>
  <c r="S14" i="21" s="1"/>
  <c r="H14" i="21"/>
  <c r="H28" i="21"/>
  <c r="AB28" i="21"/>
  <c r="AA28" i="21"/>
  <c r="J28" i="21"/>
  <c r="W28" i="21"/>
  <c r="H30" i="21"/>
  <c r="U30" i="21" s="1"/>
  <c r="F30" i="21"/>
  <c r="S30" i="21"/>
  <c r="J30" i="21"/>
  <c r="AC30" i="21"/>
  <c r="J44" i="21"/>
  <c r="AC44" i="21" s="1"/>
  <c r="H44" i="21"/>
  <c r="U44" i="21" s="1"/>
  <c r="F44" i="21"/>
  <c r="AA44" i="21" s="1"/>
  <c r="H46" i="21"/>
  <c r="U46" i="21"/>
  <c r="J46" i="21"/>
  <c r="F46" i="21"/>
  <c r="AA46" i="21" s="1"/>
  <c r="E119" i="21"/>
  <c r="F119" i="21"/>
  <c r="G119" i="21" s="1"/>
  <c r="H119" i="21" s="1"/>
  <c r="I119" i="21"/>
  <c r="J119" i="21" s="1"/>
  <c r="K119" i="21"/>
  <c r="L119" i="21" s="1"/>
  <c r="M119" i="21" s="1"/>
  <c r="H26" i="33"/>
  <c r="U26" i="33" s="1"/>
  <c r="H28" i="33"/>
  <c r="U28" i="33" s="1"/>
  <c r="F28" i="33"/>
  <c r="AA28" i="33" s="1"/>
  <c r="J28" i="33"/>
  <c r="F33" i="35"/>
  <c r="S33" i="35" s="1"/>
  <c r="J33" i="35"/>
  <c r="AC33" i="35" s="1"/>
  <c r="F30" i="35"/>
  <c r="S30" i="35" s="1"/>
  <c r="E89" i="35"/>
  <c r="F89" i="35"/>
  <c r="G89" i="35" s="1"/>
  <c r="H89" i="35"/>
  <c r="I89" i="35" s="1"/>
  <c r="J89" i="35" s="1"/>
  <c r="K89" i="35" s="1"/>
  <c r="L89" i="35" s="1"/>
  <c r="M89" i="35" s="1"/>
  <c r="H10" i="36"/>
  <c r="AB10" i="36" s="1"/>
  <c r="F28" i="36"/>
  <c r="AA28" i="36" s="1"/>
  <c r="J13" i="21"/>
  <c r="AC13" i="21" s="1"/>
  <c r="H27" i="21"/>
  <c r="F27" i="21"/>
  <c r="H29" i="21"/>
  <c r="U29" i="21" s="1"/>
  <c r="J31" i="21"/>
  <c r="AC31" i="21"/>
  <c r="F31" i="21"/>
  <c r="S31" i="21"/>
  <c r="F45" i="21"/>
  <c r="AA45" i="21"/>
  <c r="J13" i="33"/>
  <c r="H13" i="33"/>
  <c r="U13" i="33" s="1"/>
  <c r="F13" i="33"/>
  <c r="S13" i="33"/>
  <c r="J29" i="33"/>
  <c r="AC29" i="33" s="1"/>
  <c r="H29" i="33"/>
  <c r="F29" i="33"/>
  <c r="S29" i="33" s="1"/>
  <c r="J31" i="33"/>
  <c r="H31" i="33"/>
  <c r="F31" i="33"/>
  <c r="H45" i="33"/>
  <c r="U45" i="33" s="1"/>
  <c r="J45" i="33"/>
  <c r="W45" i="33" s="1"/>
  <c r="F45" i="33"/>
  <c r="AA45" i="33" s="1"/>
  <c r="J14" i="34"/>
  <c r="W14" i="34"/>
  <c r="F14" i="34"/>
  <c r="S14" i="34" s="1"/>
  <c r="H14" i="34"/>
  <c r="H30" i="34"/>
  <c r="U30" i="34" s="1"/>
  <c r="F30" i="34"/>
  <c r="S30" i="34" s="1"/>
  <c r="J30" i="34"/>
  <c r="H32" i="34"/>
  <c r="AB32" i="34" s="1"/>
  <c r="F32" i="34"/>
  <c r="J32" i="34"/>
  <c r="W32" i="34"/>
  <c r="H46" i="34"/>
  <c r="U46" i="34" s="1"/>
  <c r="F46" i="34"/>
  <c r="AA46" i="34" s="1"/>
  <c r="J46" i="34"/>
  <c r="H11" i="35"/>
  <c r="AB11" i="35" s="1"/>
  <c r="J11" i="35"/>
  <c r="W11" i="35" s="1"/>
  <c r="AC11" i="35"/>
  <c r="F11" i="35"/>
  <c r="S11" i="35" s="1"/>
  <c r="J26" i="36"/>
  <c r="W26" i="36" s="1"/>
  <c r="H28" i="36"/>
  <c r="U28" i="36" s="1"/>
  <c r="H32" i="36"/>
  <c r="J32" i="36"/>
  <c r="W32" i="36" s="1"/>
  <c r="J11" i="36"/>
  <c r="AC11" i="36" s="1"/>
  <c r="H11" i="36"/>
  <c r="U11" i="36" s="1"/>
  <c r="F11" i="36"/>
  <c r="AA11" i="36" s="1"/>
  <c r="H13" i="36"/>
  <c r="AB13" i="36"/>
  <c r="J13" i="36"/>
  <c r="W13" i="36" s="1"/>
  <c r="F13" i="36"/>
  <c r="E89" i="37"/>
  <c r="F89" i="37" s="1"/>
  <c r="G89" i="37" s="1"/>
  <c r="H89" i="37" s="1"/>
  <c r="I89" i="37" s="1"/>
  <c r="J89" i="37" s="1"/>
  <c r="K89" i="37" s="1"/>
  <c r="L89" i="37"/>
  <c r="M89" i="37" s="1"/>
  <c r="J29" i="37"/>
  <c r="W29" i="37"/>
  <c r="F29" i="37"/>
  <c r="S29" i="37"/>
  <c r="F105" i="37"/>
  <c r="G105" i="37" s="1"/>
  <c r="H36" i="37"/>
  <c r="AB36" i="37"/>
  <c r="F107" i="37"/>
  <c r="J37" i="37"/>
  <c r="AC37" i="37" s="1"/>
  <c r="H37" i="37"/>
  <c r="U37" i="37"/>
  <c r="H40" i="37"/>
  <c r="U40" i="37" s="1"/>
  <c r="J40" i="37"/>
  <c r="F40" i="37"/>
  <c r="AC12" i="40"/>
  <c r="W12" i="40"/>
  <c r="H14" i="33"/>
  <c r="U14" i="33" s="1"/>
  <c r="F14" i="33"/>
  <c r="S14" i="33" s="1"/>
  <c r="J14" i="33"/>
  <c r="AC14" i="33" s="1"/>
  <c r="H30" i="33"/>
  <c r="AB30" i="33"/>
  <c r="F30" i="33"/>
  <c r="J30" i="33"/>
  <c r="H44" i="33"/>
  <c r="U44" i="33" s="1"/>
  <c r="J44" i="33"/>
  <c r="AC44" i="33" s="1"/>
  <c r="F44" i="33"/>
  <c r="S44" i="33" s="1"/>
  <c r="J46" i="33"/>
  <c r="AC46" i="33" s="1"/>
  <c r="F46" i="33"/>
  <c r="AA46" i="33"/>
  <c r="H46" i="33"/>
  <c r="AB46" i="33" s="1"/>
  <c r="H13" i="34"/>
  <c r="J13" i="34"/>
  <c r="F13" i="34"/>
  <c r="AA13" i="34" s="1"/>
  <c r="J29" i="34"/>
  <c r="W29" i="34" s="1"/>
  <c r="F29" i="34"/>
  <c r="S29" i="34" s="1"/>
  <c r="H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F12" i="40"/>
  <c r="H12" i="40"/>
  <c r="AB12" i="40"/>
  <c r="H30" i="40"/>
  <c r="AB30" i="40" s="1"/>
  <c r="F33" i="40"/>
  <c r="H33" i="40"/>
  <c r="J35" i="40"/>
  <c r="AC35" i="40"/>
  <c r="J37" i="40"/>
  <c r="AC37" i="40" s="1"/>
  <c r="H13" i="40"/>
  <c r="J13" i="40"/>
  <c r="F13" i="40"/>
  <c r="AA13" i="40"/>
  <c r="F14" i="37"/>
  <c r="S14" i="37" s="1"/>
  <c r="F27" i="37"/>
  <c r="F13" i="39"/>
  <c r="H14" i="40"/>
  <c r="AB14" i="40"/>
  <c r="J14" i="40"/>
  <c r="W14" i="40"/>
  <c r="F14" i="40"/>
  <c r="AA14" i="40"/>
  <c r="J14" i="37"/>
  <c r="AC14" i="37"/>
  <c r="J27" i="37"/>
  <c r="AC27" i="37"/>
  <c r="AA13" i="35"/>
  <c r="U31" i="34"/>
  <c r="AA14" i="33"/>
  <c r="J36" i="37"/>
  <c r="AC36" i="37"/>
  <c r="J10" i="36"/>
  <c r="AC10" i="36" s="1"/>
  <c r="AA14" i="37"/>
  <c r="W31" i="34"/>
  <c r="AC13" i="36"/>
  <c r="S11" i="36"/>
  <c r="AA14" i="34"/>
  <c r="AB31" i="33"/>
  <c r="U31" i="33"/>
  <c r="AC28" i="21"/>
  <c r="F17" i="21"/>
  <c r="AA17" i="21" s="1"/>
  <c r="H17" i="21"/>
  <c r="F15" i="21"/>
  <c r="S15" i="21" s="1"/>
  <c r="J41" i="39"/>
  <c r="W41" i="39" s="1"/>
  <c r="AC45" i="39"/>
  <c r="W44" i="39"/>
  <c r="W35" i="39"/>
  <c r="S35" i="39"/>
  <c r="G544" i="3"/>
  <c r="G540" i="3"/>
  <c r="G536" i="3"/>
  <c r="G535" i="3"/>
  <c r="G532" i="3"/>
  <c r="G531" i="3"/>
  <c r="G528" i="3"/>
  <c r="G527" i="3"/>
  <c r="G523" i="3"/>
  <c r="G518" i="3"/>
  <c r="G514" i="3"/>
  <c r="G510" i="3"/>
  <c r="G504" i="3"/>
  <c r="G500" i="3"/>
  <c r="G496" i="3"/>
  <c r="G584" i="3"/>
  <c r="G580" i="3"/>
  <c r="G576" i="3"/>
  <c r="G572" i="3"/>
  <c r="G568" i="3"/>
  <c r="G564" i="3"/>
  <c r="G560" i="3"/>
  <c r="G554" i="3"/>
  <c r="G550" i="3"/>
  <c r="BL584" i="3"/>
  <c r="BL580" i="3"/>
  <c r="BL576" i="3"/>
  <c r="BL572" i="3"/>
  <c r="AZ572" i="3" s="1"/>
  <c r="BL568" i="3"/>
  <c r="BL564" i="3"/>
  <c r="BL560" i="3"/>
  <c r="BL546" i="3"/>
  <c r="BL542" i="3"/>
  <c r="BL538" i="3"/>
  <c r="BL534" i="3"/>
  <c r="BL530" i="3"/>
  <c r="BL526" i="3"/>
  <c r="BL522" i="3"/>
  <c r="BL502" i="3"/>
  <c r="BL494" i="3"/>
  <c r="BL582" i="3"/>
  <c r="BL578" i="3"/>
  <c r="BL574" i="3"/>
  <c r="BL570" i="3"/>
  <c r="BL562" i="3"/>
  <c r="BL552" i="3"/>
  <c r="BL544" i="3"/>
  <c r="BL540" i="3"/>
  <c r="BL536" i="3"/>
  <c r="G533" i="3"/>
  <c r="BL532" i="3"/>
  <c r="G529" i="3"/>
  <c r="BL528" i="3"/>
  <c r="G525" i="3"/>
  <c r="BL518" i="3"/>
  <c r="BL500" i="3"/>
  <c r="G493" i="3"/>
  <c r="BA584" i="3"/>
  <c r="BA582" i="3"/>
  <c r="AZ582" i="3" s="1"/>
  <c r="BA580" i="3"/>
  <c r="AZ580" i="3"/>
  <c r="BA578" i="3"/>
  <c r="BA576" i="3"/>
  <c r="AZ576" i="3" s="1"/>
  <c r="BA574" i="3"/>
  <c r="AZ574" i="3" s="1"/>
  <c r="BA572" i="3"/>
  <c r="BA570" i="3"/>
  <c r="AZ570" i="3" s="1"/>
  <c r="BA568" i="3"/>
  <c r="AZ568" i="3" s="1"/>
  <c r="BA566" i="3"/>
  <c r="AZ566" i="3" s="1"/>
  <c r="BA564" i="3"/>
  <c r="AZ564" i="3"/>
  <c r="BA562" i="3"/>
  <c r="AZ562" i="3" s="1"/>
  <c r="BA560" i="3"/>
  <c r="AZ558"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c r="BA524" i="3"/>
  <c r="AZ524" i="3" s="1"/>
  <c r="BA522" i="3"/>
  <c r="BA518" i="3"/>
  <c r="AZ518" i="3" s="1"/>
  <c r="BA514" i="3"/>
  <c r="AZ512" i="3"/>
  <c r="AZ510" i="3"/>
  <c r="BA500" i="3"/>
  <c r="AZ498" i="3"/>
  <c r="BA587" i="3"/>
  <c r="AZ587" i="3"/>
  <c r="BA583" i="3"/>
  <c r="BA581" i="3"/>
  <c r="AZ581" i="3" s="1"/>
  <c r="BA579" i="3"/>
  <c r="AZ579" i="3" s="1"/>
  <c r="BA577" i="3"/>
  <c r="BA575" i="3"/>
  <c r="BA573" i="3"/>
  <c r="BA571" i="3"/>
  <c r="BA567" i="3"/>
  <c r="AZ567" i="3" s="1"/>
  <c r="BA565" i="3"/>
  <c r="BA563" i="3"/>
  <c r="AZ563" i="3" s="1"/>
  <c r="BA549" i="3"/>
  <c r="BA547" i="3"/>
  <c r="AZ547" i="3" s="1"/>
  <c r="BA545" i="3"/>
  <c r="BA543" i="3"/>
  <c r="AZ543" i="3" s="1"/>
  <c r="BA541" i="3"/>
  <c r="BA539" i="3"/>
  <c r="BA537" i="3"/>
  <c r="BA535" i="3"/>
  <c r="BA533" i="3"/>
  <c r="AZ533" i="3" s="1"/>
  <c r="BA531" i="3"/>
  <c r="BA529" i="3"/>
  <c r="AZ529" i="3" s="1"/>
  <c r="BA527" i="3"/>
  <c r="AZ527" i="3" s="1"/>
  <c r="BA517" i="3"/>
  <c r="AZ517" i="3" s="1"/>
  <c r="BA513" i="3"/>
  <c r="BA507" i="3"/>
  <c r="AZ507" i="3" s="1"/>
  <c r="BA499" i="3"/>
  <c r="BA495" i="3"/>
  <c r="AZ495" i="3" s="1"/>
  <c r="AZ560" i="3"/>
  <c r="G583" i="3"/>
  <c r="G581" i="3"/>
  <c r="G579" i="3"/>
  <c r="G577" i="3"/>
  <c r="G575" i="3"/>
  <c r="G573" i="3"/>
  <c r="G571" i="3"/>
  <c r="G569" i="3"/>
  <c r="G565" i="3"/>
  <c r="G563" i="3"/>
  <c r="G561" i="3"/>
  <c r="BA557" i="3"/>
  <c r="AZ557" i="3" s="1"/>
  <c r="AC557" i="3"/>
  <c r="G557" i="3" s="1"/>
  <c r="BQ557" i="3"/>
  <c r="BQ583" i="3"/>
  <c r="BL583" i="3" s="1"/>
  <c r="AZ583" i="3"/>
  <c r="BQ581" i="3"/>
  <c r="BL581" i="3"/>
  <c r="BQ579" i="3"/>
  <c r="BL579" i="3"/>
  <c r="BQ577" i="3"/>
  <c r="BL577" i="3" s="1"/>
  <c r="AZ577" i="3" s="1"/>
  <c r="BQ575" i="3"/>
  <c r="BL575" i="3"/>
  <c r="BQ573" i="3"/>
  <c r="BL573" i="3"/>
  <c r="AZ573" i="3"/>
  <c r="BQ571" i="3"/>
  <c r="BL571" i="3"/>
  <c r="BQ569" i="3"/>
  <c r="BL569" i="3" s="1"/>
  <c r="BQ567" i="3"/>
  <c r="BL567" i="3"/>
  <c r="BQ565" i="3"/>
  <c r="BL565" i="3" s="1"/>
  <c r="AZ565" i="3" s="1"/>
  <c r="BQ563" i="3"/>
  <c r="BL563" i="3"/>
  <c r="BQ561" i="3"/>
  <c r="BQ559" i="3"/>
  <c r="G559" i="3"/>
  <c r="G555" i="3"/>
  <c r="G553" i="3"/>
  <c r="G549" i="3"/>
  <c r="G547" i="3"/>
  <c r="G545" i="3"/>
  <c r="G543" i="3"/>
  <c r="G541" i="3"/>
  <c r="G539" i="3"/>
  <c r="G537" i="3"/>
  <c r="BQ555" i="3"/>
  <c r="BQ553" i="3"/>
  <c r="BQ551" i="3"/>
  <c r="BL551" i="3"/>
  <c r="BQ549" i="3"/>
  <c r="BQ547" i="3"/>
  <c r="BL547" i="3" s="1"/>
  <c r="BQ545" i="3"/>
  <c r="BL545" i="3"/>
  <c r="BQ543" i="3"/>
  <c r="BL543" i="3"/>
  <c r="BQ541" i="3"/>
  <c r="BL541" i="3"/>
  <c r="AZ541" i="3" s="1"/>
  <c r="BQ539" i="3"/>
  <c r="BL539" i="3" s="1"/>
  <c r="AZ539" i="3" s="1"/>
  <c r="BQ537" i="3"/>
  <c r="BL537" i="3"/>
  <c r="AZ537" i="3" s="1"/>
  <c r="BQ535" i="3"/>
  <c r="BL535" i="3" s="1"/>
  <c r="AZ535" i="3" s="1"/>
  <c r="BQ533" i="3"/>
  <c r="BL533" i="3"/>
  <c r="BQ531" i="3"/>
  <c r="BL531" i="3" s="1"/>
  <c r="AZ531" i="3"/>
  <c r="BQ529" i="3"/>
  <c r="BL529" i="3"/>
  <c r="BQ527" i="3"/>
  <c r="BL527" i="3"/>
  <c r="BQ525" i="3"/>
  <c r="BL525" i="3"/>
  <c r="BQ523" i="3"/>
  <c r="AC521" i="3"/>
  <c r="G521" i="3"/>
  <c r="BQ521" i="3"/>
  <c r="BL521" i="3"/>
  <c r="G519" i="3"/>
  <c r="G517" i="3"/>
  <c r="G513" i="3"/>
  <c r="G511" i="3"/>
  <c r="BQ519" i="3"/>
  <c r="BL519" i="3" s="1"/>
  <c r="BQ517" i="3"/>
  <c r="BL517" i="3"/>
  <c r="BQ515" i="3"/>
  <c r="BL515" i="3" s="1"/>
  <c r="BQ513" i="3"/>
  <c r="BQ511" i="3"/>
  <c r="AZ511" i="3"/>
  <c r="AC509" i="3"/>
  <c r="BQ509" i="3"/>
  <c r="G507" i="3"/>
  <c r="G505" i="3"/>
  <c r="G503" i="3"/>
  <c r="G501" i="3"/>
  <c r="G497" i="3"/>
  <c r="G495" i="3"/>
  <c r="BQ507" i="3"/>
  <c r="BQ505" i="3"/>
  <c r="BL505" i="3"/>
  <c r="BQ503" i="3"/>
  <c r="BQ501" i="3"/>
  <c r="BL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AA12" i="21"/>
  <c r="H25" i="21"/>
  <c r="U25" i="21" s="1"/>
  <c r="F25" i="21"/>
  <c r="J25" i="21"/>
  <c r="E125" i="33"/>
  <c r="F125" i="33" s="1"/>
  <c r="G125" i="33" s="1"/>
  <c r="H43" i="33"/>
  <c r="AB43" i="33" s="1"/>
  <c r="H17" i="37"/>
  <c r="U17" i="37" s="1"/>
  <c r="AB27" i="37"/>
  <c r="F39" i="33"/>
  <c r="AA39" i="33" s="1"/>
  <c r="E123" i="33"/>
  <c r="J42" i="33" s="1"/>
  <c r="F42" i="33"/>
  <c r="AA42" i="33" s="1"/>
  <c r="H28" i="34"/>
  <c r="AB28" i="34"/>
  <c r="F22" i="36"/>
  <c r="S22" i="36" s="1"/>
  <c r="F26" i="36"/>
  <c r="AA26" i="36" s="1"/>
  <c r="H35" i="34"/>
  <c r="U35" i="34" s="1"/>
  <c r="F41" i="34"/>
  <c r="S41" i="34" s="1"/>
  <c r="H41" i="34"/>
  <c r="U41" i="34" s="1"/>
  <c r="J41" i="34"/>
  <c r="AC41" i="34" s="1"/>
  <c r="F10" i="35"/>
  <c r="S10" i="35" s="1"/>
  <c r="F24" i="35"/>
  <c r="AA24" i="35" s="1"/>
  <c r="H24" i="35"/>
  <c r="AB24" i="35" s="1"/>
  <c r="H23" i="37"/>
  <c r="J32" i="37"/>
  <c r="AC32" i="37"/>
  <c r="F36" i="37"/>
  <c r="AA36" i="37" s="1"/>
  <c r="F37" i="37"/>
  <c r="F31" i="40"/>
  <c r="H31" i="40"/>
  <c r="U31" i="40"/>
  <c r="F32" i="40"/>
  <c r="S32" i="40" s="1"/>
  <c r="H32" i="40"/>
  <c r="J36" i="40"/>
  <c r="H19" i="37"/>
  <c r="AB19" i="37" s="1"/>
  <c r="F123" i="33"/>
  <c r="G123" i="33" s="1"/>
  <c r="H123" i="33" s="1"/>
  <c r="I123" i="33" s="1"/>
  <c r="J123" i="33" s="1"/>
  <c r="K123" i="33" s="1"/>
  <c r="L123" i="33" s="1"/>
  <c r="M123" i="33" s="1"/>
  <c r="H42" i="33"/>
  <c r="AB42" i="33" s="1"/>
  <c r="J43" i="33"/>
  <c r="U14" i="40"/>
  <c r="U35" i="35"/>
  <c r="W23" i="35"/>
  <c r="W14" i="37"/>
  <c r="AB28" i="37"/>
  <c r="U33" i="37"/>
  <c r="U39" i="37"/>
  <c r="W47" i="34"/>
  <c r="AA13" i="33"/>
  <c r="AC45" i="33"/>
  <c r="U11" i="33"/>
  <c r="U19" i="21"/>
  <c r="W44" i="21"/>
  <c r="U26" i="21"/>
  <c r="U12" i="21"/>
  <c r="AB38" i="21"/>
  <c r="F43" i="33"/>
  <c r="AA43" i="33" s="1"/>
  <c r="G107" i="37"/>
  <c r="H107" i="37" s="1"/>
  <c r="I107" i="37" s="1"/>
  <c r="J107" i="37" s="1"/>
  <c r="K107" i="37" s="1"/>
  <c r="L107" i="37" s="1"/>
  <c r="M107" i="37"/>
  <c r="H37" i="21"/>
  <c r="U37" i="21" s="1"/>
  <c r="S42" i="21"/>
  <c r="F36" i="35"/>
  <c r="S36" i="35"/>
  <c r="J9" i="37"/>
  <c r="W9" i="37" s="1"/>
  <c r="H9" i="37"/>
  <c r="U9" i="37" s="1"/>
  <c r="F9" i="37"/>
  <c r="S9" i="37" s="1"/>
  <c r="J12" i="37"/>
  <c r="H12" i="37"/>
  <c r="AB12" i="37" s="1"/>
  <c r="F12" i="37"/>
  <c r="S12" i="37" s="1"/>
  <c r="E71" i="37"/>
  <c r="F15" i="37"/>
  <c r="S15" i="37" s="1"/>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H19" i="40"/>
  <c r="U19" i="40" s="1"/>
  <c r="F88" i="40"/>
  <c r="G88" i="40" s="1"/>
  <c r="F19" i="40"/>
  <c r="S14" i="40"/>
  <c r="W23" i="39"/>
  <c r="AC43" i="39"/>
  <c r="W43" i="39"/>
  <c r="U45" i="39"/>
  <c r="AB45" i="39"/>
  <c r="AB44" i="39"/>
  <c r="U44" i="39"/>
  <c r="G100" i="39"/>
  <c r="H37" i="39"/>
  <c r="U37" i="39" s="1"/>
  <c r="AB37" i="39"/>
  <c r="AC37" i="39"/>
  <c r="W37" i="39"/>
  <c r="H25" i="39"/>
  <c r="AB25" i="39"/>
  <c r="J25" i="39"/>
  <c r="F25" i="39"/>
  <c r="AA25" i="39" s="1"/>
  <c r="F15" i="39"/>
  <c r="AA15" i="39" s="1"/>
  <c r="H15" i="39"/>
  <c r="U15" i="39" s="1"/>
  <c r="J15" i="39"/>
  <c r="W15" i="39" s="1"/>
  <c r="H41" i="39"/>
  <c r="W27" i="39"/>
  <c r="AB34" i="39"/>
  <c r="U40" i="39"/>
  <c r="S42" i="39"/>
  <c r="AA41" i="39"/>
  <c r="W9" i="39"/>
  <c r="W8" i="39"/>
  <c r="J19" i="40"/>
  <c r="J50" i="40"/>
  <c r="H103" i="9"/>
  <c r="D8" i="53" s="1"/>
  <c r="B16" i="53"/>
  <c r="B33" i="72" s="1"/>
  <c r="C7" i="37"/>
  <c r="C52" i="37" s="1"/>
  <c r="D52" i="37" s="1"/>
  <c r="C7" i="34"/>
  <c r="C7" i="36"/>
  <c r="W35" i="40"/>
  <c r="A118" i="9"/>
  <c r="A4" i="52"/>
  <c r="B41" i="72" s="1"/>
  <c r="J11" i="39"/>
  <c r="W11" i="39"/>
  <c r="F11" i="39"/>
  <c r="S11" i="39" s="1"/>
  <c r="AA11" i="39"/>
  <c r="G4" i="4"/>
  <c r="I4" i="4"/>
  <c r="A2" i="9"/>
  <c r="F61" i="43"/>
  <c r="H64" i="43" s="1"/>
  <c r="AZ497" i="3"/>
  <c r="BL549"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G117" i="3"/>
  <c r="BA119" i="3"/>
  <c r="AZ119" i="3" s="1"/>
  <c r="BL120" i="3"/>
  <c r="AZ120" i="3" s="1"/>
  <c r="G121" i="3"/>
  <c r="BA123" i="3"/>
  <c r="AZ123" i="3"/>
  <c r="BL124" i="3"/>
  <c r="AZ124" i="3" s="1"/>
  <c r="G125" i="3"/>
  <c r="BA127" i="3"/>
  <c r="AZ127" i="3"/>
  <c r="BL128" i="3"/>
  <c r="G129" i="3"/>
  <c r="BA131" i="3"/>
  <c r="BL132" i="3"/>
  <c r="G133" i="3"/>
  <c r="BA135" i="3"/>
  <c r="BL136" i="3"/>
  <c r="G137" i="3"/>
  <c r="BA139" i="3"/>
  <c r="AZ139" i="3" s="1"/>
  <c r="BL140" i="3"/>
  <c r="AZ140" i="3" s="1"/>
  <c r="G141" i="3"/>
  <c r="BA143" i="3"/>
  <c r="AZ143" i="3"/>
  <c r="BL144" i="3"/>
  <c r="G145" i="3"/>
  <c r="BA147" i="3"/>
  <c r="AZ147" i="3"/>
  <c r="BL148" i="3"/>
  <c r="G149" i="3"/>
  <c r="BA151" i="3"/>
  <c r="BL152" i="3"/>
  <c r="G153" i="3"/>
  <c r="BA155" i="3"/>
  <c r="AZ155" i="3" s="1"/>
  <c r="BL156" i="3"/>
  <c r="AZ156" i="3" s="1"/>
  <c r="G157" i="3"/>
  <c r="BA159" i="3"/>
  <c r="AZ159" i="3"/>
  <c r="BL160" i="3"/>
  <c r="AZ160" i="3" s="1"/>
  <c r="G161" i="3"/>
  <c r="BA163" i="3"/>
  <c r="AZ163" i="3"/>
  <c r="BL164" i="3"/>
  <c r="G165" i="3"/>
  <c r="BA167" i="3"/>
  <c r="AZ167" i="3" s="1"/>
  <c r="BL168" i="3"/>
  <c r="G169" i="3"/>
  <c r="BA171" i="3"/>
  <c r="AZ171" i="3" s="1"/>
  <c r="BL172" i="3"/>
  <c r="AZ172" i="3"/>
  <c r="G173" i="3"/>
  <c r="BA175" i="3"/>
  <c r="BL176" i="3"/>
  <c r="G177" i="3"/>
  <c r="BA179" i="3"/>
  <c r="AZ179" i="3"/>
  <c r="BL180" i="3"/>
  <c r="AZ180" i="3"/>
  <c r="G181" i="3"/>
  <c r="BA183" i="3"/>
  <c r="AZ183" i="3" s="1"/>
  <c r="BL184" i="3"/>
  <c r="G185" i="3"/>
  <c r="BA187" i="3"/>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63" i="3"/>
  <c r="AZ152" i="3"/>
  <c r="AZ168" i="3"/>
  <c r="AZ192" i="3"/>
  <c r="AZ93" i="3"/>
  <c r="AZ101" i="3"/>
  <c r="G534" i="3"/>
  <c r="G530" i="3"/>
  <c r="G522" i="3"/>
  <c r="G516" i="3"/>
  <c r="G512"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AZ356" i="3" s="1"/>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AZ382" i="3" s="1"/>
  <c r="BL382" i="3"/>
  <c r="G383" i="3"/>
  <c r="G386" i="3"/>
  <c r="BL387" i="3"/>
  <c r="BA389" i="3"/>
  <c r="AZ389" i="3" s="1"/>
  <c r="BA390" i="3"/>
  <c r="AZ390" i="3" s="1"/>
  <c r="BL390" i="3"/>
  <c r="G391" i="3"/>
  <c r="G394" i="3"/>
  <c r="AZ138" i="3"/>
  <c r="AZ142" i="3"/>
  <c r="AZ146" i="3"/>
  <c r="AZ150" i="3"/>
  <c r="AZ154" i="3"/>
  <c r="AZ158" i="3"/>
  <c r="AZ174" i="3"/>
  <c r="AZ178" i="3"/>
  <c r="AZ186" i="3"/>
  <c r="AZ190" i="3"/>
  <c r="AZ194" i="3"/>
  <c r="AZ198" i="3"/>
  <c r="AZ202" i="3"/>
  <c r="AZ206" i="3"/>
  <c r="AZ500" i="3"/>
  <c r="BA16" i="3"/>
  <c r="AZ16" i="3"/>
  <c r="BL303" i="3"/>
  <c r="G304" i="3"/>
  <c r="BA306" i="3"/>
  <c r="AZ306" i="3"/>
  <c r="BL307" i="3"/>
  <c r="G308" i="3"/>
  <c r="BA310" i="3"/>
  <c r="AZ310" i="3" s="1"/>
  <c r="BL311" i="3"/>
  <c r="AZ311" i="3"/>
  <c r="G312" i="3"/>
  <c r="BA314" i="3"/>
  <c r="BL315" i="3"/>
  <c r="G316" i="3"/>
  <c r="BA318" i="3"/>
  <c r="AZ318" i="3"/>
  <c r="BL319" i="3"/>
  <c r="AZ319" i="3" s="1"/>
  <c r="G320" i="3"/>
  <c r="BA322" i="3"/>
  <c r="AZ322" i="3" s="1"/>
  <c r="BL323" i="3"/>
  <c r="G324" i="3"/>
  <c r="BA326" i="3"/>
  <c r="AZ326" i="3"/>
  <c r="BL327" i="3"/>
  <c r="AZ327" i="3"/>
  <c r="G328" i="3"/>
  <c r="BA330" i="3"/>
  <c r="AZ330" i="3" s="1"/>
  <c r="BL331" i="3"/>
  <c r="AZ331" i="3"/>
  <c r="G332" i="3"/>
  <c r="BA334" i="3"/>
  <c r="AZ334" i="3"/>
  <c r="BL335" i="3"/>
  <c r="G336" i="3"/>
  <c r="BA338" i="3"/>
  <c r="AZ338" i="3"/>
  <c r="BL339" i="3"/>
  <c r="G340" i="3"/>
  <c r="BL343" i="3"/>
  <c r="G344" i="3"/>
  <c r="G348" i="3"/>
  <c r="G355" i="3"/>
  <c r="AZ209" i="3"/>
  <c r="AZ218" i="3"/>
  <c r="AZ222" i="3"/>
  <c r="AZ303" i="3"/>
  <c r="AZ335" i="3"/>
  <c r="G342" i="3"/>
  <c r="BL345" i="3"/>
  <c r="AZ345" i="3"/>
  <c r="G346" i="3"/>
  <c r="AZ348" i="3"/>
  <c r="BL349" i="3"/>
  <c r="AZ349" i="3" s="1"/>
  <c r="BL352" i="3"/>
  <c r="AZ352" i="3" s="1"/>
  <c r="G353" i="3"/>
  <c r="BA357" i="3"/>
  <c r="AZ357" i="3"/>
  <c r="BL358" i="3"/>
  <c r="G359" i="3"/>
  <c r="BA361" i="3"/>
  <c r="BL362" i="3"/>
  <c r="G363" i="3"/>
  <c r="BA365" i="3"/>
  <c r="AZ365" i="3"/>
  <c r="BL366" i="3"/>
  <c r="AZ366" i="3"/>
  <c r="G367" i="3"/>
  <c r="BA369" i="3"/>
  <c r="AZ369" i="3" s="1"/>
  <c r="BL370" i="3"/>
  <c r="AZ370" i="3" s="1"/>
  <c r="G371" i="3"/>
  <c r="BA373" i="3"/>
  <c r="AZ373" i="3" s="1"/>
  <c r="BL374" i="3"/>
  <c r="AZ374" i="3" s="1"/>
  <c r="G375" i="3"/>
  <c r="BA377" i="3"/>
  <c r="AZ229" i="3"/>
  <c r="AZ237" i="3"/>
  <c r="AZ241" i="3"/>
  <c r="AZ249" i="3"/>
  <c r="AZ253" i="3"/>
  <c r="AZ257" i="3"/>
  <c r="AZ269" i="3"/>
  <c r="AZ273" i="3"/>
  <c r="BA379" i="3"/>
  <c r="BL380" i="3"/>
  <c r="G381" i="3"/>
  <c r="BA383" i="3"/>
  <c r="AZ383" i="3" s="1"/>
  <c r="BL384" i="3"/>
  <c r="AZ384" i="3" s="1"/>
  <c r="G385" i="3"/>
  <c r="BA387" i="3"/>
  <c r="AZ387" i="3" s="1"/>
  <c r="BL388" i="3"/>
  <c r="G389" i="3"/>
  <c r="BA391" i="3"/>
  <c r="AZ391" i="3" s="1"/>
  <c r="BL392" i="3"/>
  <c r="AZ392" i="3" s="1"/>
  <c r="G393" i="3"/>
  <c r="AZ263" i="3"/>
  <c r="AZ275" i="3"/>
  <c r="AZ291" i="3"/>
  <c r="BO5" i="3"/>
  <c r="AZ325" i="3"/>
  <c r="AZ549" i="3"/>
  <c r="AZ506" i="3"/>
  <c r="G548" i="3"/>
  <c r="G538" i="3"/>
  <c r="G502" i="3"/>
  <c r="BN5" i="3"/>
  <c r="G29" i="6" s="1"/>
  <c r="BK5" i="3"/>
  <c r="G17" i="3"/>
  <c r="BA17" i="3"/>
  <c r="AZ17" i="3" s="1"/>
  <c r="AZ364" i="3"/>
  <c r="AZ368" i="3"/>
  <c r="BA15" i="3"/>
  <c r="AZ15" i="3" s="1"/>
  <c r="BB5" i="3"/>
  <c r="AZ380" i="3"/>
  <c r="AZ388" i="3"/>
  <c r="AZ396" i="3"/>
  <c r="AZ499" i="3"/>
  <c r="U36" i="40"/>
  <c r="F83" i="43"/>
  <c r="H85" i="43" s="1"/>
  <c r="F50" i="43"/>
  <c r="H54" i="43" s="1"/>
  <c r="F72" i="43"/>
  <c r="H75" i="43" s="1"/>
  <c r="U17" i="39"/>
  <c r="U43" i="21"/>
  <c r="AC35" i="21"/>
  <c r="G8" i="1"/>
  <c r="G10" i="1"/>
  <c r="AC11" i="39"/>
  <c r="W37" i="37"/>
  <c r="U13" i="37"/>
  <c r="U12" i="40"/>
  <c r="J37" i="33"/>
  <c r="W37" i="33" s="1"/>
  <c r="J34" i="33"/>
  <c r="W34" i="33" s="1"/>
  <c r="F33" i="34"/>
  <c r="S33" i="34" s="1"/>
  <c r="W12" i="36"/>
  <c r="AC12" i="36"/>
  <c r="W24" i="36"/>
  <c r="AC33" i="40"/>
  <c r="F111" i="40"/>
  <c r="G111" i="40"/>
  <c r="H111" i="40" s="1"/>
  <c r="I111" i="40" s="1"/>
  <c r="J111" i="40" s="1"/>
  <c r="K111" i="40" s="1"/>
  <c r="L111" i="40" s="1"/>
  <c r="M111" i="40" s="1"/>
  <c r="H35" i="40"/>
  <c r="U35" i="40" s="1"/>
  <c r="AB35" i="40"/>
  <c r="H35" i="37"/>
  <c r="U35" i="37"/>
  <c r="AB23" i="35"/>
  <c r="H32" i="37"/>
  <c r="AB32" i="37" s="1"/>
  <c r="F96" i="37"/>
  <c r="H27" i="40"/>
  <c r="AB27" i="40" s="1"/>
  <c r="U27" i="40"/>
  <c r="J27" i="40"/>
  <c r="AC27" i="40"/>
  <c r="F27" i="40"/>
  <c r="S27" i="40"/>
  <c r="J30" i="40"/>
  <c r="AC30" i="40"/>
  <c r="F30" i="40"/>
  <c r="AA30" i="40"/>
  <c r="AC21" i="40"/>
  <c r="S31" i="39"/>
  <c r="S11" i="40"/>
  <c r="E98" i="40"/>
  <c r="F98" i="40" s="1"/>
  <c r="G98" i="40" s="1"/>
  <c r="H98" i="40" s="1"/>
  <c r="I98" i="40" s="1"/>
  <c r="J98" i="40" s="1"/>
  <c r="K98" i="40"/>
  <c r="L98" i="40" s="1"/>
  <c r="M98" i="40" s="1"/>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51" i="3"/>
  <c r="AZ256" i="3"/>
  <c r="AZ259" i="3"/>
  <c r="AZ268" i="3"/>
  <c r="AZ271" i="3"/>
  <c r="AZ280" i="3"/>
  <c r="AZ288" i="3"/>
  <c r="AZ296" i="3"/>
  <c r="AZ130" i="3"/>
  <c r="AZ133" i="3"/>
  <c r="AZ21" i="3"/>
  <c r="AZ29" i="3"/>
  <c r="AZ37" i="3"/>
  <c r="AZ45" i="3"/>
  <c r="AZ50" i="3"/>
  <c r="AZ66" i="3"/>
  <c r="AZ72" i="3"/>
  <c r="AZ77" i="3"/>
  <c r="AZ94" i="3"/>
  <c r="F23" i="39"/>
  <c r="AA23" i="39" s="1"/>
  <c r="H33" i="34"/>
  <c r="U33" i="34" s="1"/>
  <c r="F32" i="37"/>
  <c r="S32" i="37" s="1"/>
  <c r="AA32" i="37"/>
  <c r="G96" i="37"/>
  <c r="H96" i="37" s="1"/>
  <c r="I96" i="37" s="1"/>
  <c r="J96" i="37" s="1"/>
  <c r="K96" i="37" s="1"/>
  <c r="L96" i="37" s="1"/>
  <c r="M96" i="37" s="1"/>
  <c r="J33" i="34"/>
  <c r="AC33" i="34" s="1"/>
  <c r="H23" i="39"/>
  <c r="U23" i="39" s="1"/>
  <c r="D48" i="9"/>
  <c r="M52" i="9" s="1"/>
  <c r="K9" i="1"/>
  <c r="M9" i="1" s="1"/>
  <c r="D93" i="9"/>
  <c r="K6" i="1"/>
  <c r="AP6" i="1" s="1"/>
  <c r="W26" i="33"/>
  <c r="AB34" i="36"/>
  <c r="U34" i="36"/>
  <c r="AB33" i="36"/>
  <c r="U33" i="36"/>
  <c r="AC12" i="39"/>
  <c r="W12" i="39"/>
  <c r="AC39" i="40"/>
  <c r="W39" i="40"/>
  <c r="AZ401" i="3"/>
  <c r="AZ412" i="3"/>
  <c r="AZ417" i="3"/>
  <c r="AZ428" i="3"/>
  <c r="AZ433" i="3"/>
  <c r="AZ465" i="3"/>
  <c r="W12" i="33"/>
  <c r="AC12" i="33"/>
  <c r="AA32" i="36"/>
  <c r="AZ551" i="3"/>
  <c r="AZ408" i="3"/>
  <c r="AZ437" i="3"/>
  <c r="AZ441" i="3"/>
  <c r="AZ457" i="3"/>
  <c r="BL14" i="3"/>
  <c r="AZ266" i="3"/>
  <c r="U30" i="33"/>
  <c r="AA47" i="34"/>
  <c r="W28" i="37"/>
  <c r="S19" i="39"/>
  <c r="F12" i="33"/>
  <c r="S12" i="33" s="1"/>
  <c r="H12" i="39"/>
  <c r="AB12" i="39" s="1"/>
  <c r="F39" i="40"/>
  <c r="BA14" i="3"/>
  <c r="AZ14" i="3"/>
  <c r="AZ367" i="3"/>
  <c r="AZ213" i="3"/>
  <c r="AZ224" i="3"/>
  <c r="AZ234" i="3"/>
  <c r="AZ238" i="3"/>
  <c r="AZ250" i="3"/>
  <c r="AZ281" i="3"/>
  <c r="AZ297" i="3"/>
  <c r="AZ181" i="3"/>
  <c r="AZ189" i="3"/>
  <c r="AZ197" i="3"/>
  <c r="AZ19" i="3"/>
  <c r="AZ26" i="3"/>
  <c r="AZ35" i="3"/>
  <c r="AZ41" i="3"/>
  <c r="B12" i="1"/>
  <c r="E12" i="1" s="1"/>
  <c r="B10" i="1"/>
  <c r="E10" i="1" s="1"/>
  <c r="AZ111" i="3"/>
  <c r="K12" i="1"/>
  <c r="M12" i="1" s="1"/>
  <c r="S13" i="1"/>
  <c r="AR13" i="1" s="1"/>
  <c r="R13" i="1"/>
  <c r="J51" i="67"/>
  <c r="C42" i="1"/>
  <c r="C24" i="12" s="1"/>
  <c r="B41" i="1"/>
  <c r="F48" i="9" s="1"/>
  <c r="O52" i="9" s="1"/>
  <c r="AB37" i="40"/>
  <c r="S35" i="40"/>
  <c r="W38" i="40"/>
  <c r="AA32" i="40"/>
  <c r="S17" i="40"/>
  <c r="AC17" i="40"/>
  <c r="AC15" i="40"/>
  <c r="S30" i="40"/>
  <c r="AA27"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H21" i="39"/>
  <c r="AB21" i="39" s="1"/>
  <c r="W19" i="39"/>
  <c r="U19" i="39"/>
  <c r="S17" i="39"/>
  <c r="AA12" i="39"/>
  <c r="S9" i="39"/>
  <c r="U12" i="39"/>
  <c r="S23" i="36"/>
  <c r="U13" i="36"/>
  <c r="U26" i="36"/>
  <c r="AC26" i="36"/>
  <c r="U22" i="36"/>
  <c r="AA25" i="36"/>
  <c r="S24" i="36"/>
  <c r="U24" i="36"/>
  <c r="U23" i="36"/>
  <c r="AA25" i="35"/>
  <c r="S23" i="35"/>
  <c r="W24" i="35"/>
  <c r="AB13" i="35"/>
  <c r="U28" i="35"/>
  <c r="AB27" i="35"/>
  <c r="U36" i="35"/>
  <c r="U32" i="35"/>
  <c r="AA33" i="35"/>
  <c r="AC30" i="35"/>
  <c r="S32" i="35"/>
  <c r="AA36" i="35"/>
  <c r="U22" i="35"/>
  <c r="AA11" i="35"/>
  <c r="W9" i="35"/>
  <c r="AC12" i="35"/>
  <c r="W13" i="35"/>
  <c r="F9" i="35"/>
  <c r="S9" i="35" s="1"/>
  <c r="H9" i="35"/>
  <c r="U9" i="35" s="1"/>
  <c r="AB40" i="37"/>
  <c r="W27" i="37"/>
  <c r="AC29" i="37"/>
  <c r="U29" i="37"/>
  <c r="AB31" i="37"/>
  <c r="W30" i="37"/>
  <c r="S36" i="37"/>
  <c r="AA38" i="37"/>
  <c r="W38" i="37"/>
  <c r="AC35" i="37"/>
  <c r="W39" i="37"/>
  <c r="S30" i="37"/>
  <c r="AC15" i="37"/>
  <c r="J17" i="37"/>
  <c r="W17" i="37"/>
  <c r="G73" i="37"/>
  <c r="F17" i="37"/>
  <c r="AA17" i="37"/>
  <c r="AB17" i="37"/>
  <c r="F75" i="37"/>
  <c r="G75" i="37" s="1"/>
  <c r="F19" i="37"/>
  <c r="S19" i="37" s="1"/>
  <c r="F23" i="37"/>
  <c r="U15" i="37"/>
  <c r="AC13" i="37"/>
  <c r="AA13" i="37"/>
  <c r="H10" i="37"/>
  <c r="AB10" i="37" s="1"/>
  <c r="F63" i="37"/>
  <c r="F11" i="37"/>
  <c r="S11" i="37" s="1"/>
  <c r="AB8" i="34"/>
  <c r="AC42" i="34"/>
  <c r="U39" i="34"/>
  <c r="U28" i="34"/>
  <c r="S13" i="34"/>
  <c r="H10" i="34"/>
  <c r="AB10" i="34" s="1"/>
  <c r="F11" i="34"/>
  <c r="S11" i="34" s="1"/>
  <c r="F70" i="34"/>
  <c r="W38" i="33"/>
  <c r="H41" i="33"/>
  <c r="AB41" i="33" s="1"/>
  <c r="F121" i="33"/>
  <c r="G121" i="33" s="1"/>
  <c r="H121" i="33" s="1"/>
  <c r="I121" i="33" s="1"/>
  <c r="J121" i="33" s="1"/>
  <c r="K121" i="33" s="1"/>
  <c r="L121" i="33"/>
  <c r="M121" i="33" s="1"/>
  <c r="U42" i="33"/>
  <c r="G108" i="33"/>
  <c r="H108" i="33"/>
  <c r="I108" i="33"/>
  <c r="J108" i="33"/>
  <c r="K108" i="33"/>
  <c r="L108" i="33"/>
  <c r="M108" i="33" s="1"/>
  <c r="J35" i="33"/>
  <c r="S37" i="33"/>
  <c r="S46" i="33"/>
  <c r="H25" i="33"/>
  <c r="AB25" i="33" s="1"/>
  <c r="U9" i="33"/>
  <c r="J10" i="33"/>
  <c r="W10" i="33" s="1"/>
  <c r="H10" i="33"/>
  <c r="U10" i="33" s="1"/>
  <c r="AC11" i="33"/>
  <c r="AB14" i="33"/>
  <c r="W43" i="21"/>
  <c r="W36" i="21"/>
  <c r="W41" i="21"/>
  <c r="AB39" i="21"/>
  <c r="AA43" i="21"/>
  <c r="S39" i="21"/>
  <c r="AA38" i="21"/>
  <c r="AA36" i="21"/>
  <c r="J15" i="21"/>
  <c r="AC15" i="21" s="1"/>
  <c r="W15" i="21"/>
  <c r="F77" i="21"/>
  <c r="G77" i="21" s="1"/>
  <c r="F23" i="21"/>
  <c r="E85" i="21"/>
  <c r="F85" i="21" s="1"/>
  <c r="AA14" i="21"/>
  <c r="D120" i="9"/>
  <c r="D121" i="9" s="1"/>
  <c r="D7" i="52" s="1"/>
  <c r="C18" i="9"/>
  <c r="D18" i="9"/>
  <c r="F34" i="67"/>
  <c r="F62" i="67" s="1"/>
  <c r="M20" i="67"/>
  <c r="F34" i="15"/>
  <c r="F62" i="15" s="1"/>
  <c r="G13" i="3"/>
  <c r="BA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AB31" i="40"/>
  <c r="S37" i="40"/>
  <c r="AB28" i="40"/>
  <c r="W28" i="40"/>
  <c r="W34" i="40"/>
  <c r="W27" i="40"/>
  <c r="S36" i="40"/>
  <c r="W37" i="40"/>
  <c r="AC14" i="40"/>
  <c r="S13" i="40"/>
  <c r="AA15" i="40"/>
  <c r="U11" i="40"/>
  <c r="U15" i="40"/>
  <c r="AB17" i="40"/>
  <c r="U8" i="40"/>
  <c r="S8" i="40"/>
  <c r="AA39" i="39"/>
  <c r="AC41" i="39"/>
  <c r="U42" i="39"/>
  <c r="W25" i="39"/>
  <c r="AC25" i="39"/>
  <c r="S14" i="39"/>
  <c r="AA14" i="39"/>
  <c r="U43" i="39"/>
  <c r="AB43" i="39"/>
  <c r="AB11" i="39"/>
  <c r="U11" i="39"/>
  <c r="AA27" i="39"/>
  <c r="S27" i="39"/>
  <c r="W31" i="39"/>
  <c r="AC31" i="39"/>
  <c r="S23" i="39"/>
  <c r="AA45" i="39"/>
  <c r="W34" i="39"/>
  <c r="U38" i="39"/>
  <c r="S8" i="39"/>
  <c r="AC25" i="36"/>
  <c r="U25" i="36"/>
  <c r="W23" i="36"/>
  <c r="AC25" i="35"/>
  <c r="U25" i="35"/>
  <c r="U24" i="35"/>
  <c r="S35" i="35"/>
  <c r="W35" i="35"/>
  <c r="AA35" i="37"/>
  <c r="W36" i="37"/>
  <c r="S28" i="37"/>
  <c r="W32" i="37"/>
  <c r="U36" i="37"/>
  <c r="U38" i="37"/>
  <c r="AB37" i="37"/>
  <c r="AB35" i="37"/>
  <c r="AA31" i="37"/>
  <c r="U19" i="37"/>
  <c r="AA29" i="37"/>
  <c r="U8" i="37"/>
  <c r="AA31" i="34"/>
  <c r="AB47" i="34"/>
  <c r="U25" i="34"/>
  <c r="AB36" i="34"/>
  <c r="AC14" i="34"/>
  <c r="AC32" i="34"/>
  <c r="AC29" i="34"/>
  <c r="W46" i="34"/>
  <c r="AC46" i="34"/>
  <c r="S32" i="34"/>
  <c r="AA32" i="34"/>
  <c r="AB30" i="34"/>
  <c r="AA36" i="34"/>
  <c r="S36" i="34"/>
  <c r="AA8" i="34"/>
  <c r="AB9" i="34"/>
  <c r="S46" i="34"/>
  <c r="U32" i="34"/>
  <c r="U14" i="34"/>
  <c r="AB14" i="34"/>
  <c r="W35" i="34"/>
  <c r="AB28" i="33"/>
  <c r="W46" i="33"/>
  <c r="U39" i="33"/>
  <c r="U38" i="33"/>
  <c r="S30" i="33"/>
  <c r="AA30" i="33"/>
  <c r="W14" i="33"/>
  <c r="AC30" i="33"/>
  <c r="W30" i="33"/>
  <c r="S31" i="33"/>
  <c r="AA31" i="33"/>
  <c r="W13" i="33"/>
  <c r="AC13" i="33"/>
  <c r="W8" i="33"/>
  <c r="S44" i="21"/>
  <c r="U28" i="21"/>
  <c r="S45" i="21"/>
  <c r="I101" i="21"/>
  <c r="J101" i="21"/>
  <c r="K101" i="21"/>
  <c r="L101" i="21" s="1"/>
  <c r="M101" i="21"/>
  <c r="F33" i="21"/>
  <c r="AA33" i="21" s="1"/>
  <c r="J33" i="21"/>
  <c r="AC33" i="21" s="1"/>
  <c r="H33" i="21"/>
  <c r="AB33" i="21" s="1"/>
  <c r="F37" i="21"/>
  <c r="S37" i="21" s="1"/>
  <c r="AA37" i="21"/>
  <c r="AA26" i="21"/>
  <c r="AB46" i="21"/>
  <c r="U40" i="21"/>
  <c r="AB31" i="21"/>
  <c r="U31" i="21"/>
  <c r="U13" i="21"/>
  <c r="AB13" i="21"/>
  <c r="S35" i="21"/>
  <c r="J37" i="21"/>
  <c r="W37" i="21" s="1"/>
  <c r="H15" i="21"/>
  <c r="U15" i="21"/>
  <c r="J17" i="21"/>
  <c r="AC17" i="21"/>
  <c r="AC19" i="21"/>
  <c r="W39" i="21"/>
  <c r="AC14" i="21"/>
  <c r="W30" i="21"/>
  <c r="S46" i="21"/>
  <c r="H45" i="21"/>
  <c r="U45" i="21"/>
  <c r="F29" i="21"/>
  <c r="AA29" i="21" s="1"/>
  <c r="S29" i="21"/>
  <c r="F13" i="21"/>
  <c r="AC38" i="21"/>
  <c r="H32" i="21"/>
  <c r="H9" i="21"/>
  <c r="U9" i="21" s="1"/>
  <c r="J9" i="21"/>
  <c r="W9" i="21" s="1"/>
  <c r="J32" i="21"/>
  <c r="W32" i="21" s="1"/>
  <c r="F32" i="21"/>
  <c r="S32" i="21" s="1"/>
  <c r="AA31" i="21"/>
  <c r="W29" i="21"/>
  <c r="S19" i="21"/>
  <c r="S9" i="21"/>
  <c r="AA9" i="21"/>
  <c r="K141" i="21"/>
  <c r="K144" i="21"/>
  <c r="K143" i="21"/>
  <c r="AB25" i="21"/>
  <c r="AB44" i="21"/>
  <c r="AA30" i="21"/>
  <c r="W13" i="21"/>
  <c r="W42" i="21"/>
  <c r="AC45" i="21"/>
  <c r="F10" i="21"/>
  <c r="AA10" i="21" s="1"/>
  <c r="K145" i="21"/>
  <c r="W17" i="21"/>
  <c r="W31" i="21"/>
  <c r="S17" i="21"/>
  <c r="AA15" i="21"/>
  <c r="AC26" i="21"/>
  <c r="AB29" i="21"/>
  <c r="S28" i="21"/>
  <c r="AB36" i="21"/>
  <c r="W30" i="40"/>
  <c r="C19" i="39"/>
  <c r="C15" i="40"/>
  <c r="C17" i="40"/>
  <c r="C23" i="40"/>
  <c r="C21" i="40"/>
  <c r="U30" i="40"/>
  <c r="B56"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U21" i="39"/>
  <c r="S21" i="39"/>
  <c r="AC17" i="37"/>
  <c r="S17" i="37"/>
  <c r="J19" i="37"/>
  <c r="W19" i="37" s="1"/>
  <c r="J23" i="37"/>
  <c r="J10" i="37"/>
  <c r="W10" i="37" s="1"/>
  <c r="G63" i="37"/>
  <c r="H11" i="37"/>
  <c r="AB11" i="37" s="1"/>
  <c r="G70" i="34"/>
  <c r="H70" i="34" s="1"/>
  <c r="I70" i="34" s="1"/>
  <c r="J70" i="34" s="1"/>
  <c r="K70" i="34" s="1"/>
  <c r="L70" i="34" s="1"/>
  <c r="M70" i="34" s="1"/>
  <c r="H11" i="34"/>
  <c r="U11" i="34" s="1"/>
  <c r="J10" i="34"/>
  <c r="AC10" i="34" s="1"/>
  <c r="U41" i="33"/>
  <c r="J25" i="33"/>
  <c r="AC25" i="33" s="1"/>
  <c r="AB15" i="21"/>
  <c r="J23" i="21"/>
  <c r="AC23" i="21" s="1"/>
  <c r="G85" i="21"/>
  <c r="H23" i="21"/>
  <c r="AP7" i="1"/>
  <c r="AB45" i="21"/>
  <c r="AB9" i="21"/>
  <c r="AA32" i="21"/>
  <c r="AC9" i="21"/>
  <c r="AB32" i="21"/>
  <c r="U32" i="21"/>
  <c r="U32" i="39"/>
  <c r="W32" i="39"/>
  <c r="H63" i="37"/>
  <c r="I63" i="37"/>
  <c r="J63" i="37" s="1"/>
  <c r="K63" i="37"/>
  <c r="L63" i="37" s="1"/>
  <c r="M63" i="37" s="1"/>
  <c r="J11" i="37"/>
  <c r="AC11" i="37" s="1"/>
  <c r="J11" i="34"/>
  <c r="W11" i="34" s="1"/>
  <c r="U23" i="21"/>
  <c r="AB23" i="21"/>
  <c r="H109" i="9"/>
  <c r="H112" i="9"/>
  <c r="H111" i="9"/>
  <c r="D126" i="9" s="1"/>
  <c r="AD3" i="71"/>
  <c r="J1" i="73"/>
  <c r="H69" i="43"/>
  <c r="H50" i="43"/>
  <c r="S24" i="71"/>
  <c r="AB22" i="71"/>
  <c r="X20" i="71"/>
  <c r="X19" i="71"/>
  <c r="AA20" i="71"/>
  <c r="AA19" i="71"/>
  <c r="X23" i="71"/>
  <c r="Y19" i="71"/>
  <c r="Z19" i="71" s="1"/>
  <c r="AB20" i="71"/>
  <c r="AB19" i="71"/>
  <c r="S20" i="71"/>
  <c r="Y20" i="71"/>
  <c r="Z20" i="71" s="1"/>
  <c r="X3" i="71"/>
  <c r="E21" i="71"/>
  <c r="E20" i="71" s="1"/>
  <c r="E19" i="71" s="1"/>
  <c r="E18" i="71" s="1"/>
  <c r="E17" i="71" s="1"/>
  <c r="E16" i="71" s="1"/>
  <c r="F42" i="15"/>
  <c r="M28" i="67"/>
  <c r="E2" i="69"/>
  <c r="F6" i="15"/>
  <c r="F4" i="73"/>
  <c r="M28" i="15"/>
  <c r="F9" i="15"/>
  <c r="F20" i="31"/>
  <c r="E9" i="76"/>
  <c r="F8" i="15"/>
  <c r="D19" i="9"/>
  <c r="M23" i="67"/>
  <c r="M22" i="67"/>
  <c r="M29" i="67"/>
  <c r="F7" i="67"/>
  <c r="F42" i="67"/>
  <c r="B7" i="76"/>
  <c r="F36" i="67"/>
  <c r="E10" i="76"/>
  <c r="D5" i="73"/>
  <c r="F13" i="67"/>
  <c r="F16" i="67"/>
  <c r="F7" i="15"/>
  <c r="F26" i="67"/>
  <c r="D7" i="73"/>
  <c r="E7" i="76"/>
  <c r="M24" i="15"/>
  <c r="C76" i="67"/>
  <c r="D34" i="9"/>
  <c r="M23" i="15"/>
  <c r="F40" i="67"/>
  <c r="C19" i="9"/>
  <c r="B13" i="76"/>
  <c r="L48" i="67"/>
  <c r="F38" i="15"/>
  <c r="D6" i="73"/>
  <c r="M9" i="15"/>
  <c r="E12" i="76"/>
  <c r="E2" i="68"/>
  <c r="F7" i="73"/>
  <c r="F26" i="15"/>
  <c r="C76" i="15"/>
  <c r="D35" i="9"/>
  <c r="M8" i="15"/>
  <c r="D3" i="73"/>
  <c r="F37" i="67"/>
  <c r="B8" i="76"/>
  <c r="F37" i="15"/>
  <c r="J15" i="15"/>
  <c r="M26" i="15"/>
  <c r="F6" i="67"/>
  <c r="M9" i="67"/>
  <c r="E11" i="76"/>
  <c r="M29" i="15"/>
  <c r="D20" i="9"/>
  <c r="F8" i="67"/>
  <c r="E13" i="76"/>
  <c r="F40" i="15"/>
  <c r="L48" i="15"/>
  <c r="L47" i="15"/>
  <c r="F13" i="15"/>
  <c r="M6" i="15"/>
  <c r="F6" i="73"/>
  <c r="F43" i="15"/>
  <c r="B12" i="76"/>
  <c r="E8" i="76"/>
  <c r="B11" i="76"/>
  <c r="C20" i="9"/>
  <c r="F36" i="15"/>
  <c r="F9" i="67"/>
  <c r="F3" i="73"/>
  <c r="M26" i="67"/>
  <c r="F5" i="73"/>
  <c r="B10" i="76"/>
  <c r="M6" i="67"/>
  <c r="M22" i="15"/>
  <c r="F16" i="15"/>
  <c r="AO13" i="1"/>
  <c r="B9" i="76"/>
  <c r="J9" i="34" l="1"/>
  <c r="W9" i="34" s="1"/>
  <c r="K176" i="31"/>
  <c r="K174" i="31"/>
  <c r="K172" i="31"/>
  <c r="K170" i="31"/>
  <c r="K168" i="31"/>
  <c r="K166" i="31"/>
  <c r="K164" i="31"/>
  <c r="K162" i="31"/>
  <c r="K160" i="31"/>
  <c r="K158" i="31"/>
  <c r="K156" i="31"/>
  <c r="K154" i="31"/>
  <c r="K152" i="31"/>
  <c r="K150" i="31"/>
  <c r="K148" i="31"/>
  <c r="K146" i="31"/>
  <c r="K144" i="31"/>
  <c r="K142" i="31"/>
  <c r="K140" i="31"/>
  <c r="K138" i="31"/>
  <c r="K136" i="31"/>
  <c r="K134" i="31"/>
  <c r="K132" i="31"/>
  <c r="K130" i="31"/>
  <c r="K128" i="31"/>
  <c r="K126" i="31"/>
  <c r="K124" i="31"/>
  <c r="K122" i="31"/>
  <c r="K120" i="31"/>
  <c r="K118" i="31"/>
  <c r="K116" i="31"/>
  <c r="K114" i="31"/>
  <c r="K112" i="31"/>
  <c r="K110" i="31"/>
  <c r="K108" i="31"/>
  <c r="K106" i="31"/>
  <c r="K104" i="31"/>
  <c r="K102" i="31"/>
  <c r="K100" i="31"/>
  <c r="K98" i="31"/>
  <c r="K96" i="31"/>
  <c r="K94" i="31"/>
  <c r="K92" i="31"/>
  <c r="K90" i="31"/>
  <c r="K88" i="31"/>
  <c r="K86" i="31"/>
  <c r="K84" i="31"/>
  <c r="K82" i="31"/>
  <c r="K80" i="31"/>
  <c r="K78" i="31"/>
  <c r="K76" i="31"/>
  <c r="K74" i="31"/>
  <c r="K72" i="31"/>
  <c r="K70" i="31"/>
  <c r="K68" i="31"/>
  <c r="K66" i="31"/>
  <c r="K64" i="31"/>
  <c r="K62" i="31"/>
  <c r="K60" i="31"/>
  <c r="K58" i="31"/>
  <c r="K56" i="31"/>
  <c r="K54" i="31"/>
  <c r="K52" i="31"/>
  <c r="K50" i="31"/>
  <c r="K48" i="31"/>
  <c r="K46" i="31"/>
  <c r="K43" i="31"/>
  <c r="K41" i="31"/>
  <c r="K39" i="31"/>
  <c r="K37" i="31"/>
  <c r="K35" i="31"/>
  <c r="K33" i="31"/>
  <c r="K31" i="31"/>
  <c r="AA30" i="34"/>
  <c r="AA45" i="34"/>
  <c r="AC45" i="34"/>
  <c r="AB45" i="34"/>
  <c r="AB23" i="37"/>
  <c r="U23" i="37"/>
  <c r="AB17" i="21"/>
  <c r="U17" i="21"/>
  <c r="W13" i="40"/>
  <c r="AC13" i="40"/>
  <c r="U13" i="34"/>
  <c r="AB13" i="34"/>
  <c r="W46" i="21"/>
  <c r="AC46" i="21"/>
  <c r="U14" i="21"/>
  <c r="AB14" i="21"/>
  <c r="W13" i="39"/>
  <c r="AC13" i="39"/>
  <c r="U13" i="40"/>
  <c r="AB13" i="40"/>
  <c r="AA40" i="37"/>
  <c r="S40" i="37"/>
  <c r="S13" i="36"/>
  <c r="AA13" i="36"/>
  <c r="AB32" i="36"/>
  <c r="U32" i="36"/>
  <c r="AC35" i="33"/>
  <c r="W35" i="33"/>
  <c r="S19" i="40"/>
  <c r="AA19" i="40"/>
  <c r="AC43" i="33"/>
  <c r="W43" i="33"/>
  <c r="BQ5" i="3"/>
  <c r="F28" i="6" s="1"/>
  <c r="F30" i="6" s="1"/>
  <c r="AZ513" i="3"/>
  <c r="AZ522" i="3"/>
  <c r="S12" i="40"/>
  <c r="AA12" i="40"/>
  <c r="AC40" i="37"/>
  <c r="W40" i="37"/>
  <c r="AA27" i="21"/>
  <c r="S27" i="21"/>
  <c r="W23" i="37"/>
  <c r="AC23" i="37"/>
  <c r="V20" i="71"/>
  <c r="W23" i="21"/>
  <c r="AA19" i="37"/>
  <c r="AA13" i="21"/>
  <c r="S13" i="21"/>
  <c r="U32" i="37"/>
  <c r="AA31" i="40"/>
  <c r="S31" i="40"/>
  <c r="AC25" i="21"/>
  <c r="W25" i="21"/>
  <c r="AZ571" i="3"/>
  <c r="AA13" i="39"/>
  <c r="S13" i="39"/>
  <c r="AB14" i="39"/>
  <c r="U14" i="39"/>
  <c r="AB29" i="34"/>
  <c r="U29" i="34"/>
  <c r="AC31" i="33"/>
  <c r="W31" i="33"/>
  <c r="AB27" i="21"/>
  <c r="U27" i="21"/>
  <c r="E15" i="71"/>
  <c r="E14" i="71" s="1"/>
  <c r="E13" i="71" s="1"/>
  <c r="E12" i="71" s="1"/>
  <c r="V16" i="71"/>
  <c r="AZ343" i="3"/>
  <c r="AA37" i="37"/>
  <c r="S37" i="37"/>
  <c r="S25" i="21"/>
  <c r="AA25" i="21"/>
  <c r="AZ578" i="3"/>
  <c r="AA27" i="37"/>
  <c r="S27" i="37"/>
  <c r="BL559" i="3"/>
  <c r="AZ559" i="3" s="1"/>
  <c r="AZ556" i="3"/>
  <c r="AZ555" i="3"/>
  <c r="AZ554" i="3"/>
  <c r="BL553" i="3"/>
  <c r="AA12" i="33"/>
  <c r="AA23" i="37"/>
  <c r="S23" i="37"/>
  <c r="AZ379" i="3"/>
  <c r="AC19" i="40"/>
  <c r="W19" i="40"/>
  <c r="AB41" i="39"/>
  <c r="U41" i="39"/>
  <c r="AC42" i="33"/>
  <c r="W42" i="33"/>
  <c r="AZ545" i="3"/>
  <c r="AZ575" i="3"/>
  <c r="S45" i="33"/>
  <c r="U33" i="40"/>
  <c r="AB33" i="40"/>
  <c r="U29" i="33"/>
  <c r="AB29" i="33"/>
  <c r="S23" i="21"/>
  <c r="AA23" i="21"/>
  <c r="W12" i="37"/>
  <c r="AC12" i="37"/>
  <c r="W36" i="40"/>
  <c r="AC36" i="40"/>
  <c r="G509" i="3"/>
  <c r="AC5" i="3"/>
  <c r="AA33" i="40"/>
  <c r="S33" i="40"/>
  <c r="U42" i="21"/>
  <c r="AB42" i="21"/>
  <c r="AZ569" i="3"/>
  <c r="AZ525" i="3"/>
  <c r="BL523" i="3"/>
  <c r="AZ523" i="3"/>
  <c r="AZ521" i="3"/>
  <c r="AZ520" i="3"/>
  <c r="AZ519" i="3"/>
  <c r="AZ516" i="3"/>
  <c r="AZ509" i="3"/>
  <c r="AZ508" i="3"/>
  <c r="AZ505" i="3"/>
  <c r="AZ504" i="3"/>
  <c r="AZ503" i="3"/>
  <c r="AZ496" i="3"/>
  <c r="AZ494" i="3"/>
  <c r="BL493" i="3"/>
  <c r="AZ493" i="3" s="1"/>
  <c r="AB32" i="40"/>
  <c r="U32" i="40"/>
  <c r="W13" i="34"/>
  <c r="AC13" i="34"/>
  <c r="W30" i="34"/>
  <c r="AC30" i="34"/>
  <c r="W28" i="33"/>
  <c r="AC28" i="33"/>
  <c r="AA28" i="40"/>
  <c r="S28" i="40"/>
  <c r="S32" i="39"/>
  <c r="AC34" i="37"/>
  <c r="W17" i="39"/>
  <c r="BS5" i="3"/>
  <c r="BL561" i="3"/>
  <c r="AZ561" i="3" s="1"/>
  <c r="BA553" i="3"/>
  <c r="AZ553" i="3" s="1"/>
  <c r="W22" i="35"/>
  <c r="E126" i="34"/>
  <c r="F126" i="34" s="1"/>
  <c r="G126" i="34" s="1"/>
  <c r="F44" i="34"/>
  <c r="AA44" i="34" s="1"/>
  <c r="H36" i="39"/>
  <c r="F36" i="39"/>
  <c r="J36" i="39"/>
  <c r="BL548" i="3"/>
  <c r="AA25" i="34"/>
  <c r="AC40" i="21"/>
  <c r="AA34" i="36"/>
  <c r="BE5" i="3"/>
  <c r="AA15" i="37"/>
  <c r="BA501" i="3"/>
  <c r="AZ501" i="3" s="1"/>
  <c r="AB46" i="34"/>
  <c r="H32" i="33"/>
  <c r="AB32" i="33" s="1"/>
  <c r="D6" i="52"/>
  <c r="AC19" i="37"/>
  <c r="C28" i="67"/>
  <c r="AB39" i="39"/>
  <c r="J32" i="33"/>
  <c r="W32" i="33" s="1"/>
  <c r="S33" i="36"/>
  <c r="BG5" i="3"/>
  <c r="S21" i="40"/>
  <c r="H13" i="39"/>
  <c r="S38" i="40"/>
  <c r="H25" i="37"/>
  <c r="J25" i="37"/>
  <c r="F25" i="37"/>
  <c r="BA550" i="3"/>
  <c r="AZ550" i="3" s="1"/>
  <c r="AC34" i="21"/>
  <c r="S15" i="39"/>
  <c r="BM5" i="3"/>
  <c r="F29" i="6" s="1"/>
  <c r="U12" i="35"/>
  <c r="AB12" i="35"/>
  <c r="AC9" i="34"/>
  <c r="AC27" i="21"/>
  <c r="S24" i="35"/>
  <c r="AA29" i="34"/>
  <c r="S23" i="40"/>
  <c r="U35" i="21"/>
  <c r="BT5" i="3"/>
  <c r="G28" i="6" s="1"/>
  <c r="U43" i="33"/>
  <c r="AZ548" i="3"/>
  <c r="U46" i="33"/>
  <c r="S26" i="33"/>
  <c r="J25" i="34"/>
  <c r="AC25" i="34" s="1"/>
  <c r="G88" i="34"/>
  <c r="H88" i="34" s="1"/>
  <c r="I88" i="34" s="1"/>
  <c r="J88" i="34" s="1"/>
  <c r="K88" i="34" s="1"/>
  <c r="L88" i="34" s="1"/>
  <c r="M88" i="34" s="1"/>
  <c r="J9" i="36"/>
  <c r="F9" i="36"/>
  <c r="AB14" i="37"/>
  <c r="U14" i="37"/>
  <c r="F26" i="37"/>
  <c r="J26" i="37"/>
  <c r="H26" i="37"/>
  <c r="AB34" i="40"/>
  <c r="U34" i="40"/>
  <c r="AB30" i="21"/>
  <c r="U34" i="21"/>
  <c r="J38" i="34"/>
  <c r="W38" i="34" s="1"/>
  <c r="F38" i="34"/>
  <c r="S38" i="34" s="1"/>
  <c r="H38" i="34"/>
  <c r="AB38" i="34" s="1"/>
  <c r="J12" i="21"/>
  <c r="J9" i="33"/>
  <c r="AB34" i="35"/>
  <c r="AZ404" i="3"/>
  <c r="AZ421" i="3"/>
  <c r="AZ438" i="3"/>
  <c r="AZ455" i="3"/>
  <c r="AZ484" i="3"/>
  <c r="F12" i="35"/>
  <c r="J36" i="35"/>
  <c r="H40" i="40"/>
  <c r="AZ482" i="3"/>
  <c r="AZ399" i="3"/>
  <c r="AZ416" i="3"/>
  <c r="AZ450" i="3"/>
  <c r="AZ413" i="3"/>
  <c r="AZ414" i="3"/>
  <c r="AZ420" i="3"/>
  <c r="AZ434" i="3"/>
  <c r="AZ447" i="3"/>
  <c r="AZ449" i="3"/>
  <c r="AZ466" i="3"/>
  <c r="H12" i="34"/>
  <c r="AZ430" i="3"/>
  <c r="AZ442" i="3"/>
  <c r="F9" i="33"/>
  <c r="AA9" i="33" s="1"/>
  <c r="J28" i="35"/>
  <c r="AC28" i="35" s="1"/>
  <c r="AZ407" i="3"/>
  <c r="AZ488" i="3"/>
  <c r="AZ230" i="3"/>
  <c r="H38" i="40"/>
  <c r="AZ405" i="3"/>
  <c r="AZ424" i="3"/>
  <c r="AZ425" i="3"/>
  <c r="AZ456" i="3"/>
  <c r="G465" i="3"/>
  <c r="BL312" i="3"/>
  <c r="AZ312" i="3" s="1"/>
  <c r="G313" i="3"/>
  <c r="G242" i="3"/>
  <c r="AZ276" i="3"/>
  <c r="AZ463" i="3"/>
  <c r="AZ270" i="3"/>
  <c r="BA474" i="3"/>
  <c r="BL481" i="3"/>
  <c r="AZ481" i="3" s="1"/>
  <c r="BA483" i="3"/>
  <c r="AZ483" i="3" s="1"/>
  <c r="BL486" i="3"/>
  <c r="BA307" i="3"/>
  <c r="AZ307" i="3" s="1"/>
  <c r="BA316" i="3"/>
  <c r="AZ316" i="3" s="1"/>
  <c r="BA317" i="3"/>
  <c r="AZ317" i="3" s="1"/>
  <c r="BA333" i="3"/>
  <c r="AZ333" i="3" s="1"/>
  <c r="BL363" i="3"/>
  <c r="AZ363" i="3" s="1"/>
  <c r="BL230" i="3"/>
  <c r="AZ247" i="3"/>
  <c r="AZ267" i="3"/>
  <c r="AZ126" i="3"/>
  <c r="BA460" i="3"/>
  <c r="AZ460" i="3" s="1"/>
  <c r="BL473" i="3"/>
  <c r="AZ473" i="3" s="1"/>
  <c r="BA475" i="3"/>
  <c r="AZ475" i="3" s="1"/>
  <c r="BL482" i="3"/>
  <c r="G488" i="3"/>
  <c r="AZ385" i="3"/>
  <c r="BL214" i="3"/>
  <c r="AZ214" i="3" s="1"/>
  <c r="BL217" i="3"/>
  <c r="AZ217" i="3" s="1"/>
  <c r="AZ221" i="3"/>
  <c r="AZ244" i="3"/>
  <c r="BA265" i="3"/>
  <c r="AZ265" i="3" s="1"/>
  <c r="BL270" i="3"/>
  <c r="H5" i="3"/>
  <c r="BL459" i="3"/>
  <c r="AZ459" i="3" s="1"/>
  <c r="BA471" i="3"/>
  <c r="AZ471" i="3" s="1"/>
  <c r="BL474" i="3"/>
  <c r="BA323" i="3"/>
  <c r="AZ323" i="3" s="1"/>
  <c r="BA358" i="3"/>
  <c r="AZ358" i="3" s="1"/>
  <c r="BL233" i="3"/>
  <c r="AZ233" i="3" s="1"/>
  <c r="BA248" i="3"/>
  <c r="AZ248" i="3" s="1"/>
  <c r="BA255" i="3"/>
  <c r="AZ255" i="3" s="1"/>
  <c r="AZ260" i="3"/>
  <c r="BA261" i="3"/>
  <c r="AZ261" i="3" s="1"/>
  <c r="BA264" i="3"/>
  <c r="AZ264" i="3" s="1"/>
  <c r="A15" i="62"/>
  <c r="B61" i="72" s="1"/>
  <c r="BL456" i="3"/>
  <c r="BL470" i="3"/>
  <c r="AZ470" i="3" s="1"/>
  <c r="BA490" i="3"/>
  <c r="AZ490" i="3" s="1"/>
  <c r="BA492" i="3"/>
  <c r="AZ492" i="3" s="1"/>
  <c r="BA315" i="3"/>
  <c r="AZ315" i="3" s="1"/>
  <c r="BL324" i="3"/>
  <c r="AZ324" i="3" s="1"/>
  <c r="BA332" i="3"/>
  <c r="AZ332" i="3" s="1"/>
  <c r="BL340" i="3"/>
  <c r="AZ340" i="3" s="1"/>
  <c r="BL350" i="3"/>
  <c r="AZ350" i="3" s="1"/>
  <c r="BA245" i="3"/>
  <c r="AZ245" i="3" s="1"/>
  <c r="AZ285" i="3"/>
  <c r="G454" i="3"/>
  <c r="G468" i="3"/>
  <c r="G480" i="3"/>
  <c r="BL489" i="3"/>
  <c r="AZ489" i="3" s="1"/>
  <c r="BL314" i="3"/>
  <c r="AZ314" i="3" s="1"/>
  <c r="G315" i="3"/>
  <c r="BA339" i="3"/>
  <c r="AZ339" i="3" s="1"/>
  <c r="BL254" i="3"/>
  <c r="AZ254" i="3" s="1"/>
  <c r="BA477" i="3"/>
  <c r="AZ477" i="3" s="1"/>
  <c r="BA486" i="3"/>
  <c r="AZ486" i="3" s="1"/>
  <c r="G491" i="3"/>
  <c r="BL491" i="3"/>
  <c r="AZ491" i="3" s="1"/>
  <c r="AZ397" i="3"/>
  <c r="AZ210" i="3"/>
  <c r="BA212" i="3"/>
  <c r="AZ212" i="3" s="1"/>
  <c r="AZ220" i="3"/>
  <c r="AZ225" i="3"/>
  <c r="AZ226" i="3"/>
  <c r="AZ228" i="3"/>
  <c r="AZ236" i="3"/>
  <c r="AZ239" i="3"/>
  <c r="BL284" i="3"/>
  <c r="AZ284" i="3" s="1"/>
  <c r="AZ289" i="3"/>
  <c r="AZ113" i="3"/>
  <c r="AZ141" i="3"/>
  <c r="BA274" i="3"/>
  <c r="AZ274" i="3" s="1"/>
  <c r="G299" i="3"/>
  <c r="BA116" i="3"/>
  <c r="AZ116" i="3" s="1"/>
  <c r="BA122" i="3"/>
  <c r="AZ122" i="3" s="1"/>
  <c r="BA128" i="3"/>
  <c r="AZ128" i="3" s="1"/>
  <c r="BL129" i="3"/>
  <c r="BL131" i="3"/>
  <c r="AZ131" i="3" s="1"/>
  <c r="BL135" i="3"/>
  <c r="AZ135" i="3" s="1"/>
  <c r="BA148" i="3"/>
  <c r="AZ148" i="3" s="1"/>
  <c r="BA161" i="3"/>
  <c r="AZ161" i="3" s="1"/>
  <c r="BA164" i="3"/>
  <c r="AZ164" i="3" s="1"/>
  <c r="BL170" i="3"/>
  <c r="AZ170" i="3" s="1"/>
  <c r="BL175" i="3"/>
  <c r="AZ175" i="3" s="1"/>
  <c r="BL187" i="3"/>
  <c r="AZ187" i="3" s="1"/>
  <c r="BA200" i="3"/>
  <c r="AZ200" i="3" s="1"/>
  <c r="BL207" i="3"/>
  <c r="AZ207" i="3" s="1"/>
  <c r="BL39" i="3"/>
  <c r="AZ39" i="3" s="1"/>
  <c r="AZ54" i="3"/>
  <c r="AZ23" i="3"/>
  <c r="AZ48" i="3"/>
  <c r="G267" i="3"/>
  <c r="BL279" i="3"/>
  <c r="AZ279" i="3" s="1"/>
  <c r="BA286" i="3"/>
  <c r="AZ286" i="3" s="1"/>
  <c r="BA294" i="3"/>
  <c r="G302" i="3"/>
  <c r="G116" i="3"/>
  <c r="BL126" i="3"/>
  <c r="BA136" i="3"/>
  <c r="AZ136" i="3" s="1"/>
  <c r="BA144" i="3"/>
  <c r="AZ144" i="3" s="1"/>
  <c r="BL145" i="3"/>
  <c r="AZ145" i="3" s="1"/>
  <c r="BL162" i="3"/>
  <c r="AZ162" i="3" s="1"/>
  <c r="BL169" i="3"/>
  <c r="BA173" i="3"/>
  <c r="AZ173" i="3" s="1"/>
  <c r="BA176" i="3"/>
  <c r="AZ176" i="3" s="1"/>
  <c r="BL182" i="3"/>
  <c r="AZ182" i="3" s="1"/>
  <c r="AZ22" i="3"/>
  <c r="AZ44" i="3"/>
  <c r="AA37" i="71"/>
  <c r="AA38" i="71"/>
  <c r="AA28" i="71"/>
  <c r="BL293" i="3"/>
  <c r="AZ293" i="3" s="1"/>
  <c r="BL114" i="3"/>
  <c r="AZ114" i="3" s="1"/>
  <c r="BA134" i="3"/>
  <c r="AZ134" i="3" s="1"/>
  <c r="AZ137" i="3"/>
  <c r="G138" i="3"/>
  <c r="BA153" i="3"/>
  <c r="AZ153" i="3" s="1"/>
  <c r="BL23" i="3"/>
  <c r="BL27" i="3"/>
  <c r="AZ27" i="3" s="1"/>
  <c r="BL31" i="3"/>
  <c r="AZ31" i="3" s="1"/>
  <c r="BA60" i="3"/>
  <c r="AZ60" i="3" s="1"/>
  <c r="AZ81" i="3"/>
  <c r="BA277" i="3"/>
  <c r="AZ277" i="3" s="1"/>
  <c r="BL294" i="3"/>
  <c r="BL295" i="3"/>
  <c r="AZ295" i="3" s="1"/>
  <c r="BA299" i="3"/>
  <c r="AZ299" i="3" s="1"/>
  <c r="BL157" i="3"/>
  <c r="AZ157" i="3" s="1"/>
  <c r="AZ18" i="3"/>
  <c r="BL20" i="3"/>
  <c r="AZ20" i="3" s="1"/>
  <c r="BL24" i="3"/>
  <c r="AZ24" i="3" s="1"/>
  <c r="B30" i="71"/>
  <c r="B31" i="71" s="1"/>
  <c r="B32" i="71" s="1"/>
  <c r="S32" i="71" s="1"/>
  <c r="X26" i="71"/>
  <c r="X27" i="71"/>
  <c r="X29" i="71"/>
  <c r="X28" i="71"/>
  <c r="BL276" i="3"/>
  <c r="BL287" i="3"/>
  <c r="AZ287" i="3" s="1"/>
  <c r="BA118" i="3"/>
  <c r="AZ118" i="3" s="1"/>
  <c r="AZ129" i="3"/>
  <c r="BA132" i="3"/>
  <c r="AZ132" i="3" s="1"/>
  <c r="BL134" i="3"/>
  <c r="AZ169" i="3"/>
  <c r="C87" i="71"/>
  <c r="D88" i="71"/>
  <c r="BA283" i="3"/>
  <c r="AZ283" i="3" s="1"/>
  <c r="BL285" i="3"/>
  <c r="BA290" i="3"/>
  <c r="AZ290" i="3" s="1"/>
  <c r="BA117" i="3"/>
  <c r="AZ117" i="3" s="1"/>
  <c r="BL141" i="3"/>
  <c r="BA149" i="3"/>
  <c r="AZ149" i="3" s="1"/>
  <c r="BL151" i="3"/>
  <c r="AZ151" i="3" s="1"/>
  <c r="BA165" i="3"/>
  <c r="AZ165" i="3" s="1"/>
  <c r="BA166" i="3"/>
  <c r="AZ166" i="3" s="1"/>
  <c r="BA184" i="3"/>
  <c r="AZ184" i="3" s="1"/>
  <c r="AZ185" i="3"/>
  <c r="BA38" i="3"/>
  <c r="AZ56" i="3"/>
  <c r="BL59" i="3"/>
  <c r="AZ90" i="3"/>
  <c r="F79" i="71"/>
  <c r="F78" i="71" s="1"/>
  <c r="V80" i="71"/>
  <c r="BL28" i="3"/>
  <c r="AZ28" i="3" s="1"/>
  <c r="BA36" i="3"/>
  <c r="AZ36" i="3" s="1"/>
  <c r="G46" i="3"/>
  <c r="BL57" i="3"/>
  <c r="AZ57" i="3" s="1"/>
  <c r="BL64" i="3"/>
  <c r="AZ64" i="3" s="1"/>
  <c r="BA69" i="3"/>
  <c r="AZ69" i="3" s="1"/>
  <c r="BL73" i="3"/>
  <c r="BA86" i="3"/>
  <c r="AZ86" i="3" s="1"/>
  <c r="BA98" i="3"/>
  <c r="BL98" i="3"/>
  <c r="BA102" i="3"/>
  <c r="AZ102" i="3" s="1"/>
  <c r="BA105" i="3"/>
  <c r="AZ105" i="3" s="1"/>
  <c r="BA108" i="3"/>
  <c r="AZ108" i="3" s="1"/>
  <c r="AA26" i="71"/>
  <c r="Y31" i="71"/>
  <c r="Z31" i="71" s="1"/>
  <c r="Y33" i="71"/>
  <c r="Z33" i="71" s="1"/>
  <c r="Y35" i="71"/>
  <c r="Z35" i="71" s="1"/>
  <c r="AA9" i="71"/>
  <c r="B47" i="71"/>
  <c r="B48" i="71" s="1"/>
  <c r="S48" i="71" s="1"/>
  <c r="X24" i="71"/>
  <c r="X25" i="71"/>
  <c r="Y14" i="71"/>
  <c r="Z14" i="71" s="1"/>
  <c r="Y13" i="71"/>
  <c r="Z13" i="71" s="1"/>
  <c r="Y11" i="71"/>
  <c r="Z11" i="71" s="1"/>
  <c r="Y12" i="71"/>
  <c r="Z12" i="71" s="1"/>
  <c r="AZ73" i="3"/>
  <c r="C59" i="71"/>
  <c r="D58" i="71"/>
  <c r="BA33" i="3"/>
  <c r="AZ33" i="3" s="1"/>
  <c r="G42" i="3"/>
  <c r="BL42" i="3"/>
  <c r="AZ42" i="3" s="1"/>
  <c r="G55" i="3"/>
  <c r="BL55" i="3"/>
  <c r="AZ55" i="3" s="1"/>
  <c r="G62" i="3"/>
  <c r="BA76" i="3"/>
  <c r="AZ76" i="3" s="1"/>
  <c r="BL80" i="3"/>
  <c r="AZ80" i="3" s="1"/>
  <c r="BA85" i="3"/>
  <c r="AZ85" i="3" s="1"/>
  <c r="BA89" i="3"/>
  <c r="BL89" i="3"/>
  <c r="BL97" i="3"/>
  <c r="AZ97" i="3" s="1"/>
  <c r="G101" i="3"/>
  <c r="AZ104" i="3"/>
  <c r="BL104" i="3"/>
  <c r="G108" i="3"/>
  <c r="G5" i="3" s="1"/>
  <c r="B3" i="3" s="1"/>
  <c r="F3" i="35"/>
  <c r="W25" i="40"/>
  <c r="C43" i="71"/>
  <c r="D42" i="71"/>
  <c r="B67" i="71"/>
  <c r="N68" i="71"/>
  <c r="S68" i="71"/>
  <c r="M56" i="9"/>
  <c r="N56" i="9"/>
  <c r="K56" i="9"/>
  <c r="AA22" i="71"/>
  <c r="BL32" i="3"/>
  <c r="AZ32" i="3" s="1"/>
  <c r="BL48" i="3"/>
  <c r="BL61" i="3"/>
  <c r="AZ61" i="3" s="1"/>
  <c r="BL67" i="3"/>
  <c r="AZ67" i="3" s="1"/>
  <c r="BL71" i="3"/>
  <c r="BA79" i="3"/>
  <c r="AZ79" i="3" s="1"/>
  <c r="BA92" i="3"/>
  <c r="AZ92" i="3" s="1"/>
  <c r="BL100" i="3"/>
  <c r="AZ100" i="3" s="1"/>
  <c r="B13" i="1"/>
  <c r="E13" i="1" s="1"/>
  <c r="K13" i="1"/>
  <c r="M13" i="1" s="1"/>
  <c r="O13" i="1" s="1"/>
  <c r="P13" i="1" s="1"/>
  <c r="AA31" i="71"/>
  <c r="F23" i="71"/>
  <c r="F22" i="71" s="1"/>
  <c r="F21" i="71" s="1"/>
  <c r="F20" i="71" s="1"/>
  <c r="F19" i="71" s="1"/>
  <c r="F18" i="71" s="1"/>
  <c r="F17" i="71" s="1"/>
  <c r="Y21" i="71"/>
  <c r="Z21" i="71" s="1"/>
  <c r="AB13" i="71"/>
  <c r="AB21" i="71"/>
  <c r="AB17" i="71"/>
  <c r="BL54" i="3"/>
  <c r="BA59" i="3"/>
  <c r="BA65" i="3"/>
  <c r="AZ65" i="3" s="1"/>
  <c r="BA71" i="3"/>
  <c r="BA75" i="3"/>
  <c r="AZ75" i="3" s="1"/>
  <c r="BL75" i="3"/>
  <c r="BL84" i="3"/>
  <c r="AZ84" i="3" s="1"/>
  <c r="BL88" i="3"/>
  <c r="AZ88" i="3" s="1"/>
  <c r="BA96" i="3"/>
  <c r="AZ96" i="3" s="1"/>
  <c r="BA107" i="3"/>
  <c r="AZ107" i="3" s="1"/>
  <c r="AA35" i="71"/>
  <c r="AA36" i="71"/>
  <c r="X10" i="71"/>
  <c r="E44" i="71"/>
  <c r="U44" i="71" s="1"/>
  <c r="F51" i="71"/>
  <c r="F52" i="71" s="1"/>
  <c r="V52" i="71" s="1"/>
  <c r="X22" i="71"/>
  <c r="Y17" i="71"/>
  <c r="Z17" i="71" s="1"/>
  <c r="AB18" i="71"/>
  <c r="BL38" i="3"/>
  <c r="G39" i="3"/>
  <c r="BA46" i="3"/>
  <c r="AZ46" i="3" s="1"/>
  <c r="BA53" i="3"/>
  <c r="AZ53" i="3" s="1"/>
  <c r="BL58" i="3"/>
  <c r="AZ58" i="3" s="1"/>
  <c r="G75" i="3"/>
  <c r="BA78" i="3"/>
  <c r="BL78" i="3"/>
  <c r="BL87" i="3"/>
  <c r="AZ87" i="3" s="1"/>
  <c r="G92" i="3"/>
  <c r="BA99" i="3"/>
  <c r="AZ99" i="3" s="1"/>
  <c r="BL103" i="3"/>
  <c r="AZ103" i="3" s="1"/>
  <c r="BL106" i="3"/>
  <c r="AZ106" i="3" s="1"/>
  <c r="BL109" i="3"/>
  <c r="AZ109" i="3" s="1"/>
  <c r="BA110" i="3"/>
  <c r="AZ110" i="3" s="1"/>
  <c r="BL112" i="3"/>
  <c r="AZ112" i="3" s="1"/>
  <c r="D27" i="71"/>
  <c r="C26" i="71"/>
  <c r="D26" i="71" s="1"/>
  <c r="O66" i="71"/>
  <c r="O65" i="71"/>
  <c r="C55" i="71"/>
  <c r="D54" i="71"/>
  <c r="Y24" i="71"/>
  <c r="Z24" i="71" s="1"/>
  <c r="Y23" i="71"/>
  <c r="Z23" i="71" s="1"/>
  <c r="C24" i="71"/>
  <c r="Y22" i="71"/>
  <c r="Z22" i="71" s="1"/>
  <c r="X21" i="71"/>
  <c r="X18" i="71"/>
  <c r="AA3" i="71"/>
  <c r="AB11" i="71"/>
  <c r="BA52" i="3"/>
  <c r="AZ52" i="3" s="1"/>
  <c r="BL70" i="3"/>
  <c r="AZ70" i="3" s="1"/>
  <c r="BL74" i="3"/>
  <c r="AZ74" i="3" s="1"/>
  <c r="BA82" i="3"/>
  <c r="AZ82" i="3" s="1"/>
  <c r="BA83" i="3"/>
  <c r="AZ83" i="3" s="1"/>
  <c r="BL91" i="3"/>
  <c r="AZ91" i="3" s="1"/>
  <c r="BA95" i="3"/>
  <c r="BL95" i="3"/>
  <c r="C39" i="71"/>
  <c r="D38" i="71"/>
  <c r="E39" i="71"/>
  <c r="E40" i="71" s="1"/>
  <c r="U40" i="71" s="1"/>
  <c r="AA33" i="71"/>
  <c r="AA32" i="71"/>
  <c r="AA29" i="71"/>
  <c r="AA25" i="71"/>
  <c r="E34" i="71"/>
  <c r="E35" i="71" s="1"/>
  <c r="E36" i="71" s="1"/>
  <c r="U36" i="71" s="1"/>
  <c r="F66" i="71"/>
  <c r="Q67" i="71"/>
  <c r="Y18" i="71"/>
  <c r="Z18" i="71" s="1"/>
  <c r="AA18" i="71"/>
  <c r="X14" i="71"/>
  <c r="AB25" i="40"/>
  <c r="B68" i="43"/>
  <c r="E28" i="71"/>
  <c r="E67" i="71"/>
  <c r="AB33" i="71"/>
  <c r="F30" i="71"/>
  <c r="F31" i="71" s="1"/>
  <c r="F32" i="71" s="1"/>
  <c r="V32" i="71" s="1"/>
  <c r="F75" i="71"/>
  <c r="F74" i="71" s="1"/>
  <c r="X15" i="71"/>
  <c r="G6" i="31"/>
  <c r="H6" i="31" s="1"/>
  <c r="I6" i="31" s="1"/>
  <c r="J6" i="31" s="1"/>
  <c r="K6" i="31" s="1"/>
  <c r="L6" i="31" s="1"/>
  <c r="M6" i="31" s="1"/>
  <c r="N6" i="31" s="1"/>
  <c r="O6" i="31" s="1"/>
  <c r="P6" i="31" s="1"/>
  <c r="Q6" i="31" s="1"/>
  <c r="R6" i="31" s="1"/>
  <c r="S6" i="31" s="1"/>
  <c r="E44" i="31"/>
  <c r="AA25" i="40"/>
  <c r="AA27" i="71"/>
  <c r="AB27" i="71"/>
  <c r="AA23" i="71"/>
  <c r="AA15" i="71"/>
  <c r="AA10" i="71"/>
  <c r="Y9" i="71"/>
  <c r="Z9" i="71" s="1"/>
  <c r="AC21" i="21"/>
  <c r="U21" i="37"/>
  <c r="AB26" i="71"/>
  <c r="Y27" i="71"/>
  <c r="Z27" i="71" s="1"/>
  <c r="C35" i="71"/>
  <c r="Y30" i="71"/>
  <c r="Z30" i="71" s="1"/>
  <c r="AB9" i="71"/>
  <c r="V24" i="71"/>
  <c r="AB15" i="71"/>
  <c r="AA11" i="71"/>
  <c r="AB10" i="71"/>
  <c r="AC21" i="33"/>
  <c r="AA12" i="71"/>
  <c r="AB14" i="71"/>
  <c r="W21" i="37"/>
  <c r="W29" i="39"/>
  <c r="C74" i="71"/>
  <c r="D74" i="71" s="1"/>
  <c r="O67" i="71"/>
  <c r="Y29" i="71"/>
  <c r="Z29" i="71" s="1"/>
  <c r="AB31" i="71"/>
  <c r="X9" i="71"/>
  <c r="AA21" i="71"/>
  <c r="AA17" i="71"/>
  <c r="X11" i="71"/>
  <c r="Y10" i="71"/>
  <c r="Z10" i="71" s="1"/>
  <c r="U29" i="39"/>
  <c r="C29" i="39"/>
  <c r="D52" i="71"/>
  <c r="X32" i="71"/>
  <c r="C30" i="71"/>
  <c r="AA13" i="71"/>
  <c r="X13" i="71"/>
  <c r="C40" i="69"/>
  <c r="X34" i="71"/>
  <c r="AA14" i="71"/>
  <c r="X12" i="71"/>
  <c r="W44" i="33"/>
  <c r="AB44" i="33"/>
  <c r="AB45" i="33"/>
  <c r="AA44" i="33"/>
  <c r="U34" i="34"/>
  <c r="S31" i="35"/>
  <c r="AC31" i="35"/>
  <c r="F87" i="35"/>
  <c r="S28" i="35"/>
  <c r="J20" i="35"/>
  <c r="F20" i="35"/>
  <c r="AA20" i="35" s="1"/>
  <c r="F70" i="35"/>
  <c r="G70" i="35" s="1"/>
  <c r="H20" i="35"/>
  <c r="U20" i="35" s="1"/>
  <c r="H16" i="35"/>
  <c r="F66" i="35"/>
  <c r="F16" i="35"/>
  <c r="S16" i="35" s="1"/>
  <c r="F14" i="35"/>
  <c r="F64" i="35"/>
  <c r="G64" i="35" s="1"/>
  <c r="J14" i="35"/>
  <c r="H14" i="35"/>
  <c r="AB14" i="35" s="1"/>
  <c r="U33" i="35"/>
  <c r="S27" i="35"/>
  <c r="W28" i="35"/>
  <c r="S22" i="35"/>
  <c r="AB20" i="35"/>
  <c r="S20" i="35"/>
  <c r="W18" i="35"/>
  <c r="S18" i="35"/>
  <c r="U14" i="35"/>
  <c r="W22" i="36"/>
  <c r="AA22" i="36"/>
  <c r="W30" i="36"/>
  <c r="W29" i="36"/>
  <c r="J27" i="36"/>
  <c r="W27" i="36" s="1"/>
  <c r="H27" i="36"/>
  <c r="U27" i="36" s="1"/>
  <c r="H81" i="36"/>
  <c r="I81" i="36" s="1"/>
  <c r="J81" i="36" s="1"/>
  <c r="K81" i="36" s="1"/>
  <c r="L81" i="36" s="1"/>
  <c r="M81" i="36" s="1"/>
  <c r="F27" i="36"/>
  <c r="AA27" i="36" s="1"/>
  <c r="U29" i="36"/>
  <c r="AB28" i="36"/>
  <c r="W28" i="36"/>
  <c r="S26" i="36"/>
  <c r="F68" i="36"/>
  <c r="G68" i="36" s="1"/>
  <c r="H20" i="36"/>
  <c r="J20" i="36"/>
  <c r="W20" i="36" s="1"/>
  <c r="F20" i="36"/>
  <c r="F16" i="36"/>
  <c r="F64" i="36"/>
  <c r="W18" i="36"/>
  <c r="U18" i="36"/>
  <c r="AC20" i="36"/>
  <c r="S18" i="36"/>
  <c r="F62" i="36"/>
  <c r="G62" i="36" s="1"/>
  <c r="J14" i="36"/>
  <c r="AC14" i="36" s="1"/>
  <c r="F14" i="36"/>
  <c r="AA14" i="36" s="1"/>
  <c r="H14" i="36"/>
  <c r="U14" i="36" s="1"/>
  <c r="S14" i="36"/>
  <c r="E12" i="31"/>
  <c r="F12" i="31" s="1"/>
  <c r="G12" i="31" s="1"/>
  <c r="H12" i="31" s="1"/>
  <c r="I12" i="31" s="1"/>
  <c r="J12" i="31" s="1"/>
  <c r="K12" i="31" s="1"/>
  <c r="L12" i="31" s="1"/>
  <c r="M12" i="31" s="1"/>
  <c r="N12" i="31" s="1"/>
  <c r="O12" i="31" s="1"/>
  <c r="P12" i="31" s="1"/>
  <c r="Q12" i="31" s="1"/>
  <c r="R12" i="31" s="1"/>
  <c r="S12" i="31" s="1"/>
  <c r="K44" i="31"/>
  <c r="G10" i="31"/>
  <c r="H10" i="31" s="1"/>
  <c r="I10" i="31" s="1"/>
  <c r="J10" i="31" s="1"/>
  <c r="K10" i="31" s="1"/>
  <c r="L10" i="31" s="1"/>
  <c r="M10" i="31" s="1"/>
  <c r="N10" i="31" s="1"/>
  <c r="O10" i="31" s="1"/>
  <c r="P10" i="31" s="1"/>
  <c r="Q10" i="31" s="1"/>
  <c r="R10" i="31" s="1"/>
  <c r="S10" i="31" s="1"/>
  <c r="I44" i="31"/>
  <c r="AA29" i="33"/>
  <c r="W29" i="33"/>
  <c r="J44" i="34"/>
  <c r="H43" i="34"/>
  <c r="G124" i="34"/>
  <c r="H124" i="34" s="1"/>
  <c r="I124" i="34" s="1"/>
  <c r="J124" i="34" s="1"/>
  <c r="K124" i="34" s="1"/>
  <c r="L124" i="34" s="1"/>
  <c r="M124" i="34" s="1"/>
  <c r="J43" i="34"/>
  <c r="F43" i="34"/>
  <c r="AA43" i="34" s="1"/>
  <c r="W41" i="34"/>
  <c r="F118" i="34"/>
  <c r="G118" i="34" s="1"/>
  <c r="H40" i="34"/>
  <c r="J40" i="34"/>
  <c r="F40" i="34"/>
  <c r="AA39" i="34"/>
  <c r="G112" i="34"/>
  <c r="F37" i="34" s="1"/>
  <c r="J23" i="34"/>
  <c r="AC23" i="34" s="1"/>
  <c r="F23" i="34"/>
  <c r="F86" i="34"/>
  <c r="G86" i="34" s="1"/>
  <c r="H23" i="34"/>
  <c r="U23" i="34" s="1"/>
  <c r="W21" i="34"/>
  <c r="S21" i="34"/>
  <c r="J19" i="34"/>
  <c r="AC19" i="34" s="1"/>
  <c r="H19" i="34"/>
  <c r="AB19" i="34" s="1"/>
  <c r="G82" i="34"/>
  <c r="F19" i="34"/>
  <c r="F80" i="34"/>
  <c r="G80" i="34" s="1"/>
  <c r="J17" i="34"/>
  <c r="W17" i="34" s="1"/>
  <c r="H17" i="34"/>
  <c r="U17" i="34" s="1"/>
  <c r="F17" i="34"/>
  <c r="J15" i="34"/>
  <c r="G78" i="34"/>
  <c r="H15" i="34"/>
  <c r="F15" i="34"/>
  <c r="AC36" i="34"/>
  <c r="AB35" i="34"/>
  <c r="S44" i="34"/>
  <c r="U44" i="34"/>
  <c r="AA33" i="34"/>
  <c r="AC39" i="34"/>
  <c r="W33" i="34"/>
  <c r="AB33" i="34"/>
  <c r="H27" i="34"/>
  <c r="F27" i="34"/>
  <c r="F90" i="34"/>
  <c r="G90" i="34" s="1"/>
  <c r="H90" i="34" s="1"/>
  <c r="I90" i="34" s="1"/>
  <c r="J90" i="34" s="1"/>
  <c r="K90" i="34" s="1"/>
  <c r="L90" i="34" s="1"/>
  <c r="M90" i="34" s="1"/>
  <c r="J27" i="34"/>
  <c r="AC17" i="34"/>
  <c r="AB23" i="34"/>
  <c r="AB17" i="34"/>
  <c r="S33" i="33"/>
  <c r="H36" i="33"/>
  <c r="U36" i="33" s="1"/>
  <c r="F111" i="33"/>
  <c r="G111" i="33" s="1"/>
  <c r="H111" i="33" s="1"/>
  <c r="I111" i="33" s="1"/>
  <c r="J111" i="33" s="1"/>
  <c r="K111" i="33" s="1"/>
  <c r="L111" i="33" s="1"/>
  <c r="M111" i="33" s="1"/>
  <c r="AC34" i="33"/>
  <c r="W33" i="33"/>
  <c r="U37" i="33"/>
  <c r="U33" i="33"/>
  <c r="S39" i="33"/>
  <c r="S42" i="33"/>
  <c r="S41" i="33"/>
  <c r="S43" i="33"/>
  <c r="AA35" i="33"/>
  <c r="F85" i="33"/>
  <c r="G85" i="33" s="1"/>
  <c r="J23" i="33"/>
  <c r="W23" i="33" s="1"/>
  <c r="H23" i="33"/>
  <c r="F23" i="33"/>
  <c r="S21" i="33"/>
  <c r="H19" i="33"/>
  <c r="U19" i="33" s="1"/>
  <c r="F19" i="33"/>
  <c r="J19" i="33"/>
  <c r="G81" i="33"/>
  <c r="F32" i="33"/>
  <c r="AA32" i="33" s="1"/>
  <c r="S28" i="33"/>
  <c r="U25" i="33"/>
  <c r="F25" i="33"/>
  <c r="F27" i="33"/>
  <c r="AA27" i="33" s="1"/>
  <c r="J27" i="33"/>
  <c r="AC27" i="33" s="1"/>
  <c r="G91" i="33"/>
  <c r="H91" i="33" s="1"/>
  <c r="I91" i="33" s="1"/>
  <c r="J91" i="33" s="1"/>
  <c r="K91" i="33" s="1"/>
  <c r="L91" i="33" s="1"/>
  <c r="M91" i="33" s="1"/>
  <c r="H27" i="33"/>
  <c r="AB27" i="33" s="1"/>
  <c r="W27" i="33"/>
  <c r="S27" i="33"/>
  <c r="AB26" i="33"/>
  <c r="AB19" i="33"/>
  <c r="B75" i="43"/>
  <c r="B79" i="43"/>
  <c r="B67" i="43"/>
  <c r="C27" i="39"/>
  <c r="B76" i="43"/>
  <c r="B73" i="43"/>
  <c r="U35" i="33"/>
  <c r="AC37" i="33"/>
  <c r="S38" i="33"/>
  <c r="AB34" i="33"/>
  <c r="AA34" i="33"/>
  <c r="W25" i="33"/>
  <c r="AB41" i="34"/>
  <c r="AA41" i="34"/>
  <c r="W25" i="34"/>
  <c r="AC32" i="33"/>
  <c r="U32" i="33"/>
  <c r="J17" i="33"/>
  <c r="H17" i="33"/>
  <c r="F79" i="33"/>
  <c r="G79" i="33" s="1"/>
  <c r="F17" i="33"/>
  <c r="AA17" i="33" s="1"/>
  <c r="G77" i="33"/>
  <c r="F15" i="33"/>
  <c r="J15" i="33"/>
  <c r="H15" i="33"/>
  <c r="AB15" i="33" s="1"/>
  <c r="S11" i="33"/>
  <c r="D19" i="53"/>
  <c r="B38" i="72" s="1"/>
  <c r="D21" i="53"/>
  <c r="B39" i="72" s="1"/>
  <c r="D16" i="53"/>
  <c r="B34" i="72" s="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67"/>
  <c r="C27" i="15"/>
  <c r="F65" i="15"/>
  <c r="G20" i="9"/>
  <c r="C103" i="9"/>
  <c r="B13" i="70"/>
  <c r="M7" i="67"/>
  <c r="F50" i="67"/>
  <c r="F68" i="67"/>
  <c r="F64" i="67"/>
  <c r="F68" i="15"/>
  <c r="C36" i="68"/>
  <c r="D9" i="69"/>
  <c r="F27" i="69"/>
  <c r="C36" i="69"/>
  <c r="D9" i="68"/>
  <c r="J15" i="67"/>
  <c r="G1" i="73"/>
  <c r="C16" i="15"/>
  <c r="L47" i="67"/>
  <c r="M8" i="67"/>
  <c r="M24" i="67"/>
  <c r="F43" i="67"/>
  <c r="D4" i="73"/>
  <c r="F38" i="67"/>
  <c r="U19" i="34" l="1"/>
  <c r="AC38" i="34"/>
  <c r="AA38" i="34"/>
  <c r="U38" i="34"/>
  <c r="F66" i="67"/>
  <c r="F71" i="67"/>
  <c r="L59" i="67"/>
  <c r="Q74" i="67" s="1"/>
  <c r="N59" i="67"/>
  <c r="L58" i="67"/>
  <c r="Q60" i="67" s="1"/>
  <c r="M59" i="67"/>
  <c r="E77" i="3"/>
  <c r="E314" i="3"/>
  <c r="E193" i="3"/>
  <c r="E527" i="3"/>
  <c r="E450" i="3"/>
  <c r="E150" i="3"/>
  <c r="E31" i="3"/>
  <c r="E271" i="3"/>
  <c r="E478" i="3"/>
  <c r="AS6" i="3"/>
  <c r="E162" i="3"/>
  <c r="E384" i="3"/>
  <c r="E526" i="3"/>
  <c r="E322" i="3"/>
  <c r="E509" i="3"/>
  <c r="E431" i="3"/>
  <c r="E201" i="3"/>
  <c r="E514" i="3"/>
  <c r="M6" i="3"/>
  <c r="E387" i="3"/>
  <c r="E215" i="3"/>
  <c r="E69" i="3"/>
  <c r="E563" i="3"/>
  <c r="E445" i="3"/>
  <c r="E161" i="3"/>
  <c r="E191" i="3"/>
  <c r="E423" i="3"/>
  <c r="E385" i="3"/>
  <c r="X6" i="3"/>
  <c r="E85" i="3"/>
  <c r="E571" i="3"/>
  <c r="E318" i="3"/>
  <c r="E515" i="3"/>
  <c r="E331" i="3"/>
  <c r="E352" i="3"/>
  <c r="E313" i="3"/>
  <c r="E438" i="3"/>
  <c r="E471" i="3"/>
  <c r="E208" i="3"/>
  <c r="E93" i="3"/>
  <c r="E145" i="3"/>
  <c r="E548" i="3"/>
  <c r="E403" i="3"/>
  <c r="E126" i="3"/>
  <c r="AM6" i="3"/>
  <c r="E53" i="3"/>
  <c r="E501" i="3"/>
  <c r="E426" i="3"/>
  <c r="O6" i="3"/>
  <c r="E359" i="3"/>
  <c r="E97" i="3"/>
  <c r="S6" i="3"/>
  <c r="E506" i="3"/>
  <c r="E338" i="3"/>
  <c r="E298" i="3"/>
  <c r="E237" i="3"/>
  <c r="E565" i="3"/>
  <c r="E17" i="3"/>
  <c r="E221" i="3"/>
  <c r="E159" i="3"/>
  <c r="E402" i="3"/>
  <c r="E353" i="3"/>
  <c r="AA6" i="3"/>
  <c r="E45" i="3"/>
  <c r="E111" i="3"/>
  <c r="E269" i="3"/>
  <c r="E27" i="3"/>
  <c r="E253" i="3"/>
  <c r="E511" i="3"/>
  <c r="E519" i="3"/>
  <c r="E457" i="3"/>
  <c r="E433" i="3"/>
  <c r="E279" i="3"/>
  <c r="E567" i="3"/>
  <c r="E107" i="3"/>
  <c r="E414" i="3"/>
  <c r="E476" i="3"/>
  <c r="E186" i="3"/>
  <c r="E44" i="3"/>
  <c r="E125" i="3"/>
  <c r="E553" i="3"/>
  <c r="N6" i="3"/>
  <c r="E516" i="3"/>
  <c r="E396" i="3"/>
  <c r="E151" i="3"/>
  <c r="E559" i="3"/>
  <c r="V6" i="3"/>
  <c r="E320" i="3"/>
  <c r="E230" i="3"/>
  <c r="E114" i="3"/>
  <c r="E395" i="3"/>
  <c r="E550" i="3"/>
  <c r="E290" i="3"/>
  <c r="E245" i="3"/>
  <c r="E578" i="3"/>
  <c r="E293" i="3"/>
  <c r="E583" i="3"/>
  <c r="E366" i="3"/>
  <c r="E239" i="3"/>
  <c r="E569" i="3"/>
  <c r="E407" i="3"/>
  <c r="E294" i="3"/>
  <c r="E117" i="3"/>
  <c r="E336" i="3"/>
  <c r="E122" i="3"/>
  <c r="E306" i="3"/>
  <c r="E532" i="3"/>
  <c r="E288" i="3"/>
  <c r="E475" i="3"/>
  <c r="E257" i="3"/>
  <c r="E397" i="3"/>
  <c r="E379" i="3"/>
  <c r="E432" i="3"/>
  <c r="E546" i="3"/>
  <c r="E272" i="3"/>
  <c r="E29" i="3"/>
  <c r="E175" i="3"/>
  <c r="E343" i="3"/>
  <c r="E508" i="3"/>
  <c r="E555" i="3"/>
  <c r="E337" i="3"/>
  <c r="E270" i="3"/>
  <c r="AR6" i="3"/>
  <c r="E538" i="3"/>
  <c r="E380" i="3"/>
  <c r="E216" i="3"/>
  <c r="E261" i="3"/>
  <c r="E183" i="3"/>
  <c r="E503" i="3"/>
  <c r="E91" i="3"/>
  <c r="E301" i="3"/>
  <c r="E586" i="3"/>
  <c r="E124" i="3"/>
  <c r="E347" i="3"/>
  <c r="E458" i="3"/>
  <c r="E505" i="3"/>
  <c r="E229" i="3"/>
  <c r="E415" i="3"/>
  <c r="E518" i="3"/>
  <c r="E453" i="3"/>
  <c r="E99" i="3"/>
  <c r="E573" i="3"/>
  <c r="E562" i="3"/>
  <c r="E72" i="3"/>
  <c r="E351" i="3"/>
  <c r="E549" i="3"/>
  <c r="E585" i="3"/>
  <c r="E477" i="3"/>
  <c r="E447" i="3"/>
  <c r="E210" i="3"/>
  <c r="E441" i="3"/>
  <c r="E217" i="3"/>
  <c r="E268" i="3"/>
  <c r="AJ6" i="3"/>
  <c r="E579" i="3"/>
  <c r="E247" i="3"/>
  <c r="E311" i="3"/>
  <c r="E570" i="3"/>
  <c r="AB6" i="3"/>
  <c r="E335" i="3"/>
  <c r="E189" i="3"/>
  <c r="E278" i="3"/>
  <c r="E172" i="3"/>
  <c r="E535" i="3"/>
  <c r="E135" i="3"/>
  <c r="E263" i="3"/>
  <c r="AI6" i="3"/>
  <c r="E246" i="3"/>
  <c r="E551" i="3"/>
  <c r="E260" i="3"/>
  <c r="E382" i="3"/>
  <c r="E461" i="3"/>
  <c r="E157" i="3"/>
  <c r="E529" i="3"/>
  <c r="W6" i="3"/>
  <c r="E54" i="3"/>
  <c r="E357" i="3"/>
  <c r="E196" i="3"/>
  <c r="U6" i="3"/>
  <c r="E367" i="3"/>
  <c r="E71" i="3"/>
  <c r="E291" i="3"/>
  <c r="E319" i="3"/>
  <c r="E153" i="3"/>
  <c r="E328" i="3"/>
  <c r="E574" i="3"/>
  <c r="E285" i="3"/>
  <c r="E390" i="3"/>
  <c r="E523" i="3"/>
  <c r="E418" i="3"/>
  <c r="E321" i="3"/>
  <c r="E169" i="3"/>
  <c r="E304" i="3"/>
  <c r="E213" i="3"/>
  <c r="E254" i="3"/>
  <c r="E303" i="3"/>
  <c r="AN6" i="3"/>
  <c r="E280" i="3"/>
  <c r="E282" i="3"/>
  <c r="E358" i="3"/>
  <c r="E130" i="3"/>
  <c r="E61" i="3"/>
  <c r="E136" i="3"/>
  <c r="E224" i="3"/>
  <c r="E474" i="3"/>
  <c r="E537" i="3"/>
  <c r="E168" i="3"/>
  <c r="E14" i="3"/>
  <c r="E207" i="3"/>
  <c r="E411" i="3"/>
  <c r="E547" i="3"/>
  <c r="E92" i="3"/>
  <c r="E317" i="3"/>
  <c r="E530" i="3"/>
  <c r="E305" i="3"/>
  <c r="E388" i="3"/>
  <c r="E410" i="3"/>
  <c r="E143" i="3"/>
  <c r="E533" i="3"/>
  <c r="E561" i="3"/>
  <c r="E439" i="3"/>
  <c r="E231" i="3"/>
  <c r="E185" i="3"/>
  <c r="E528" i="3"/>
  <c r="E361" i="3"/>
  <c r="E180" i="3"/>
  <c r="E134" i="3"/>
  <c r="E350" i="3"/>
  <c r="E495" i="3"/>
  <c r="E399" i="3"/>
  <c r="E302" i="3"/>
  <c r="C86" i="71"/>
  <c r="D86" i="71" s="1"/>
  <c r="D87" i="71"/>
  <c r="AB40" i="40"/>
  <c r="U40" i="40"/>
  <c r="AA9" i="36"/>
  <c r="S9" i="36"/>
  <c r="J7" i="37"/>
  <c r="D20" i="53"/>
  <c r="B40" i="72" s="1"/>
  <c r="E26" i="43"/>
  <c r="W19" i="34"/>
  <c r="C36" i="71"/>
  <c r="D35" i="71"/>
  <c r="AZ71" i="3"/>
  <c r="D59" i="71"/>
  <c r="C60" i="71"/>
  <c r="AZ294" i="3"/>
  <c r="AB38" i="40"/>
  <c r="U38" i="40"/>
  <c r="S12" i="35"/>
  <c r="AA12" i="35"/>
  <c r="AC9" i="33"/>
  <c r="W9" i="33"/>
  <c r="AC36" i="35"/>
  <c r="W36" i="35"/>
  <c r="AB13" i="39"/>
  <c r="U13" i="39"/>
  <c r="G26" i="43"/>
  <c r="C23" i="71"/>
  <c r="D24" i="71"/>
  <c r="U24" i="71" s="1"/>
  <c r="T24" i="71"/>
  <c r="AZ38" i="3"/>
  <c r="U12" i="34"/>
  <c r="AB12" i="34"/>
  <c r="AC12" i="21"/>
  <c r="W12" i="21"/>
  <c r="AB26" i="37"/>
  <c r="U26" i="37"/>
  <c r="N94" i="46"/>
  <c r="J26" i="43"/>
  <c r="AB36" i="33"/>
  <c r="P67" i="71"/>
  <c r="E66" i="71"/>
  <c r="Q66" i="71"/>
  <c r="Q65" i="71"/>
  <c r="C40" i="71"/>
  <c r="D39" i="71"/>
  <c r="AZ59" i="3"/>
  <c r="B66" i="71"/>
  <c r="N67" i="71"/>
  <c r="AZ98" i="3"/>
  <c r="AC26" i="37"/>
  <c r="W26" i="37"/>
  <c r="AC36" i="39"/>
  <c r="W36" i="39"/>
  <c r="AC9" i="36"/>
  <c r="W9" i="36"/>
  <c r="N370" i="46"/>
  <c r="F26" i="43"/>
  <c r="E28" i="6"/>
  <c r="K14" i="1" s="1"/>
  <c r="K16" i="1" s="1"/>
  <c r="W23" i="34"/>
  <c r="AA16" i="35"/>
  <c r="E27" i="71"/>
  <c r="E26" i="71" s="1"/>
  <c r="V28" i="71"/>
  <c r="AZ78" i="3"/>
  <c r="AZ5" i="3" s="1"/>
  <c r="AZ474" i="3"/>
  <c r="AA26" i="37"/>
  <c r="S26" i="37"/>
  <c r="AA25" i="37"/>
  <c r="S25" i="37"/>
  <c r="S36" i="39"/>
  <c r="AA36" i="39"/>
  <c r="J6" i="67"/>
  <c r="J18" i="67" s="1"/>
  <c r="BA5" i="3"/>
  <c r="AC23" i="33"/>
  <c r="D43" i="71"/>
  <c r="C44" i="71"/>
  <c r="AC25" i="37"/>
  <c r="W25" i="37"/>
  <c r="AB36" i="39"/>
  <c r="U36" i="39"/>
  <c r="BL5" i="3"/>
  <c r="D30" i="71"/>
  <c r="C31" i="71"/>
  <c r="B15" i="71"/>
  <c r="B14" i="71" s="1"/>
  <c r="B13" i="71" s="1"/>
  <c r="B12" i="71" s="1"/>
  <c r="S16" i="71"/>
  <c r="U27" i="33"/>
  <c r="AZ95" i="3"/>
  <c r="C56" i="71"/>
  <c r="D55" i="71"/>
  <c r="AZ89" i="3"/>
  <c r="U25" i="37"/>
  <c r="AB25" i="37"/>
  <c r="E11" i="71"/>
  <c r="E10" i="71" s="1"/>
  <c r="E9" i="71" s="1"/>
  <c r="E8" i="71" s="1"/>
  <c r="E7" i="71" s="1"/>
  <c r="E6" i="71" s="1"/>
  <c r="E5" i="71" s="1"/>
  <c r="V12" i="71"/>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AC6" i="3" s="1"/>
  <c r="E542" i="3"/>
  <c r="E552" i="3"/>
  <c r="E464" i="3"/>
  <c r="E487" i="3"/>
  <c r="E398" i="3"/>
  <c r="E416" i="3"/>
  <c r="E374" i="3"/>
  <c r="E500" i="3"/>
  <c r="E582" i="3"/>
  <c r="E520" i="3"/>
  <c r="E39" i="3"/>
  <c r="E57" i="3"/>
  <c r="E187" i="3"/>
  <c r="E240" i="3"/>
  <c r="E259" i="3"/>
  <c r="E378" i="3"/>
  <c r="E504" i="3"/>
  <c r="E110" i="3"/>
  <c r="E462" i="3"/>
  <c r="E425" i="3"/>
  <c r="E47" i="3"/>
  <c r="E98" i="3"/>
  <c r="E65" i="3"/>
  <c r="E138" i="3"/>
  <c r="E195" i="3"/>
  <c r="E200" i="3"/>
  <c r="E267" i="3"/>
  <c r="E249" i="3"/>
  <c r="E300" i="3"/>
  <c r="E371" i="3"/>
  <c r="E310" i="3"/>
  <c r="E492" i="3"/>
  <c r="E66" i="3"/>
  <c r="E24" i="3"/>
  <c r="E48" i="3"/>
  <c r="E87" i="3"/>
  <c r="E184" i="3"/>
  <c r="E233" i="3"/>
  <c r="E341" i="3"/>
  <c r="Y6" i="3"/>
  <c r="E51" i="3"/>
  <c r="E19" i="3"/>
  <c r="E154" i="3"/>
  <c r="E179" i="3"/>
  <c r="E283" i="3"/>
  <c r="E309"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21" i="3"/>
  <c r="E459" i="3"/>
  <c r="E566" i="3"/>
  <c r="E413" i="3"/>
  <c r="E460" i="3"/>
  <c r="E436" i="3"/>
  <c r="E90" i="3"/>
  <c r="E131" i="3"/>
  <c r="E155" i="3"/>
  <c r="E297" i="3"/>
  <c r="E348" i="3"/>
  <c r="E375" i="3"/>
  <c r="E58" i="3"/>
  <c r="E488" i="3"/>
  <c r="E521" i="3"/>
  <c r="E446" i="3"/>
  <c r="E467" i="3"/>
  <c r="E64" i="3"/>
  <c r="E46" i="3"/>
  <c r="E103" i="3"/>
  <c r="E160" i="3"/>
  <c r="E142" i="3"/>
  <c r="E163" i="3"/>
  <c r="E248" i="3"/>
  <c r="E209" i="3"/>
  <c r="E266" i="3"/>
  <c r="E307" i="3"/>
  <c r="E386" i="3"/>
  <c r="E354" i="3"/>
  <c r="E584" i="3"/>
  <c r="E23" i="3"/>
  <c r="E84" i="3"/>
  <c r="E67" i="3"/>
  <c r="E33" i="3"/>
  <c r="E144" i="3"/>
  <c r="E127" i="3"/>
  <c r="E250" i="3"/>
  <c r="E284" i="3"/>
  <c r="E355" i="3"/>
  <c r="E381" i="3"/>
  <c r="E68" i="3"/>
  <c r="E63" i="3"/>
  <c r="E81" i="3"/>
  <c r="E118" i="3"/>
  <c r="E264" i="3"/>
  <c r="E222" i="3"/>
  <c r="E323" i="3"/>
  <c r="E373" i="3"/>
  <c r="E82" i="3"/>
  <c r="G87" i="35"/>
  <c r="W20" i="35"/>
  <c r="AC20" i="35"/>
  <c r="G66" i="35"/>
  <c r="J16" i="35"/>
  <c r="U16" i="35"/>
  <c r="AB16" i="35"/>
  <c r="W14" i="35"/>
  <c r="AC14" i="35"/>
  <c r="AA14" i="35"/>
  <c r="S14" i="35"/>
  <c r="AA20" i="36"/>
  <c r="S20" i="36"/>
  <c r="U20" i="36"/>
  <c r="AB20" i="36"/>
  <c r="G64" i="36"/>
  <c r="J16" i="36"/>
  <c r="H16" i="36"/>
  <c r="AA16" i="36"/>
  <c r="S16" i="36"/>
  <c r="AB14" i="36"/>
  <c r="W14" i="36"/>
  <c r="S32" i="33"/>
  <c r="S43" i="34"/>
  <c r="H37" i="34"/>
  <c r="U37" i="34" s="1"/>
  <c r="AC44" i="34"/>
  <c r="W44" i="34"/>
  <c r="AC43" i="34"/>
  <c r="W43" i="34"/>
  <c r="AB43" i="34"/>
  <c r="U43" i="34"/>
  <c r="S40" i="34"/>
  <c r="AA40" i="34"/>
  <c r="U40" i="34"/>
  <c r="AB40" i="34"/>
  <c r="W40" i="34"/>
  <c r="AC40" i="34"/>
  <c r="H112" i="34"/>
  <c r="I112" i="34" s="1"/>
  <c r="J112" i="34" s="1"/>
  <c r="K112" i="34" s="1"/>
  <c r="L112" i="34" s="1"/>
  <c r="M112" i="34" s="1"/>
  <c r="J37" i="34"/>
  <c r="AA37" i="34"/>
  <c r="S37" i="34"/>
  <c r="AA23" i="34"/>
  <c r="S23" i="34"/>
  <c r="AA19" i="34"/>
  <c r="S19" i="34"/>
  <c r="AA17" i="34"/>
  <c r="S17" i="34"/>
  <c r="S15" i="34"/>
  <c r="AA15" i="34"/>
  <c r="AB15" i="34"/>
  <c r="U15" i="34"/>
  <c r="AC15" i="34"/>
  <c r="W15" i="34"/>
  <c r="W27" i="34"/>
  <c r="AC27" i="34"/>
  <c r="AA27" i="34"/>
  <c r="S27" i="34"/>
  <c r="AB27" i="34"/>
  <c r="U27" i="34"/>
  <c r="S17" i="33"/>
  <c r="F36" i="33"/>
  <c r="AA36" i="33" s="1"/>
  <c r="J36" i="33"/>
  <c r="S23" i="33"/>
  <c r="AA23" i="33"/>
  <c r="AB23" i="33"/>
  <c r="U23" i="33"/>
  <c r="S19" i="33"/>
  <c r="AA19" i="33"/>
  <c r="AC19" i="33"/>
  <c r="W19" i="33"/>
  <c r="AA25" i="33"/>
  <c r="S25" i="33"/>
  <c r="U17" i="33"/>
  <c r="AB17" i="33"/>
  <c r="W17" i="33"/>
  <c r="AC17" i="33"/>
  <c r="AA15" i="33"/>
  <c r="S15" i="33"/>
  <c r="U15" i="33"/>
  <c r="AC15" i="33"/>
  <c r="W15" i="33"/>
  <c r="D18" i="53"/>
  <c r="B35" i="72"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AC7" i="37"/>
  <c r="V42" i="37" s="1"/>
  <c r="I42" i="37" s="1"/>
  <c r="W7" i="37"/>
  <c r="AB7" i="36"/>
  <c r="U7" i="36"/>
  <c r="F7" i="33"/>
  <c r="E58" i="21"/>
  <c r="AC7" i="36"/>
  <c r="W7" i="36"/>
  <c r="F7" i="37"/>
  <c r="M17" i="67"/>
  <c r="M17" i="15"/>
  <c r="F59" i="15"/>
  <c r="P28" i="43"/>
  <c r="B66" i="40" s="1"/>
  <c r="P25" i="43"/>
  <c r="C49" i="67"/>
  <c r="P29" i="43"/>
  <c r="P27" i="43"/>
  <c r="B70" i="39" s="1"/>
  <c r="C49" i="15"/>
  <c r="J18" i="15"/>
  <c r="C32" i="67"/>
  <c r="C32" i="9"/>
  <c r="M11" i="67"/>
  <c r="J10" i="67" s="1"/>
  <c r="F11" i="15"/>
  <c r="M11" i="15"/>
  <c r="J10" i="15" s="1"/>
  <c r="J5" i="15" s="1"/>
  <c r="J24" i="15" s="1"/>
  <c r="F11" i="67"/>
  <c r="F1" i="15"/>
  <c r="Q52" i="15"/>
  <c r="C32" i="15"/>
  <c r="F1" i="67"/>
  <c r="Q52" i="67"/>
  <c r="Q60" i="15"/>
  <c r="Q73" i="15"/>
  <c r="Q61" i="67"/>
  <c r="Q74" i="15"/>
  <c r="Q61" i="15"/>
  <c r="AE11" i="1"/>
  <c r="AE6" i="1"/>
  <c r="AE9" i="1"/>
  <c r="F27" i="68"/>
  <c r="AE7" i="1"/>
  <c r="AE8" i="1"/>
  <c r="AE12" i="1"/>
  <c r="AE10" i="1"/>
  <c r="F41" i="67"/>
  <c r="C16" i="67"/>
  <c r="Q73" i="67" l="1"/>
  <c r="E3" i="6"/>
  <c r="AY6" i="3"/>
  <c r="T60" i="71"/>
  <c r="D60" i="71"/>
  <c r="J5" i="67"/>
  <c r="J24" i="67" s="1"/>
  <c r="N65" i="71"/>
  <c r="N66" i="71"/>
  <c r="T40" i="71"/>
  <c r="D40" i="71"/>
  <c r="T56" i="71"/>
  <c r="D56" i="71"/>
  <c r="B11" i="71"/>
  <c r="B10" i="71" s="1"/>
  <c r="B9" i="71" s="1"/>
  <c r="B8" i="71" s="1"/>
  <c r="B7" i="71" s="1"/>
  <c r="B6" i="71" s="1"/>
  <c r="B5" i="71" s="1"/>
  <c r="S12" i="71"/>
  <c r="D44" i="71"/>
  <c r="T44" i="71"/>
  <c r="C22" i="71"/>
  <c r="D23" i="71"/>
  <c r="C32" i="71"/>
  <c r="D31" i="71"/>
  <c r="T36" i="71"/>
  <c r="D36" i="71"/>
  <c r="P65" i="71"/>
  <c r="P66" i="71"/>
  <c r="H87" i="35"/>
  <c r="I87" i="35" s="1"/>
  <c r="J87" i="35" s="1"/>
  <c r="K87" i="35" s="1"/>
  <c r="L87" i="35" s="1"/>
  <c r="M87" i="35" s="1"/>
  <c r="F29" i="35"/>
  <c r="H29" i="35"/>
  <c r="J29" i="35"/>
  <c r="AC16" i="35"/>
  <c r="W16" i="35"/>
  <c r="R36" i="36"/>
  <c r="E36" i="36" s="1"/>
  <c r="W16" i="36"/>
  <c r="AC16" i="36"/>
  <c r="V36" i="36" s="1"/>
  <c r="I36" i="36" s="1"/>
  <c r="T36" i="36"/>
  <c r="G36" i="36" s="1"/>
  <c r="G40" i="36" s="1"/>
  <c r="H40" i="36" s="1"/>
  <c r="AB16" i="36"/>
  <c r="U16" i="36"/>
  <c r="AB37" i="34"/>
  <c r="T49" i="34" s="1"/>
  <c r="G49" i="34" s="1"/>
  <c r="G53" i="34" s="1"/>
  <c r="H53" i="34" s="1"/>
  <c r="AC37" i="34"/>
  <c r="W37" i="34"/>
  <c r="S36" i="33"/>
  <c r="E65" i="39"/>
  <c r="W36" i="33"/>
  <c r="AC36" i="33"/>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C21" i="71" l="1"/>
  <c r="D22" i="71"/>
  <c r="T32" i="71"/>
  <c r="D32" i="71"/>
  <c r="W29" i="35"/>
  <c r="AC29" i="35"/>
  <c r="S29" i="35"/>
  <c r="AA29" i="35"/>
  <c r="AB29" i="35"/>
  <c r="U29" i="35"/>
  <c r="R37" i="36"/>
  <c r="C37" i="36" s="1"/>
  <c r="I40" i="36"/>
  <c r="J40" i="36" s="1"/>
  <c r="G41" i="36"/>
  <c r="H41" i="36" s="1"/>
  <c r="V49" i="34"/>
  <c r="I49" i="34" s="1"/>
  <c r="I53" i="34" s="1"/>
  <c r="J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20" i="71" l="1"/>
  <c r="D21" i="71"/>
  <c r="C36" i="36"/>
  <c r="R50" i="34"/>
  <c r="C50" i="34" s="1"/>
  <c r="I54" i="34"/>
  <c r="J54" i="34" s="1"/>
  <c r="G54" i="34"/>
  <c r="H54" i="34"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I2" i="80" l="1"/>
  <c r="K6" i="82"/>
  <c r="C19" i="71"/>
  <c r="T20" i="71"/>
  <c r="D20" i="71"/>
  <c r="U20" i="71" s="1"/>
  <c r="R69" i="31"/>
  <c r="R65" i="31"/>
  <c r="R66" i="31"/>
  <c r="R62" i="31"/>
  <c r="R70" i="31"/>
  <c r="R68" i="31"/>
  <c r="R63" i="31"/>
  <c r="R64" i="31"/>
  <c r="R61" i="31"/>
  <c r="I26" i="80"/>
  <c r="I50" i="80" s="1"/>
  <c r="I14" i="80"/>
  <c r="I38" i="80" s="1"/>
  <c r="I62" i="80" s="1"/>
  <c r="I27" i="80"/>
  <c r="I51" i="80" s="1"/>
  <c r="I3" i="80"/>
  <c r="I15" i="80" s="1"/>
  <c r="I39" i="80" s="1"/>
  <c r="R53" i="31"/>
  <c r="R37" i="31"/>
  <c r="R58" i="31"/>
  <c r="R54" i="31"/>
  <c r="R57" i="31"/>
  <c r="R52" i="31"/>
  <c r="R50" i="31"/>
  <c r="R46" i="31"/>
  <c r="R47" i="31"/>
  <c r="R41" i="31"/>
  <c r="R42" i="31"/>
  <c r="R38" i="31"/>
  <c r="R34" i="31"/>
  <c r="R35" i="31"/>
  <c r="R31" i="31"/>
  <c r="R45" i="31"/>
  <c r="R60" i="31"/>
  <c r="R56" i="31"/>
  <c r="R59" i="31"/>
  <c r="R55" i="31"/>
  <c r="R51" i="31"/>
  <c r="R48" i="31"/>
  <c r="R49" i="31"/>
  <c r="R43" i="31"/>
  <c r="R39" i="31"/>
  <c r="R40" i="31"/>
  <c r="R36" i="31"/>
  <c r="R32" i="31"/>
  <c r="R33" i="31"/>
  <c r="R44" i="31"/>
  <c r="C49" i="34"/>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4" i="81" l="1"/>
  <c r="S24" i="81" s="1"/>
  <c r="R24" i="31"/>
  <c r="C18" i="71"/>
  <c r="D19" i="71"/>
  <c r="S64" i="31"/>
  <c r="I72" i="80"/>
  <c r="S68" i="31"/>
  <c r="I77" i="80"/>
  <c r="S62" i="31"/>
  <c r="I68" i="80"/>
  <c r="S65" i="31"/>
  <c r="I73" i="80"/>
  <c r="I66" i="80"/>
  <c r="S61" i="31"/>
  <c r="I64" i="80"/>
  <c r="S63" i="31"/>
  <c r="I70" i="80"/>
  <c r="S70" i="31"/>
  <c r="I79" i="80"/>
  <c r="S66" i="31"/>
  <c r="I74" i="80"/>
  <c r="S69" i="31"/>
  <c r="I78" i="80"/>
  <c r="I20" i="80"/>
  <c r="S33" i="31"/>
  <c r="I30" i="80"/>
  <c r="S39" i="31"/>
  <c r="S49" i="31"/>
  <c r="I44" i="80"/>
  <c r="S59" i="31"/>
  <c r="I59" i="80"/>
  <c r="I36" i="80"/>
  <c r="S45" i="31"/>
  <c r="S44" i="31"/>
  <c r="I35" i="80"/>
  <c r="I19" i="80"/>
  <c r="S32" i="31"/>
  <c r="I31" i="80"/>
  <c r="S40" i="31"/>
  <c r="I34" i="80"/>
  <c r="S43" i="31"/>
  <c r="S48" i="31"/>
  <c r="I43" i="80"/>
  <c r="S55" i="31"/>
  <c r="I55" i="80"/>
  <c r="S56" i="31"/>
  <c r="I56" i="80"/>
  <c r="I60" i="80"/>
  <c r="S60" i="31"/>
  <c r="I17" i="80"/>
  <c r="S31" i="31"/>
  <c r="I21" i="80"/>
  <c r="S34" i="31"/>
  <c r="I33" i="80"/>
  <c r="S42" i="31"/>
  <c r="S47" i="31"/>
  <c r="I42" i="80"/>
  <c r="S50" i="31"/>
  <c r="I45" i="80"/>
  <c r="S57" i="31"/>
  <c r="I57" i="80"/>
  <c r="S58" i="31"/>
  <c r="I58" i="80"/>
  <c r="I48" i="80"/>
  <c r="S53" i="31"/>
  <c r="I23" i="80"/>
  <c r="S36" i="31"/>
  <c r="S51" i="31"/>
  <c r="I46" i="80"/>
  <c r="S35" i="31"/>
  <c r="I22" i="80"/>
  <c r="I29" i="80"/>
  <c r="S38" i="31"/>
  <c r="I32" i="80"/>
  <c r="S41" i="31"/>
  <c r="S46" i="31"/>
  <c r="I41" i="80"/>
  <c r="S52" i="31"/>
  <c r="I47" i="80"/>
  <c r="S54" i="31"/>
  <c r="I53" i="80"/>
  <c r="I24" i="80"/>
  <c r="S37" i="3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R25" i="81" l="1"/>
  <c r="S25" i="81" s="1"/>
  <c r="R27" i="81"/>
  <c r="S27" i="81" s="1"/>
  <c r="R26" i="81"/>
  <c r="S26" i="81" s="1"/>
  <c r="K3" i="82"/>
  <c r="I5" i="80"/>
  <c r="R28" i="31"/>
  <c r="R30" i="31"/>
  <c r="S24" i="31"/>
  <c r="R26" i="31"/>
  <c r="K11" i="82" s="1"/>
  <c r="R29" i="31"/>
  <c r="R25" i="31"/>
  <c r="K7" i="82" s="1"/>
  <c r="R27" i="31"/>
  <c r="AC7" i="21"/>
  <c r="V48" i="21" s="1"/>
  <c r="I48" i="21" s="1"/>
  <c r="C17" i="71"/>
  <c r="D18" i="71"/>
  <c r="I76" i="80"/>
  <c r="J76" i="80" s="1"/>
  <c r="I80" i="80"/>
  <c r="J80" i="80" s="1"/>
  <c r="I61" i="80"/>
  <c r="J61" i="80" s="1"/>
  <c r="I49" i="80"/>
  <c r="J49" i="80" s="1"/>
  <c r="I37" i="80"/>
  <c r="J37" i="80" s="1"/>
  <c r="I25" i="80"/>
  <c r="J25" i="80"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K8" i="82" l="1"/>
  <c r="S27" i="31"/>
  <c r="K14" i="82"/>
  <c r="S29" i="31"/>
  <c r="K21" i="82"/>
  <c r="S28" i="31"/>
  <c r="K17" i="82"/>
  <c r="S30" i="31"/>
  <c r="L26" i="82"/>
  <c r="S22" i="81"/>
  <c r="R22" i="81" s="1"/>
  <c r="S25" i="31"/>
  <c r="I7" i="80"/>
  <c r="I8" i="80"/>
  <c r="I9" i="80" s="1"/>
  <c r="I10" i="80" s="1"/>
  <c r="I11" i="80" s="1"/>
  <c r="I12" i="80" s="1"/>
  <c r="S26" i="31"/>
  <c r="D17" i="71"/>
  <c r="C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K18" i="82" l="1"/>
  <c r="K22" i="82"/>
  <c r="B20" i="81"/>
  <c r="B21" i="81" s="1"/>
  <c r="S22" i="31"/>
  <c r="R22" i="31" s="1"/>
  <c r="I13" i="80"/>
  <c r="J13" i="80" s="1"/>
  <c r="I81" i="80"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10" i="74" l="1"/>
  <c r="B10" i="74" s="1"/>
  <c r="D14" i="74" s="1"/>
  <c r="B20" i="31"/>
  <c r="B21" i="31" s="1"/>
  <c r="C14" i="71"/>
  <c r="D15"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3" i="71" l="1"/>
  <c r="D14"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L51" i="15"/>
  <c r="C12" i="71" l="1"/>
  <c r="D13"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10" i="1"/>
  <c r="AO7" i="1"/>
  <c r="AO6" i="1"/>
  <c r="AO8" i="1"/>
  <c r="AO9" i="1"/>
  <c r="C11" i="71" l="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1" i="71" l="1"/>
  <c r="C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 i="71" l="1"/>
  <c r="C9"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E14" i="74"/>
  <c r="F14" i="74"/>
  <c r="B5" i="74"/>
  <c r="D5" i="74" s="1"/>
  <c r="D7" i="71" l="1"/>
  <c r="C6" i="71"/>
  <c r="B6" i="74"/>
  <c r="D6" i="74" s="1"/>
  <c r="D6" i="71" l="1"/>
  <c r="C5" i="71"/>
  <c r="D5" i="71" s="1"/>
  <c r="M24" i="43" s="1"/>
  <c r="D53" i="9"/>
  <c r="D52" i="9"/>
  <c r="C104" i="9"/>
  <c r="H4" i="52"/>
  <c r="I4" i="52"/>
  <c r="C105" i="9"/>
  <c r="P57" i="9"/>
  <c r="N58" i="9"/>
  <c r="B20" i="72"/>
  <c r="M66" i="9"/>
  <c r="N60" i="9"/>
  <c r="N61" i="9"/>
  <c r="B30" i="72"/>
  <c r="M48" i="9"/>
  <c r="M64" i="9"/>
  <c r="M65" i="9"/>
  <c r="L66" i="9"/>
  <c r="N59" i="9"/>
  <c r="L64" i="9"/>
  <c r="L65" i="9"/>
  <c r="C6" i="74"/>
  <c r="E97" i="9"/>
  <c r="B21" i="72"/>
  <c r="C78" i="9"/>
  <c r="C73" i="9"/>
  <c r="M54" i="9"/>
  <c r="D13" i="53"/>
  <c r="D14" i="53"/>
  <c r="B32" i="72"/>
  <c r="B49" i="72"/>
  <c r="C81" i="9"/>
  <c r="D56" i="9"/>
  <c r="M69" i="9"/>
  <c r="N69" i="9"/>
  <c r="H108" i="9"/>
  <c r="D15" i="53"/>
  <c r="B31" i="72"/>
  <c r="F4" i="52"/>
  <c r="B51" i="72"/>
  <c r="L68" i="9"/>
  <c r="M68" i="9"/>
  <c r="E4" i="52"/>
  <c r="B48" i="72"/>
  <c r="D5" i="53"/>
  <c r="D6" i="53"/>
  <c r="B22" i="72"/>
  <c r="C96" i="9"/>
  <c r="E96" i="9"/>
  <c r="F119" i="9"/>
  <c r="F5" i="52"/>
  <c r="B53" i="72"/>
  <c r="H119" i="9"/>
  <c r="H5" i="52"/>
  <c r="N57" i="9"/>
  <c r="D9" i="52"/>
  <c r="D123" i="9"/>
  <c r="D122" i="9"/>
  <c r="D8" i="52"/>
  <c r="C93" i="9"/>
  <c r="C86" i="9"/>
  <c r="E81" i="9"/>
  <c r="C68" i="9"/>
  <c r="D54" i="9"/>
  <c r="C67" i="9"/>
  <c r="D59" i="9"/>
  <c r="M55" i="9"/>
  <c r="D119" i="9"/>
  <c r="D5" i="52"/>
  <c r="C5" i="74"/>
  <c r="H102" i="9"/>
  <c r="D7" i="53"/>
  <c r="C80" i="9"/>
  <c r="E80" i="9"/>
  <c r="D55" i="9"/>
  <c r="M53" i="9"/>
  <c r="L67" i="9"/>
  <c r="M67" i="9"/>
  <c r="F118" i="9"/>
  <c r="G118" i="9"/>
  <c r="G4" i="52"/>
  <c r="B52" i="72"/>
  <c r="C72" i="9"/>
  <c r="C79" i="9"/>
  <c r="H107" i="9"/>
  <c r="M49" i="9"/>
  <c r="L63" i="9"/>
  <c r="M63" i="9"/>
  <c r="C64" i="9"/>
  <c r="C63" i="9"/>
  <c r="E118" i="9"/>
  <c r="D118" i="9"/>
  <c r="D4" i="52"/>
  <c r="B47"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F18" authorId="0">
      <text>
        <r>
          <rPr>
            <b/>
            <sz val="9"/>
            <color indexed="81"/>
            <rFont val="宋体"/>
            <family val="3"/>
            <charset val="134"/>
          </rPr>
          <t>Windows User:</t>
        </r>
        <r>
          <rPr>
            <sz val="9"/>
            <color indexed="81"/>
            <rFont val="宋体"/>
            <family val="3"/>
            <charset val="134"/>
          </rPr>
          <t xml:space="preserve">
测绘报告中未注明，参考16号楼1层</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<sst xmlns="http://schemas.openxmlformats.org/spreadsheetml/2006/main" count="9103" uniqueCount="3702">
  <si>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</si>
  <si>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</si>
  <si>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</si>
  <si>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</si>
  <si>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</si>
  <si>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</si>
  <si>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</si>
  <si>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</si>
  <si>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</si>
  <si>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</si>
  <si>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</si>
  <si>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</si>
  <si>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</si>
  <si>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</si>
  <si>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</si>
  <si>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</si>
  <si>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</si>
  <si>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</si>
  <si>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</si>
  <si>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</si>
  <si>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</si>
  <si>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</si>
  <si>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</si>
  <si>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</si>
  <si>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</si>
  <si>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</si>
  <si>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</si>
  <si>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</si>
  <si>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</si>
  <si>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</si>
  <si>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</si>
  <si>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</si>
  <si>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</si>
  <si>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</si>
  <si>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</si>
  <si>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</si>
  <si>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</si>
  <si>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</si>
  <si>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</si>
  <si>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</si>
  <si>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</si>
  <si>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</si>
  <si>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</si>
  <si>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</si>
  <si>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</si>
  <si>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</si>
  <si>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</si>
  <si>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</si>
  <si>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</si>
  <si>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</si>
  <si>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</si>
  <si>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</si>
  <si>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</si>
  <si>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</si>
  <si>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</si>
  <si>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</si>
  <si>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</si>
  <si>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</si>
  <si>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</si>
  <si>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</si>
  <si>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</si>
  <si>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</si>
  <si>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</si>
  <si>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</si>
  <si>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</si>
  <si>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</si>
  <si>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</si>
  <si>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</si>
  <si>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</si>
  <si>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</si>
  <si>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</si>
  <si>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</si>
  <si>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</si>
  <si>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</si>
  <si>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</si>
  <si>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</si>
  <si>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</si>
  <si>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</si>
  <si>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</si>
  <si>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</si>
  <si>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</si>
  <si>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</si>
  <si>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</si>
  <si>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</si>
  <si>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</si>
  <si>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</si>
  <si>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</si>
  <si>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</si>
  <si>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</si>
  <si>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</si>
  <si>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</si>
  <si>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</si>
  <si>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</si>
  <si>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</si>
  <si>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</si>
  <si>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</si>
  <si>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</si>
  <si>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</si>
  <si>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</si>
  <si>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</si>
  <si>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</si>
  <si>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</si>
  <si>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</si>
  <si>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</si>
  <si>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</si>
  <si>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</si>
  <si>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</si>
  <si>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</si>
  <si>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</si>
  <si>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</si>
  <si>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</si>
  <si>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</si>
  <si>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</si>
  <si>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</si>
  <si>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</si>
  <si>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</si>
  <si>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</si>
  <si>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</si>
  <si>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</si>
  <si>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</si>
  <si>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</si>
  <si>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</si>
  <si>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</si>
  <si>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</si>
  <si>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</si>
  <si>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</si>
  <si>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</si>
  <si>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</si>
  <si>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</si>
  <si>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</si>
  <si>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</si>
  <si>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</si>
  <si>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</si>
  <si>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</si>
  <si>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</si>
  <si>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</si>
  <si>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</si>
  <si>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</si>
  <si>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</si>
  <si>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</si>
  <si>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</si>
  <si>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</si>
  <si>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</si>
  <si>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</si>
  <si>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</si>
  <si>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</si>
  <si>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</si>
  <si>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</si>
  <si>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</si>
  <si>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</si>
  <si>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</si>
  <si>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</si>
  <si>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</si>
  <si>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</si>
  <si>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</si>
  <si>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</si>
  <si>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</si>
  <si>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</si>
  <si>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</si>
  <si>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</si>
  <si>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</si>
  <si>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</si>
  <si>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</si>
  <si>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</si>
  <si>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</si>
  <si>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</si>
  <si>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</si>
  <si>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</si>
  <si>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</si>
  <si>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</si>
  <si>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</si>
  <si>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</si>
  <si>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</si>
  <si>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</si>
  <si>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</si>
  <si>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</si>
  <si>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</si>
  <si>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</si>
  <si>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</si>
  <si>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</si>
  <si>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</si>
  <si>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</si>
  <si>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</si>
  <si>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</si>
  <si>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</si>
  <si>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</si>
  <si>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</si>
  <si>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</si>
  <si>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</si>
  <si>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</si>
  <si>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</si>
  <si>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</si>
  <si>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</si>
  <si>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</si>
  <si>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</si>
  <si>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</si>
  <si>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</si>
  <si>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</si>
  <si>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</si>
  <si>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</si>
  <si>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</si>
  <si>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</si>
  <si>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</si>
  <si>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</si>
  <si>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</si>
  <si>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</si>
  <si>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</si>
  <si>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</si>
  <si>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</si>
  <si>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</si>
  <si>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</si>
  <si>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</si>
  <si>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</si>
  <si>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</si>
  <si>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</si>
  <si>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</si>
  <si>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</si>
  <si>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</si>
  <si>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</si>
  <si>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</si>
  <si>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</si>
  <si>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</si>
  <si>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</si>
  <si>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</si>
  <si>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</si>
  <si>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</si>
  <si>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</si>
  <si>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</si>
  <si>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</si>
  <si>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</si>
  <si>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</si>
  <si>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</si>
  <si>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</si>
  <si>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</si>
  <si>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</si>
  <si>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</si>
  <si>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</si>
  <si>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</si>
  <si>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</si>
  <si>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</si>
  <si>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</si>
  <si>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</si>
  <si>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</si>
  <si>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</si>
  <si>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</si>
  <si>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</si>
  <si>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</si>
  <si>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</si>
  <si>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</si>
  <si>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</si>
  <si>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</si>
  <si>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</si>
  <si>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</si>
  <si>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</si>
  <si>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</si>
  <si>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</si>
  <si>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</si>
  <si>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</si>
  <si>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</si>
  <si>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</si>
  <si>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</si>
  <si>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</si>
  <si>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</si>
  <si>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</si>
  <si>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</si>
  <si>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</si>
  <si>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</si>
  <si>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</si>
  <si>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</si>
  <si>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</si>
  <si>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</si>
  <si>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</si>
  <si>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</si>
  <si>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</si>
  <si>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</si>
  <si>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</si>
  <si>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</si>
  <si>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</si>
  <si>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</si>
  <si>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</si>
  <si>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</si>
  <si>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</si>
  <si>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</si>
  <si>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</si>
  <si>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</si>
  <si>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</si>
  <si>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</si>
  <si>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</si>
  <si>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</si>
  <si>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</si>
  <si>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</si>
  <si>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</si>
  <si>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</si>
  <si>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</si>
  <si>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</si>
  <si>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</si>
  <si>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</si>
  <si>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</si>
  <si>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</si>
  <si>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</si>
  <si>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</si>
  <si>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</si>
  <si>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</si>
  <si>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</si>
  <si>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</si>
  <si>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</si>
  <si>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</si>
  <si>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</si>
  <si>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</si>
  <si>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</si>
  <si>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</si>
  <si>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</si>
  <si>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</si>
  <si>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</si>
  <si>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</si>
  <si>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</si>
  <si>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</si>
  <si>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</si>
  <si>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</si>
  <si>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</si>
  <si>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</si>
  <si>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</si>
  <si>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</si>
  <si>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</si>
  <si>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</si>
  <si>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</si>
  <si>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</si>
  <si>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</si>
  <si>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</si>
  <si>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</si>
  <si>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</si>
  <si>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</si>
  <si>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</si>
  <si>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</si>
  <si>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</si>
  <si>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</si>
  <si>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</si>
  <si>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</si>
  <si>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</si>
  <si>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</si>
  <si>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</si>
  <si>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</si>
  <si>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</si>
  <si>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</si>
  <si>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</si>
  <si>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</si>
  <si>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</si>
  <si>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</si>
  <si>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</si>
  <si>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</si>
  <si>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</si>
  <si>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</si>
  <si>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</si>
  <si>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</si>
  <si>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</si>
  <si>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</si>
  <si>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</si>
  <si>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</si>
  <si>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</si>
  <si>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</si>
  <si>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</si>
  <si>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</si>
  <si>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</si>
  <si>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</si>
  <si>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</si>
  <si>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</si>
  <si>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</si>
  <si>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</si>
  <si>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</si>
  <si>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</si>
  <si>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</si>
  <si>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</si>
  <si>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</si>
  <si>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</si>
  <si>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</si>
  <si>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</si>
  <si>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</si>
  <si>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</si>
  <si>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</si>
  <si>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</si>
  <si>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</si>
  <si>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</si>
  <si>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</si>
  <si>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</si>
  <si>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</si>
  <si>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</si>
  <si>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</si>
  <si>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</si>
  <si>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</si>
  <si>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</si>
  <si>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</si>
  <si>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</si>
  <si>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</si>
  <si>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</si>
  <si>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</si>
  <si>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</si>
  <si>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</si>
  <si>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</si>
  <si>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</si>
  <si>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</si>
  <si>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</si>
  <si>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</si>
  <si>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</si>
  <si>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</si>
  <si>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</si>
  <si>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</si>
  <si>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</si>
  <si>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</si>
  <si>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</si>
  <si>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</si>
  <si>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</si>
  <si>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</si>
  <si>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</si>
  <si>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</si>
  <si>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</si>
  <si>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</si>
  <si>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</si>
  <si>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</si>
  <si>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</si>
  <si>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</si>
  <si>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</si>
  <si>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</si>
  <si>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</si>
  <si>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</si>
  <si>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</si>
  <si>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</si>
  <si>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</si>
  <si>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</si>
  <si>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</si>
  <si>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</si>
  <si>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</si>
  <si>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</si>
  <si>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</si>
  <si>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</si>
  <si>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</si>
  <si>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</si>
  <si>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</si>
  <si>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</si>
  <si>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</si>
  <si>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</si>
  <si>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</si>
  <si>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</si>
  <si>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</si>
  <si>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</si>
  <si>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</si>
  <si>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</si>
  <si>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</si>
  <si>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</si>
  <si>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</si>
  <si>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</si>
  <si>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</si>
  <si>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</si>
  <si>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</si>
  <si>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</si>
  <si>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</si>
  <si>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</si>
  <si>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</si>
  <si>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</si>
  <si>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</si>
  <si>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</si>
  <si>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</si>
  <si>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</si>
  <si>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</si>
  <si>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</si>
  <si>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</si>
  <si>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</si>
  <si>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</si>
  <si>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</si>
  <si>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</si>
  <si>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</si>
  <si>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</si>
  <si>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</si>
  <si>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</si>
  <si>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</si>
  <si>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</si>
  <si>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</si>
  <si>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</si>
  <si>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</si>
  <si>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</si>
  <si>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</si>
  <si>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</si>
  <si>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</si>
  <si>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</si>
  <si>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</si>
  <si>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</si>
  <si>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</si>
  <si>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</si>
  <si>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</si>
  <si>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</si>
  <si>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</si>
  <si>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</si>
  <si>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</si>
  <si>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</si>
  <si>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</si>
  <si>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</si>
  <si>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</si>
  <si>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</si>
  <si>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</si>
  <si>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</si>
  <si>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</si>
  <si>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</si>
  <si>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</si>
  <si>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</si>
  <si>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</si>
  <si>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</si>
  <si>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</si>
  <si>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</si>
  <si>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</si>
  <si>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</si>
  <si>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</si>
  <si>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</si>
  <si>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</si>
  <si>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</si>
  <si>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</si>
  <si>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</si>
  <si>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</si>
  <si>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</si>
  <si>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</si>
  <si>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</si>
  <si>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</si>
  <si>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</si>
  <si>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</si>
  <si>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</si>
  <si>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</si>
  <si>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</si>
  <si>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</si>
  <si>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</si>
  <si>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</si>
  <si>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</si>
  <si>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</si>
  <si>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</si>
  <si>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</si>
  <si>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</si>
  <si>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</si>
  <si>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</si>
  <si>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</si>
  <si>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</si>
  <si>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</si>
  <si>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</si>
  <si>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</si>
  <si>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</si>
  <si>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</si>
  <si>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</si>
  <si>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</si>
  <si>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</si>
  <si>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</si>
  <si>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</si>
  <si>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</si>
  <si>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</si>
  <si>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</si>
  <si>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</si>
  <si>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</si>
  <si>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</si>
  <si>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</si>
  <si>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</si>
  <si>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</si>
  <si>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</si>
  <si>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</si>
  <si>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</si>
  <si>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</si>
  <si>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</si>
  <si>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</si>
  <si>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</si>
  <si>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</si>
  <si>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</si>
  <si>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</si>
  <si>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</si>
  <si>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</si>
  <si>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</si>
  <si>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</si>
  <si>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</si>
  <si>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</si>
  <si>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</si>
  <si>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</si>
  <si>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</si>
  <si>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</si>
  <si>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</si>
  <si>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</si>
  <si>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</si>
  <si>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</si>
  <si>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</si>
  <si>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</si>
  <si>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</si>
  <si>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</si>
  <si>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</si>
  <si>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</si>
  <si>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</si>
  <si>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</si>
  <si>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</si>
  <si>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</si>
  <si>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</si>
  <si>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</si>
  <si>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</si>
  <si>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</si>
  <si>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</si>
  <si>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</si>
  <si>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</si>
  <si>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</si>
  <si>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</si>
  <si>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</si>
  <si>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</si>
  <si>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</si>
  <si>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</si>
  <si>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</si>
  <si>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</si>
  <si>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</si>
  <si>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</si>
  <si>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</si>
  <si>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</si>
  <si>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</si>
  <si>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</si>
  <si>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</si>
  <si>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</si>
  <si>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</si>
  <si>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</si>
  <si>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</si>
  <si>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</si>
  <si>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</si>
  <si>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</si>
  <si>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</si>
  <si>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</si>
  <si>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</si>
  <si>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</si>
  <si>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</si>
  <si>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</si>
  <si>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</si>
  <si>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</si>
  <si>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</si>
  <si>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</si>
  <si>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</si>
  <si>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</si>
  <si>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</si>
  <si>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</si>
  <si>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</si>
  <si>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</si>
  <si>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</si>
  <si>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</si>
  <si>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</si>
  <si>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</si>
  <si>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</si>
  <si>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</si>
  <si>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</si>
  <si>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</si>
  <si>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</si>
  <si>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</si>
  <si>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</si>
  <si>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</si>
  <si>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</si>
  <si>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</si>
  <si>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</si>
  <si>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</si>
  <si>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</si>
  <si>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</si>
  <si>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</si>
  <si>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</si>
  <si>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</si>
  <si>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</si>
  <si>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</si>
  <si>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</si>
  <si>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</si>
  <si>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</si>
  <si>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</si>
  <si>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</si>
  <si>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</si>
  <si>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</si>
  <si>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</si>
  <si>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</si>
  <si>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</si>
  <si>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</si>
  <si>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</si>
  <si>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</si>
  <si>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</si>
  <si>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</si>
  <si>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</si>
  <si>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</si>
  <si>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</si>
  <si>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</si>
  <si>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</si>
  <si>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</si>
  <si>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</si>
  <si>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</si>
  <si>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</si>
  <si>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</si>
  <si>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</si>
  <si>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</si>
  <si>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</si>
  <si>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</si>
  <si>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</si>
  <si>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</si>
  <si>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</si>
  <si>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</si>
  <si>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</si>
  <si>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</si>
  <si>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</si>
  <si>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</si>
  <si>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</si>
  <si>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</si>
  <si>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</si>
  <si>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</si>
  <si>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</si>
  <si>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</si>
  <si>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</si>
  <si>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</si>
  <si>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</si>
  <si>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</si>
  <si>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</si>
  <si>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</si>
  <si>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</si>
  <si>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</si>
  <si>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</si>
  <si>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</si>
  <si>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</si>
  <si>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</si>
  <si>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</si>
  <si>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</si>
  <si>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</si>
  <si>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</si>
  <si>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</si>
  <si>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</si>
  <si>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</si>
  <si>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</si>
  <si>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</si>
  <si>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</si>
  <si>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</si>
  <si>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</si>
  <si>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</si>
  <si>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</si>
  <si>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</si>
  <si>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</si>
  <si>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</si>
  <si>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</si>
  <si>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</si>
  <si>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</si>
  <si>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</si>
  <si>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</si>
  <si>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</si>
  <si>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</si>
  <si>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</si>
  <si>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</si>
  <si>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</si>
  <si>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</si>
  <si>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</si>
  <si>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</si>
  <si>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</si>
  <si>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</si>
  <si>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</si>
  <si>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</si>
  <si>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</si>
  <si>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</si>
  <si>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</si>
  <si>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</si>
  <si>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</si>
  <si>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</si>
  <si>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</si>
  <si>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</si>
  <si>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</si>
  <si>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</si>
  <si>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</si>
  <si>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</si>
  <si>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</si>
  <si>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</si>
  <si>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</si>
  <si>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</si>
  <si>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</si>
  <si>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</si>
  <si>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</si>
  <si>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</si>
  <si>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</si>
  <si>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</si>
  <si>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</si>
  <si>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</si>
  <si>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</si>
  <si>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</si>
  <si>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</si>
  <si>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</si>
  <si>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</si>
  <si>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</si>
  <si>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</si>
  <si>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</si>
  <si>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</si>
  <si>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</si>
  <si>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</si>
  <si>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</si>
  <si>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</si>
  <si>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</si>
  <si>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</si>
  <si>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</si>
  <si>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</si>
  <si>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</si>
  <si>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</si>
  <si>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</si>
  <si>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</si>
  <si>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</si>
  <si>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</si>
  <si>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</si>
  <si>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</si>
  <si>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</si>
  <si>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</si>
  <si>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</si>
  <si>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</si>
  <si>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</si>
  <si>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</si>
  <si>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</si>
  <si>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</si>
  <si>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</si>
  <si>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</si>
  <si>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</si>
  <si>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</si>
  <si>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</si>
  <si>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</si>
  <si>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</si>
  <si>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</si>
  <si>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</si>
  <si>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</si>
  <si>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</si>
  <si>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</si>
  <si>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</si>
  <si>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</si>
  <si>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</si>
  <si>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</si>
  <si>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</si>
  <si>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</si>
  <si>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</si>
  <si>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</si>
  <si>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</si>
  <si>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</si>
  <si>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</si>
  <si>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</si>
  <si>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</si>
  <si>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</si>
  <si>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</si>
  <si>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</si>
  <si>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</si>
  <si>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</si>
  <si>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</si>
  <si>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</si>
  <si>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</si>
  <si>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</si>
  <si>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</si>
  <si>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</si>
  <si>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</si>
  <si>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</si>
  <si>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</si>
  <si>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</si>
  <si>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</si>
  <si>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</si>
  <si>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</si>
  <si>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</si>
  <si>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</si>
  <si>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</si>
  <si>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</si>
  <si>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</si>
  <si>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</si>
  <si>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</si>
  <si>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</si>
  <si>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</si>
  <si>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</si>
  <si>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</si>
  <si>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</si>
  <si>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</si>
  <si>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</si>
  <si>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</si>
  <si>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</si>
  <si>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</si>
  <si>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</si>
  <si>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</si>
  <si>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</si>
  <si>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</si>
  <si>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</si>
  <si>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</si>
  <si>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</si>
  <si>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</si>
  <si>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</si>
  <si>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</si>
  <si>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</si>
  <si>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</si>
  <si>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</si>
  <si>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</si>
  <si>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</si>
  <si>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</si>
  <si>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</si>
  <si>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</si>
  <si>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</si>
  <si>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</si>
  <si>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</si>
  <si>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</si>
  <si>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</si>
  <si>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</si>
  <si>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</si>
  <si>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</si>
  <si>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</si>
  <si>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</si>
  <si>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</si>
  <si>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</si>
  <si>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</si>
  <si>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</si>
  <si>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</si>
  <si>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</si>
  <si>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</si>
  <si>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</si>
  <si>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</si>
  <si>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</si>
  <si>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</si>
  <si>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</si>
  <si>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</si>
  <si>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</si>
  <si>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</si>
  <si>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</si>
  <si>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</si>
  <si>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</si>
  <si>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</si>
  <si>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</si>
  <si>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</si>
  <si>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</si>
  <si>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</si>
  <si>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</si>
  <si>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</si>
  <si>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</si>
  <si>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</si>
  <si>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</si>
  <si>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</si>
  <si>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</si>
  <si>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</si>
  <si>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</si>
  <si>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</si>
  <si>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</si>
  <si>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</si>
  <si>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</si>
  <si>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</si>
  <si>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</si>
  <si>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</si>
  <si>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</si>
  <si>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</si>
  <si>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</si>
  <si>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</si>
  <si>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</si>
  <si>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</si>
  <si>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</si>
  <si>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</si>
  <si>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</si>
  <si>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</si>
  <si>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</si>
  <si>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</si>
  <si>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</si>
  <si>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</si>
  <si>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</si>
  <si>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</si>
  <si>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</si>
  <si>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</si>
  <si>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</si>
  <si>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</si>
  <si>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</si>
  <si>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</si>
  <si>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</si>
  <si>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</si>
  <si>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</si>
  <si>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</si>
  <si>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</si>
  <si>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</si>
  <si>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</si>
  <si>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</si>
  <si>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</si>
  <si>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</si>
  <si>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</si>
  <si>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</si>
  <si>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</si>
  <si>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</si>
  <si>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</si>
  <si>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</si>
  <si>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</si>
  <si>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</si>
  <si>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</si>
  <si>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</si>
  <si>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</si>
  <si>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</si>
  <si>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</si>
  <si>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</si>
  <si>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</si>
  <si>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</si>
  <si>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</si>
  <si>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</si>
  <si>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</si>
  <si>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</si>
  <si>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</si>
  <si>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</si>
  <si>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</si>
  <si>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</si>
  <si>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</si>
  <si>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</si>
  <si>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</si>
  <si>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</si>
  <si>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</si>
  <si>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</si>
  <si>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</si>
  <si>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</si>
  <si>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</si>
  <si>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</si>
  <si>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</si>
  <si>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</si>
  <si>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</si>
  <si>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</si>
  <si>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</si>
  <si>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</si>
  <si>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</si>
  <si>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</si>
  <si>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</si>
  <si>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</si>
  <si>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</si>
  <si>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</si>
  <si>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</si>
  <si>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</si>
  <si>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</si>
  <si>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</si>
  <si>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</si>
  <si>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</si>
  <si>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</si>
  <si>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</si>
  <si>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</si>
  <si>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</si>
  <si>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</si>
  <si>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</si>
  <si>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</si>
  <si>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</si>
  <si>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</si>
  <si>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</si>
  <si>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</si>
  <si>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</si>
  <si>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</si>
  <si>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</si>
  <si>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</si>
  <si>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</si>
  <si>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</si>
  <si>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</si>
  <si>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</si>
  <si>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</si>
  <si>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</si>
  <si>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</si>
  <si>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</si>
  <si>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</si>
  <si>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</si>
  <si>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</si>
  <si>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</si>
  <si>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</si>
  <si>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</si>
  <si>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</si>
  <si>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</si>
  <si>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</si>
  <si>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</si>
  <si>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</si>
  <si>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</si>
  <si>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</si>
  <si>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</si>
  <si>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</si>
  <si>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</si>
  <si>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</si>
  <si>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</si>
  <si>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</si>
  <si>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</si>
  <si>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</si>
  <si>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</si>
  <si>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</si>
  <si>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</si>
  <si>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</si>
  <si>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</si>
  <si>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</si>
  <si>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</si>
  <si>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</si>
  <si>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</si>
  <si>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</si>
  <si>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</si>
  <si>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</si>
  <si>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</si>
  <si>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</si>
  <si>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</si>
  <si>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</si>
  <si>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</si>
  <si>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</si>
  <si>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</si>
  <si>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</si>
  <si>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</si>
  <si>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</si>
  <si>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</si>
  <si>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</si>
  <si>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</si>
  <si>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</si>
  <si>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</si>
  <si>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</si>
  <si>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</si>
  <si>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</si>
  <si>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</si>
  <si>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</si>
  <si>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</si>
  <si>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</si>
  <si>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</si>
  <si>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</si>
  <si>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</si>
  <si>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</si>
  <si>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</si>
  <si>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</si>
  <si>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</si>
  <si>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</si>
  <si>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</si>
  <si>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</si>
  <si>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</si>
  <si>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</si>
  <si>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</si>
  <si>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</si>
  <si>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</si>
  <si>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</si>
  <si>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</si>
  <si>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</si>
  <si>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</si>
  <si>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</si>
  <si>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</si>
  <si>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</si>
  <si>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</si>
  <si>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</si>
  <si>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</si>
  <si>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</si>
  <si>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</si>
  <si>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</si>
  <si>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</si>
  <si>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</si>
  <si>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</si>
  <si>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</si>
  <si>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</si>
  <si>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</si>
  <si>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</si>
  <si>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</si>
  <si>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</si>
  <si>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</si>
  <si>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</si>
  <si>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</si>
  <si>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</si>
  <si>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</si>
  <si>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</si>
  <si>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</si>
  <si>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</si>
  <si>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</si>
  <si>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</si>
  <si>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</si>
  <si>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</si>
  <si>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</si>
  <si>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</si>
  <si>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</si>
  <si>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</si>
  <si>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</si>
  <si>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</si>
  <si>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</si>
  <si>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</si>
  <si>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</si>
  <si>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</si>
  <si>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</si>
  <si>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</si>
  <si>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</si>
  <si>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</si>
  <si>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</si>
  <si>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</si>
  <si>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</si>
  <si>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</si>
  <si>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</si>
  <si>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</si>
  <si>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</si>
  <si>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</si>
  <si>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</si>
  <si>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</si>
  <si>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</si>
  <si>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</si>
  <si>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</si>
  <si>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</si>
  <si>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</si>
  <si>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</si>
  <si>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</si>
  <si>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</si>
  <si>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</si>
  <si>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</si>
  <si>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</si>
  <si>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</si>
  <si>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</si>
  <si>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</si>
  <si>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</si>
  <si>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</si>
  <si>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</si>
  <si>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</si>
  <si>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</si>
  <si>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</si>
  <si>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</si>
  <si>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</si>
  <si>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</si>
  <si>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</si>
  <si>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</si>
  <si>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</si>
  <si>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</si>
  <si>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</si>
  <si>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</si>
  <si>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</si>
  <si>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</si>
  <si>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</si>
  <si>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</si>
  <si>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</si>
  <si>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</si>
  <si>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</si>
  <si>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</si>
  <si>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</si>
  <si>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</si>
  <si>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</si>
  <si>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</si>
  <si>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</si>
  <si>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</si>
  <si>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</si>
  <si>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</si>
  <si>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</si>
  <si>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</si>
  <si>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</si>
  <si>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</si>
  <si>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</si>
  <si>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</si>
  <si>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</si>
  <si>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</si>
  <si>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</si>
  <si>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</si>
  <si>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</si>
  <si>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</si>
  <si>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</si>
  <si>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</si>
  <si>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</si>
  <si>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</si>
  <si>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</si>
  <si>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</si>
  <si>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</si>
  <si>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</si>
  <si>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</si>
  <si>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</si>
  <si>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</si>
  <si>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</si>
  <si>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</si>
  <si>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</si>
  <si>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</si>
  <si>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</si>
  <si>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</si>
  <si>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</si>
  <si>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</si>
  <si>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</si>
  <si>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</si>
  <si>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</si>
  <si>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</si>
  <si>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</si>
  <si>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</si>
  <si>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</si>
  <si>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</si>
  <si>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</si>
  <si>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</si>
  <si>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</si>
  <si>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</si>
  <si>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</si>
  <si>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</si>
  <si>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</si>
  <si>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</si>
  <si>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</si>
  <si>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</si>
  <si>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</si>
  <si>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</si>
  <si>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</si>
  <si>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</si>
  <si>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</si>
  <si>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</si>
  <si>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</si>
  <si>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</si>
  <si>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</si>
  <si>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</si>
  <si>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</si>
  <si>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</si>
  <si>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</si>
  <si>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</si>
  <si>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</si>
  <si>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</si>
  <si>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</si>
  <si>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</si>
  <si>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</si>
  <si>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</si>
  <si>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</si>
  <si>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</si>
  <si>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</si>
  <si>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</si>
  <si>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</si>
  <si>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</si>
  <si>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</si>
  <si>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</si>
  <si>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</si>
  <si>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</si>
  <si>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</si>
  <si>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</si>
  <si>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</si>
  <si>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</si>
  <si>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</si>
  <si>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</si>
  <si>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</si>
  <si>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</si>
  <si>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</si>
  <si>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</si>
  <si>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</si>
  <si>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</si>
  <si>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</si>
  <si>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</si>
  <si>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</si>
  <si>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</si>
  <si>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</si>
  <si>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</si>
  <si>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</si>
  <si>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</si>
  <si>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</si>
  <si>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</si>
  <si>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</si>
  <si>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</si>
  <si>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</si>
  <si>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</si>
  <si>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</si>
  <si>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</si>
  <si>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</si>
  <si>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</si>
  <si>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</si>
  <si>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</si>
  <si>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</si>
  <si>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</si>
  <si>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</si>
  <si>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</si>
  <si>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</si>
  <si>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</si>
  <si>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</si>
  <si>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</si>
  <si>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</si>
  <si>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</si>
  <si>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</si>
  <si>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</si>
  <si>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</si>
  <si>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</si>
  <si>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</si>
  <si>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</si>
  <si>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</si>
  <si>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</si>
  <si>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</si>
  <si>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</si>
  <si>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</si>
  <si>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</si>
  <si>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</si>
  <si>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</si>
  <si>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</si>
  <si>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</si>
  <si>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</si>
  <si>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</si>
  <si>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</si>
  <si>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</si>
  <si>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</si>
  <si>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</si>
  <si>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</si>
  <si>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</si>
  <si>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</si>
  <si>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</si>
  <si>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</si>
  <si>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</si>
  <si>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</si>
  <si>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</si>
  <si>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</si>
  <si>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</si>
  <si>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</si>
  <si>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</si>
  <si>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</si>
  <si>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</si>
  <si>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</si>
  <si>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</si>
  <si>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</si>
  <si>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</si>
  <si>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</si>
  <si>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</si>
  <si>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</si>
  <si>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</si>
  <si>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</si>
  <si>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</si>
  <si>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</si>
  <si>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</si>
  <si>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</si>
  <si>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</si>
  <si>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</si>
  <si>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</si>
  <si>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</si>
  <si>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</si>
  <si>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</si>
  <si>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</si>
  <si>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</si>
  <si>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</si>
  <si>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</si>
  <si>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</si>
  <si>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</si>
  <si>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</si>
  <si>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</si>
  <si>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</si>
  <si>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</si>
  <si>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</si>
  <si>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</si>
  <si>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</si>
  <si>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</si>
  <si>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</si>
  <si>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</si>
  <si>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</si>
  <si>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</si>
  <si>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</si>
  <si>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</si>
  <si>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</si>
  <si>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</si>
  <si>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</si>
  <si>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</si>
  <si>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</si>
  <si>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</si>
  <si>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</si>
  <si>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</si>
  <si>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</si>
  <si>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</si>
  <si>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</si>
  <si>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</si>
  <si>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</si>
  <si>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</si>
  <si>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</si>
  <si>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</si>
  <si>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</si>
  <si>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</si>
  <si>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</si>
  <si>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</si>
  <si>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</si>
  <si>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</si>
  <si>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</si>
  <si>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</si>
  <si>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</si>
  <si>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</si>
  <si>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</si>
  <si>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</si>
  <si>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</si>
  <si>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</si>
  <si>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</si>
  <si>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</si>
  <si>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</si>
  <si>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</si>
  <si>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</si>
  <si>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</si>
  <si>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</si>
  <si>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</si>
  <si>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</si>
  <si>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</si>
  <si>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</si>
  <si>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</si>
  <si>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</si>
  <si>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</si>
  <si>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</si>
  <si>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</si>
  <si>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</si>
  <si>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</si>
  <si>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</si>
  <si>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</si>
  <si>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</si>
  <si>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</si>
  <si>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</si>
  <si>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</si>
  <si>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</si>
  <si>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</si>
  <si>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</si>
  <si>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</si>
  <si>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</si>
  <si>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</si>
  <si>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</si>
  <si>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</si>
  <si>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</si>
  <si>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</si>
  <si>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</si>
  <si>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</si>
  <si>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</si>
  <si>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</si>
  <si>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</si>
  <si>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</si>
  <si>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</si>
  <si>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</si>
  <si>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</si>
  <si>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</si>
  <si>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</si>
  <si>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</si>
  <si>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</si>
  <si>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</si>
  <si>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</si>
  <si>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</si>
  <si>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</si>
  <si>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</si>
  <si>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</si>
  <si>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</si>
  <si>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</si>
  <si>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</si>
  <si>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</si>
  <si>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</si>
  <si>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</si>
  <si>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</si>
  <si>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</si>
  <si>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</si>
  <si>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</si>
  <si>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</si>
  <si>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</si>
  <si>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</si>
  <si>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</si>
  <si>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</si>
  <si>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</si>
  <si>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</si>
  <si>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</si>
  <si>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</si>
  <si>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</si>
  <si>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</si>
  <si>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</si>
  <si>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</si>
  <si>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</si>
  <si>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</si>
  <si>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</si>
  <si>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</si>
  <si>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</si>
  <si>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</si>
  <si>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</si>
  <si>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</si>
  <si>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</si>
  <si>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</si>
  <si>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</si>
  <si>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</si>
  <si>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</si>
  <si>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</si>
  <si>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</si>
  <si>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</si>
  <si>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</si>
  <si>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</si>
  <si>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</si>
  <si>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</si>
  <si>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</si>
  <si>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</si>
  <si>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</si>
  <si>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</si>
  <si>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</si>
  <si>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</si>
  <si>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</si>
  <si>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</si>
  <si>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</si>
  <si>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</si>
  <si>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</si>
  <si>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</si>
  <si>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</si>
  <si>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</si>
  <si>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</si>
  <si>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</si>
  <si>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</si>
  <si>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</si>
  <si>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</si>
  <si>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</si>
  <si>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</si>
  <si>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</si>
  <si>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</si>
  <si>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</si>
  <si>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</si>
  <si>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</si>
  <si>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</si>
  <si>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</si>
  <si>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</si>
  <si>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</si>
  <si>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</si>
  <si>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</si>
  <si>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</si>
  <si>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</si>
  <si>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</si>
  <si>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</si>
  <si>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</si>
  <si>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</si>
  <si>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</si>
  <si>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</si>
  <si>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</si>
  <si>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</si>
  <si>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</si>
  <si>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</si>
  <si>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</si>
  <si>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</si>
  <si>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</si>
  <si>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</si>
  <si>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</si>
  <si>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</si>
  <si>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</si>
  <si>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</si>
  <si>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</si>
  <si>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</si>
  <si>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</si>
  <si>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</si>
  <si>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</si>
  <si>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</si>
  <si>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</si>
  <si>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</si>
  <si>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</si>
  <si>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</si>
  <si>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</si>
  <si>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</si>
  <si>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</si>
  <si>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</si>
  <si>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</si>
  <si>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</si>
  <si>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</si>
  <si>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</si>
  <si>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</si>
  <si>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</si>
  <si>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</si>
  <si>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</si>
  <si>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</si>
  <si>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</si>
  <si>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</si>
  <si>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</si>
  <si>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</si>
  <si>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</si>
  <si>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</si>
  <si>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</si>
  <si>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</si>
  <si>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</si>
  <si>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</si>
  <si>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</si>
  <si>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</si>
  <si>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</si>
  <si>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</si>
  <si>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</si>
  <si>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</si>
  <si>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</si>
  <si>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</si>
  <si>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</si>
  <si>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</si>
  <si>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</si>
  <si>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</si>
  <si>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</si>
  <si>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</si>
  <si>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</si>
  <si>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</si>
  <si>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</si>
  <si>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</si>
  <si>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</si>
  <si>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</si>
  <si>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</si>
  <si>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</si>
  <si>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</si>
  <si>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</si>
  <si>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</si>
  <si>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</si>
  <si>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</si>
  <si>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</si>
  <si>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</si>
  <si>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</si>
  <si>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</si>
  <si>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</si>
  <si>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</si>
  <si>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</si>
  <si>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</si>
  <si>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</si>
  <si>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</si>
  <si>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</si>
  <si>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</si>
  <si>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</si>
  <si>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</si>
  <si>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</si>
  <si>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</si>
  <si>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</si>
  <si>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</si>
  <si>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</si>
  <si>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</si>
  <si>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</si>
  <si>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</si>
  <si>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</si>
  <si>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</si>
  <si>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</si>
  <si>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</si>
  <si>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</si>
  <si>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</si>
  <si>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</si>
  <si>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</si>
  <si>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</si>
  <si>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</si>
  <si>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</si>
  <si>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</si>
  <si>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</si>
  <si>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</si>
  <si>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</si>
  <si>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</si>
  <si>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</si>
  <si>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</si>
  <si>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</si>
  <si>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</si>
  <si>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</si>
  <si>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</si>
  <si>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</si>
  <si>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</si>
  <si>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</si>
  <si>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</si>
  <si>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</si>
  <si>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</si>
  <si>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</si>
  <si>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</si>
  <si>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</si>
  <si>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</si>
  <si>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</si>
  <si>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</si>
  <si>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</si>
  <si>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</si>
  <si>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</si>
  <si>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</si>
  <si>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</si>
  <si>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</si>
  <si>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</si>
  <si>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</si>
  <si>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</si>
  <si>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</si>
  <si>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</si>
  <si>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</si>
  <si>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</si>
  <si>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</si>
  <si>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</si>
  <si>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</si>
  <si>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</si>
  <si>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</si>
  <si>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</si>
  <si>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</si>
  <si>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</si>
  <si>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</si>
  <si>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</si>
  <si>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</si>
  <si>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</si>
  <si>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</si>
  <si>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</si>
  <si>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</si>
  <si>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</si>
  <si>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</si>
  <si>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</si>
  <si>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</si>
  <si>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</si>
  <si>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</si>
  <si>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</si>
  <si>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</si>
  <si>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</si>
  <si>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</si>
  <si>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</si>
  <si>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</si>
  <si>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</si>
  <si>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</si>
  <si>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</si>
  <si>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</si>
  <si>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</si>
  <si>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</si>
  <si>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</si>
  <si>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</si>
  <si>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</si>
  <si>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</si>
  <si>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</si>
  <si>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</si>
  <si>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</si>
  <si>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</si>
  <si>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</si>
  <si>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</si>
  <si>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</si>
  <si>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</si>
  <si>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</si>
  <si>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</si>
  <si>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</si>
  <si>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</si>
  <si>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</si>
  <si>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</si>
  <si>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</si>
  <si>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</si>
  <si>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</si>
  <si>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</si>
  <si>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</si>
  <si>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</si>
  <si>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</si>
  <si>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</si>
  <si>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</si>
  <si>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</si>
  <si>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</si>
  <si>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</si>
  <si>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</si>
  <si>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</si>
  <si>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</si>
  <si>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</si>
  <si>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</si>
  <si>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</si>
  <si>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</si>
  <si>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</si>
  <si>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</si>
  <si>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</si>
  <si>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</si>
  <si>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</si>
  <si>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</si>
  <si>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</si>
  <si>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</si>
  <si>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</si>
  <si>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</si>
  <si>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</si>
  <si>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</si>
  <si>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</si>
  <si>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</si>
  <si>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</si>
  <si>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</si>
  <si>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</si>
  <si>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</si>
  <si>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</si>
  <si>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</si>
  <si>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</si>
  <si>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</si>
  <si>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</si>
  <si>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</si>
  <si>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</si>
  <si>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</si>
  <si>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</si>
  <si>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</si>
  <si>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</si>
  <si>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</si>
  <si>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</si>
  <si>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</si>
  <si>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</si>
  <si>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</si>
  <si>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</si>
  <si>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</si>
  <si>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</si>
  <si>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</si>
  <si>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</si>
  <si>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</si>
  <si>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</si>
  <si>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</si>
  <si>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</si>
  <si>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</si>
  <si>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</si>
  <si>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</si>
  <si>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</si>
  <si>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</si>
  <si>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</si>
  <si>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</si>
  <si>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</si>
  <si>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</si>
  <si>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</si>
  <si>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</si>
  <si>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</si>
  <si>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</si>
  <si>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</si>
  <si>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</si>
  <si>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</si>
  <si>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</si>
  <si>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</si>
  <si>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</si>
  <si>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</si>
  <si>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</si>
  <si>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</si>
  <si>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</si>
  <si>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</si>
  <si>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</si>
  <si>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</si>
  <si>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</si>
  <si>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</si>
  <si>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</si>
  <si>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</si>
  <si>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</si>
  <si>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</si>
  <si>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</si>
  <si>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</si>
  <si>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</si>
  <si>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</si>
  <si>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</si>
  <si>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</si>
  <si>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</si>
  <si>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</si>
  <si>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</si>
  <si>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</si>
  <si>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</si>
  <si>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</si>
  <si>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</si>
  <si>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</si>
  <si>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</si>
  <si>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</si>
  <si>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</si>
  <si>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</si>
  <si>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</si>
  <si>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</si>
  <si>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</si>
  <si>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</si>
  <si>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</si>
  <si>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</si>
  <si>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</si>
  <si>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</si>
  <si>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</si>
  <si>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</si>
  <si>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</si>
  <si>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</si>
  <si>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</si>
  <si>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</si>
  <si>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</si>
  <si>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</si>
  <si>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</si>
  <si>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</si>
  <si>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</si>
  <si>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</si>
  <si>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</si>
  <si>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</si>
  <si>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</si>
  <si>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</si>
  <si>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</si>
  <si>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</si>
  <si>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</si>
  <si>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</si>
  <si>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</si>
  <si>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</si>
  <si>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</si>
  <si>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</si>
  <si>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</si>
  <si>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</si>
  <si>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</si>
  <si>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</si>
  <si>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</si>
  <si>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</si>
  <si>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</si>
  <si>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</si>
  <si>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</si>
  <si>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</si>
  <si>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</si>
  <si>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</si>
  <si>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</si>
  <si>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</si>
  <si>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</si>
  <si>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</si>
  <si>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</si>
  <si>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</si>
  <si>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</si>
  <si>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</si>
  <si>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</si>
  <si>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</si>
  <si>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</si>
  <si>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</si>
  <si>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</si>
  <si>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</si>
  <si>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</si>
  <si>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</si>
  <si>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</si>
  <si>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</si>
  <si>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</si>
  <si>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</si>
  <si>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</si>
  <si>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</si>
  <si>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</si>
  <si>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</si>
  <si>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</si>
  <si>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</si>
  <si>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</si>
  <si>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</si>
  <si>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</si>
  <si>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</si>
  <si>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</si>
  <si>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</si>
  <si>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</si>
  <si>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</si>
  <si>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</si>
  <si>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</si>
  <si>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</si>
  <si>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</si>
  <si>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</si>
  <si>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</si>
  <si>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</si>
  <si>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</si>
  <si>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</si>
  <si>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</si>
  <si>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</si>
  <si>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</si>
  <si>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</si>
  <si>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</si>
  <si>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</si>
  <si>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</si>
  <si>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</si>
  <si>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</si>
  <si>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</si>
  <si>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</si>
  <si>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</si>
  <si>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</si>
  <si>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</si>
  <si>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</si>
  <si>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</si>
  <si>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</si>
  <si>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</si>
  <si>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</si>
  <si>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</si>
  <si>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</si>
  <si>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</si>
  <si>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</si>
  <si>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</si>
  <si>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</si>
  <si>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</si>
  <si>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</si>
  <si>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</si>
  <si>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</si>
  <si>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</si>
  <si>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</si>
  <si>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</si>
  <si>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</si>
  <si>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</si>
  <si>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</si>
  <si>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</si>
  <si>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</si>
  <si>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</si>
  <si>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</si>
  <si>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</si>
  <si>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</si>
  <si>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</si>
  <si>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</si>
  <si>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</si>
  <si>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</si>
  <si>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</si>
  <si>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</si>
  <si>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</si>
  <si>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</si>
  <si>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</si>
  <si>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</si>
  <si>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</si>
  <si>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</si>
  <si>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</si>
  <si>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</si>
  <si>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</si>
  <si>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</si>
  <si>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</si>
  <si>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</si>
  <si>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</si>
  <si>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</si>
  <si>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</si>
  <si>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</si>
  <si>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</si>
  <si>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</si>
  <si>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</si>
  <si>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</si>
  <si>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</si>
  <si>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</si>
  <si>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</si>
  <si>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</si>
  <si>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</si>
  <si>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</si>
  <si>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</si>
  <si>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</si>
  <si>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</si>
  <si>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</si>
  <si>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</si>
  <si>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</si>
  <si>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</si>
  <si>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</si>
  <si>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</si>
  <si>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</si>
  <si>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</si>
  <si>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</si>
  <si>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</si>
  <si>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</si>
  <si>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</si>
  <si>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</si>
  <si>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</si>
  <si>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</si>
  <si>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</si>
  <si>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</si>
  <si>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</si>
  <si>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</si>
  <si>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</si>
  <si>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</si>
  <si>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</si>
  <si>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</si>
  <si>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</si>
  <si>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</si>
  <si>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</si>
  <si>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</si>
  <si>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</si>
  <si>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</si>
  <si>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</si>
  <si>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</si>
  <si>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</si>
  <si>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</si>
  <si>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</si>
  <si>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</si>
  <si>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</si>
  <si>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</si>
  <si>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</si>
  <si>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</si>
  <si>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</si>
  <si>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</si>
  <si>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</si>
  <si>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</si>
  <si>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</si>
  <si>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</si>
  <si>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</si>
  <si>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</si>
  <si>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</si>
  <si>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</si>
  <si>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</si>
  <si>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</si>
  <si>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</si>
  <si>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</si>
  <si>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</si>
  <si>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</si>
  <si>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</si>
  <si>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</si>
  <si>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</si>
  <si>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</si>
  <si>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</si>
  <si>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</si>
  <si>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</si>
  <si>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</si>
  <si>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</si>
  <si>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</si>
  <si>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</si>
  <si>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</si>
  <si>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</si>
  <si>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</si>
  <si>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</si>
  <si>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</si>
  <si>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</si>
  <si>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</si>
  <si>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</si>
  <si>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</si>
  <si>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</si>
  <si>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</si>
  <si>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</si>
  <si>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</si>
  <si>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</si>
  <si>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</si>
  <si>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</si>
  <si>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</si>
  <si>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</si>
  <si>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</si>
  <si>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</si>
  <si>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</si>
  <si>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</si>
  <si>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</si>
  <si>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</si>
  <si>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</si>
  <si>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</si>
  <si>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</si>
  <si>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</si>
  <si>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</si>
  <si>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</si>
  <si>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</si>
  <si>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</si>
  <si>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</si>
  <si>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</si>
  <si>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</si>
  <si>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</si>
  <si>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</si>
  <si>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</si>
  <si>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</si>
  <si>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</si>
  <si>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</si>
  <si>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</si>
  <si>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</si>
  <si>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</si>
  <si>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</si>
  <si>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</si>
  <si>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</si>
  <si>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</si>
  <si>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</si>
  <si>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</si>
  <si>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</si>
  <si>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</si>
  <si>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</si>
  <si>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</si>
  <si>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</si>
  <si>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</si>
  <si>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</si>
  <si>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</si>
  <si>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</si>
  <si>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</si>
  <si>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</si>
  <si>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</si>
  <si>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</si>
  <si>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</si>
  <si>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</si>
  <si>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</si>
  <si>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</si>
  <si>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</si>
  <si>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</si>
  <si>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</si>
  <si>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</si>
  <si>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</si>
  <si>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</si>
  <si>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</si>
  <si>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</si>
  <si>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</si>
  <si>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</si>
  <si>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</si>
  <si>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</si>
  <si>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</si>
  <si>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</si>
  <si>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</si>
  <si>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</si>
  <si>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</si>
  <si>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</si>
  <si>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</si>
  <si>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</si>
  <si>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</si>
  <si>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</si>
  <si>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</si>
  <si>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</si>
  <si>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</si>
  <si>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</si>
  <si>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</si>
  <si>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</si>
  <si>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</si>
  <si>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</si>
  <si>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</si>
  <si>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</si>
  <si>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</si>
  <si>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</si>
  <si>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</si>
  <si>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</si>
  <si>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</si>
  <si>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</si>
  <si>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</si>
  <si>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</si>
  <si>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</si>
  <si>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</si>
  <si>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</si>
  <si>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</si>
  <si>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</si>
  <si>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</si>
  <si>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</si>
  <si>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</si>
  <si>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</si>
  <si>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</si>
  <si>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</si>
  <si>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</si>
  <si>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</si>
  <si>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</si>
  <si>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</si>
  <si>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</si>
  <si>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</si>
  <si>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</si>
  <si>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</si>
  <si>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</si>
  <si>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</si>
  <si>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</si>
  <si>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</si>
  <si>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</si>
  <si>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</si>
  <si>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</si>
  <si>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</si>
  <si>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</si>
  <si>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</si>
  <si>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</si>
  <si>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</si>
  <si>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</si>
  <si>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</si>
  <si>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</si>
  <si>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</si>
  <si>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</si>
  <si>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</si>
  <si>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</si>
  <si>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</si>
  <si>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</si>
  <si>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</si>
  <si>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</si>
  <si>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</si>
  <si>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</si>
  <si>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</si>
  <si>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</si>
  <si>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</si>
  <si>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</si>
  <si>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</si>
  <si>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</si>
  <si>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</si>
  <si>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</si>
  <si>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</si>
  <si>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</si>
  <si>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</si>
  <si>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</si>
  <si>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</si>
  <si>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</si>
  <si>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</si>
  <si>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</si>
  <si>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</si>
  <si>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</si>
  <si>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</si>
  <si>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</si>
  <si>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</si>
  <si>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</si>
  <si>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</si>
  <si>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</si>
  <si>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</si>
  <si>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</si>
  <si>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</si>
  <si>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</si>
  <si>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</si>
  <si>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</si>
  <si>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</si>
  <si>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</si>
  <si>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</si>
  <si>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</si>
  <si>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</si>
  <si>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</si>
  <si>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</si>
  <si>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</si>
  <si>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</si>
  <si>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</si>
  <si>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</si>
  <si>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</si>
  <si>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</si>
  <si>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</si>
  <si>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</si>
  <si>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</si>
  <si>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</si>
  <si>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</si>
  <si>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</si>
  <si>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</si>
  <si>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</si>
  <si>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</si>
  <si>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</si>
  <si>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</si>
  <si>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</si>
  <si>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</si>
  <si>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</si>
  <si>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</si>
  <si>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</si>
  <si>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</si>
  <si>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</si>
  <si>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</si>
  <si>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</si>
  <si>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</si>
  <si>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</si>
  <si>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</si>
  <si>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</si>
  <si>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</si>
  <si>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</si>
  <si>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</si>
  <si>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</si>
  <si>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</si>
  <si>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</si>
  <si>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</si>
  <si>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</si>
  <si>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</si>
  <si>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</si>
  <si>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</si>
  <si>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</si>
  <si>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</si>
  <si>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</si>
  <si>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</si>
  <si>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</si>
  <si>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</si>
  <si>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</si>
  <si>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</si>
  <si>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</si>
  <si>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</si>
  <si>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</si>
  <si>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</si>
  <si>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</si>
  <si>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</si>
  <si>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</si>
  <si>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</si>
  <si>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</si>
  <si>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</si>
  <si>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</si>
  <si>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</si>
  <si>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</si>
  <si>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</si>
  <si>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</si>
  <si>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</si>
  <si>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</si>
  <si>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</si>
  <si>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</si>
  <si>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</si>
  <si>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</si>
  <si>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</si>
  <si>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</si>
  <si>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</si>
  <si>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</si>
  <si>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</si>
  <si>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</si>
  <si>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</si>
  <si>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</si>
  <si>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</si>
  <si>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</si>
  <si>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</si>
  <si>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</si>
  <si>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</si>
  <si>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</si>
  <si>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</si>
  <si>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</si>
  <si>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</si>
  <si>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</si>
  <si>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</si>
  <si>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</si>
  <si>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</si>
  <si>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</si>
  <si>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</si>
  <si>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</si>
  <si>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</si>
  <si>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</si>
  <si>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</si>
  <si>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</si>
  <si>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</si>
  <si>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</si>
  <si>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</si>
  <si>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</si>
  <si>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</si>
  <si>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</si>
  <si>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</si>
  <si>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</si>
  <si>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</si>
  <si>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</si>
  <si>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</si>
  <si>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</si>
  <si>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</si>
  <si>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</si>
  <si>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</si>
  <si>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</si>
  <si>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</si>
  <si>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</si>
  <si>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</si>
  <si>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</si>
  <si>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</si>
  <si>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</si>
  <si>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</si>
  <si>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</si>
  <si>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</si>
  <si>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</si>
  <si>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</si>
  <si>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</si>
  <si>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</si>
  <si>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</si>
  <si>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</si>
  <si>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</si>
  <si>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</si>
  <si>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</si>
  <si>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</si>
  <si>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</si>
  <si>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</si>
  <si>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</si>
  <si>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</si>
  <si>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</si>
  <si>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</si>
  <si>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</si>
  <si>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</si>
  <si>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</si>
  <si>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</si>
  <si>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</si>
  <si>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</si>
  <si>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</si>
  <si>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</si>
  <si>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</si>
  <si>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</si>
  <si>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</si>
  <si>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</si>
  <si>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</si>
  <si>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</si>
  <si>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</si>
  <si>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</si>
  <si>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</si>
  <si>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</si>
  <si>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</si>
  <si>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</si>
  <si>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</si>
  <si>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</si>
  <si>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</si>
  <si>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</si>
  <si>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</si>
  <si>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</si>
  <si>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</si>
  <si>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</si>
  <si>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</si>
  <si>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</si>
  <si>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</si>
  <si>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</si>
  <si>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</si>
  <si>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</si>
  <si>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</si>
  <si>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</si>
  <si>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</si>
  <si>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</si>
  <si>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</si>
  <si>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</si>
  <si>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</si>
  <si>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</si>
  <si>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</si>
  <si>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</si>
  <si>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</si>
  <si>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</si>
  <si>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</si>
  <si>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</si>
  <si>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</si>
  <si>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</si>
  <si>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</si>
  <si>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</si>
  <si>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</si>
  <si>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</si>
  <si>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</si>
  <si>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</si>
  <si>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</si>
  <si>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</si>
  <si>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</si>
  <si>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</si>
  <si>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</si>
  <si>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</si>
  <si>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</si>
  <si>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</si>
  <si>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</si>
  <si>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</si>
  <si>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</si>
  <si>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</si>
  <si>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</si>
  <si>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</si>
  <si>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</si>
  <si>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</si>
  <si>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</si>
  <si>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</si>
  <si>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</si>
  <si>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</si>
  <si>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</si>
  <si>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</si>
  <si>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</si>
  <si>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</si>
  <si>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</si>
  <si>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</si>
  <si>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</si>
  <si>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</si>
  <si>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</si>
  <si>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</si>
  <si>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</si>
  <si>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</si>
  <si>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</si>
  <si>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</si>
  <si>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</si>
  <si>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</si>
  <si>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</si>
  <si>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</si>
  <si>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</si>
  <si>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</si>
  <si>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</si>
  <si>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</si>
  <si>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</si>
  <si>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</si>
  <si>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</si>
  <si>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</si>
  <si>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</si>
  <si>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</si>
  <si>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</si>
  <si>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</si>
  <si>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</si>
  <si>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</si>
  <si>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</si>
  <si>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</si>
  <si>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</si>
  <si>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</si>
  <si>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</si>
  <si>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</si>
  <si>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</si>
  <si>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</si>
  <si>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</si>
  <si>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</si>
  <si>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</si>
  <si>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</si>
  <si>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</si>
  <si>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</si>
  <si>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</si>
  <si>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</si>
  <si>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</si>
  <si>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</si>
  <si>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</si>
  <si>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</si>
  <si>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</si>
  <si>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</si>
  <si>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</si>
  <si>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</si>
  <si>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</si>
  <si>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</si>
  <si>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</si>
  <si>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</si>
  <si>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</si>
  <si>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</si>
  <si>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</si>
  <si>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</si>
  <si>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</si>
  <si>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</si>
  <si>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</si>
  <si>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</si>
  <si>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</si>
  <si>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</si>
  <si>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</si>
  <si>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</si>
  <si>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</si>
  <si>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</si>
  <si>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</si>
  <si>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</si>
  <si>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</si>
  <si>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</si>
  <si>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</si>
  <si>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</si>
  <si>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</si>
  <si>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</si>
  <si>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</si>
  <si>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</si>
  <si>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</si>
  <si>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</si>
  <si>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</si>
  <si>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</si>
  <si>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</si>
  <si>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</si>
  <si>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</si>
  <si>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</si>
  <si>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</si>
  <si>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</si>
  <si>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</si>
  <si>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</si>
  <si>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</si>
  <si>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</si>
  <si>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</si>
  <si>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</si>
  <si>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</si>
  <si>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</si>
  <si>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</si>
  <si>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</si>
  <si>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</si>
  <si>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</si>
  <si>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</si>
  <si>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</si>
  <si>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</si>
  <si>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</si>
  <si>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</si>
  <si>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</si>
  <si>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</si>
  <si>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</si>
  <si>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</si>
  <si>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</si>
  <si>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</si>
  <si>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</si>
  <si>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</si>
  <si>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</si>
  <si>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</si>
  <si>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</si>
  <si>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</si>
  <si>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</si>
  <si>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</si>
  <si>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</si>
  <si>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</si>
  <si>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</si>
  <si>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</si>
  <si>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</si>
  <si>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</si>
  <si>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</si>
  <si>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</si>
  <si>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</si>
  <si>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</si>
  <si>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</si>
  <si>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</si>
  <si>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</si>
  <si>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</si>
  <si>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</si>
  <si>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</si>
  <si>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</si>
  <si>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</si>
  <si>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</si>
  <si>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</si>
  <si>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</si>
  <si>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</si>
  <si>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</si>
  <si>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</si>
  <si>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</si>
  <si>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</si>
  <si>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</si>
  <si>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</si>
  <si>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</si>
  <si>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</si>
  <si>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</si>
  <si>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</si>
  <si>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</si>
  <si>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</si>
  <si>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</si>
  <si>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</si>
  <si>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</si>
  <si>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</si>
  <si>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</si>
  <si>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</si>
  <si>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</si>
  <si>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</si>
  <si>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</si>
  <si>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</si>
  <si>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</si>
  <si>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</si>
  <si>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</si>
  <si>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</si>
  <si>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</si>
  <si>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</si>
  <si>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</si>
  <si>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</si>
  <si>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</si>
  <si>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</si>
  <si>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</si>
  <si>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</si>
  <si>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</si>
  <si>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</si>
  <si>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</si>
  <si>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</si>
  <si>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</si>
  <si>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</si>
  <si>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</si>
  <si>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</si>
  <si>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</si>
  <si>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</si>
  <si>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</si>
  <si>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</si>
  <si>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</si>
  <si>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</si>
  <si>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</si>
  <si>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</si>
  <si>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</si>
  <si>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</si>
  <si>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</si>
  <si>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</si>
  <si>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</si>
  <si>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</si>
  <si>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</si>
  <si>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</si>
  <si>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</si>
  <si>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</si>
  <si>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</si>
  <si>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</si>
  <si>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</si>
  <si>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</si>
  <si>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</si>
  <si>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</si>
  <si>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</si>
  <si>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</si>
  <si>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</si>
  <si>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</si>
  <si>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</si>
  <si>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</si>
  <si>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</si>
  <si>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</si>
  <si>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</si>
  <si>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</si>
  <si>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</si>
  <si>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</si>
  <si>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</si>
  <si>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</si>
  <si>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</si>
  <si>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</si>
  <si>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</si>
  <si>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</si>
  <si>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</si>
  <si>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</si>
  <si>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</si>
  <si>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</si>
  <si>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</si>
  <si>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</si>
  <si>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</si>
  <si>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</si>
  <si>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</si>
  <si>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</si>
  <si>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</si>
  <si>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</si>
  <si>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</si>
  <si>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</si>
  <si>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</si>
  <si>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</si>
  <si>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</si>
  <si>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</si>
  <si>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</si>
  <si>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</si>
  <si>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</si>
  <si>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</si>
  <si>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</si>
  <si>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</si>
  <si>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</si>
  <si>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</si>
  <si>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</si>
  <si>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</si>
  <si>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</si>
  <si>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</si>
  <si>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</si>
  <si>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</si>
  <si>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</si>
  <si>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</si>
  <si>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</si>
  <si>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</si>
  <si>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</si>
  <si>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</si>
  <si>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</si>
  <si>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</si>
  <si>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</si>
  <si>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</si>
  <si>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</si>
  <si>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</si>
  <si>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</si>
  <si>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</si>
  <si>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</si>
  <si>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</si>
  <si>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</si>
  <si>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</si>
  <si>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</si>
  <si>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</si>
  <si>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</si>
  <si>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</si>
  <si>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</si>
  <si>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</si>
  <si>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</si>
  <si>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</si>
  <si>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</si>
  <si>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</si>
  <si>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</si>
  <si>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</si>
  <si>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</si>
  <si>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</si>
  <si>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</si>
  <si>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</si>
  <si>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</si>
  <si>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</si>
  <si>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</si>
  <si>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</si>
  <si>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</si>
  <si>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</si>
  <si>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</si>
  <si>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</si>
  <si>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</si>
  <si>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</si>
  <si>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</si>
  <si>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</si>
  <si>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</si>
  <si>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</si>
  <si>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</si>
  <si>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</si>
  <si>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</si>
  <si>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</si>
  <si>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</si>
  <si>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</si>
  <si>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</si>
  <si>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</si>
  <si>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</si>
  <si>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</si>
  <si>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</si>
  <si>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</si>
  <si>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</si>
  <si>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</si>
  <si>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</si>
  <si>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</si>
  <si>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</si>
  <si>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</si>
  <si>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</si>
  <si>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</si>
  <si>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</si>
  <si>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</si>
  <si>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</si>
  <si>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</si>
  <si>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</si>
  <si>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</si>
  <si>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</si>
  <si>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</si>
  <si>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</si>
  <si>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</si>
  <si>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</si>
  <si>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</si>
  <si>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</si>
  <si>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</si>
  <si>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</si>
  <si>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</si>
  <si>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</si>
  <si>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</si>
  <si>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</si>
  <si>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</si>
  <si>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</si>
  <si>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</si>
  <si>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</si>
  <si>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</si>
  <si>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</si>
  <si>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</si>
  <si>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</si>
  <si>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</si>
  <si>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</si>
  <si>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</si>
  <si>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</si>
  <si>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</si>
  <si>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</si>
  <si>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</si>
  <si>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</si>
  <si>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</si>
  <si>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</si>
  <si>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</si>
  <si>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</si>
  <si>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</si>
  <si>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</si>
  <si>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</si>
  <si>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</si>
  <si>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</si>
  <si>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</si>
  <si>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</si>
  <si>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</si>
  <si>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</si>
  <si>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</si>
  <si>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</si>
  <si>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</si>
  <si>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</si>
  <si>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</si>
  <si>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</si>
  <si>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</si>
  <si>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</si>
  <si>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</si>
  <si>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</si>
  <si>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</si>
  <si>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</si>
  <si>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</si>
  <si>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</si>
  <si>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</si>
  <si>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</si>
  <si>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</si>
  <si>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</si>
  <si>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</si>
  <si>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</si>
  <si>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</si>
  <si>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</si>
  <si>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</si>
  <si>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</si>
  <si>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</si>
  <si>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</si>
  <si>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</si>
  <si>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</si>
  <si>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</si>
  <si>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</si>
  <si>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</si>
  <si>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</si>
  <si>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</si>
  <si>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</si>
  <si>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</si>
  <si>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</si>
  <si>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</si>
  <si>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</si>
  <si>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</si>
  <si>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</si>
  <si>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</si>
  <si>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</si>
  <si>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</si>
  <si>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</si>
  <si>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</si>
  <si>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</si>
  <si>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</si>
  <si>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</si>
  <si>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</si>
  <si>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</si>
  <si>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</si>
  <si>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</si>
  <si>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</si>
  <si>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</si>
  <si>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</si>
  <si>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</si>
  <si>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</si>
  <si>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</si>
  <si>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</si>
  <si>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</si>
  <si>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</si>
  <si>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</si>
  <si>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</si>
  <si>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</si>
  <si>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</si>
  <si>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</si>
  <si>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</si>
  <si>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</si>
  <si>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</si>
  <si>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</si>
  <si>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</si>
  <si>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</si>
  <si>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</si>
  <si>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</si>
  <si>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</si>
  <si>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</si>
  <si>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</si>
  <si>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</si>
  <si>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</si>
  <si>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</si>
  <si>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</si>
  <si>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</si>
  <si>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</si>
  <si>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</si>
  <si>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</si>
  <si>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</si>
  <si>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</si>
  <si>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</si>
  <si>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</si>
  <si>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</si>
  <si>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</si>
  <si>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</si>
  <si>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</si>
  <si>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</si>
  <si>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</si>
  <si>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</si>
  <si>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</si>
  <si>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</si>
  <si>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</si>
  <si>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</si>
  <si>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</si>
  <si>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</si>
  <si>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</si>
  <si>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</si>
  <si>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</si>
  <si>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</si>
  <si>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</si>
  <si>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</si>
  <si>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</si>
  <si>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</si>
  <si>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</si>
  <si>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</si>
  <si>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</si>
  <si>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</si>
  <si>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</si>
  <si>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</si>
  <si>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</si>
  <si>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</si>
  <si>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</si>
  <si>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</si>
  <si>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</si>
  <si>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</si>
  <si>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</si>
  <si>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</si>
  <si>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</si>
  <si>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</si>
  <si>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</si>
  <si>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</si>
  <si>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</si>
  <si>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</si>
  <si>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</si>
  <si>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</si>
  <si>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</si>
  <si>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</si>
  <si>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</si>
  <si>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</si>
  <si>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</si>
  <si>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</si>
  <si>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</si>
  <si>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</si>
  <si>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</si>
  <si>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</si>
  <si>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</si>
  <si>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</si>
  <si>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</si>
  <si>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</si>
  <si>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</si>
  <si>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</si>
  <si>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</si>
  <si>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</si>
  <si>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</si>
  <si>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</si>
  <si>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</si>
  <si>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</si>
  <si>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</si>
  <si>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</si>
  <si>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</si>
  <si>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</si>
  <si>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</si>
  <si>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</si>
  <si>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</si>
  <si>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</si>
  <si>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</si>
  <si>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</si>
  <si>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</si>
  <si>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</si>
  <si>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</si>
  <si>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</si>
  <si>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</si>
  <si>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</si>
  <si>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</si>
  <si>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</si>
  <si>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</si>
  <si>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</si>
  <si>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</si>
  <si>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</si>
  <si>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</si>
  <si>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</si>
  <si>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</si>
  <si>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</si>
  <si>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</si>
  <si>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</si>
  <si>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</si>
  <si>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</si>
  <si>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</si>
  <si>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</si>
  <si>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</si>
  <si>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</si>
  <si>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</si>
  <si>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</si>
  <si>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</si>
  <si>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</si>
  <si>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</si>
  <si>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</si>
  <si>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</si>
  <si>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</si>
  <si>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</si>
  <si>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</si>
  <si>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</si>
  <si>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</si>
  <si>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</si>
  <si>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</si>
  <si>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</si>
  <si>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</si>
  <si>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</si>
  <si>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</si>
  <si>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</si>
  <si>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</si>
  <si>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</si>
  <si>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</si>
  <si>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</si>
  <si>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</si>
  <si>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</si>
  <si>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</si>
  <si>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</si>
  <si>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</si>
  <si>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</si>
  <si>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</si>
  <si>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</si>
  <si>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</si>
  <si>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</si>
  <si>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</si>
  <si>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</si>
  <si>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</si>
  <si>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</si>
  <si>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</si>
  <si>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</si>
  <si>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</si>
  <si>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</si>
  <si>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</si>
  <si>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</si>
  <si>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</si>
  <si>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</si>
  <si>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</si>
  <si>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</si>
  <si>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</si>
  <si>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</si>
  <si>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</si>
  <si>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</si>
  <si>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</si>
  <si>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</si>
  <si>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</si>
  <si>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</si>
  <si>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</si>
  <si>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</si>
  <si>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</si>
  <si>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</si>
  <si>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</si>
  <si>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</si>
  <si>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</si>
  <si>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</si>
  <si>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</si>
  <si>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</si>
  <si>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</si>
  <si>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</si>
  <si>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</si>
  <si>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</si>
  <si>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</si>
  <si>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</si>
  <si>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</si>
  <si>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</si>
  <si>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</si>
  <si>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</si>
  <si>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</si>
  <si>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</si>
  <si>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</si>
  <si>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</si>
  <si>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</si>
  <si>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</si>
  <si>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</si>
  <si>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</si>
  <si>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</si>
  <si>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</si>
  <si>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</si>
  <si>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</si>
  <si>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</si>
  <si>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</si>
  <si>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</si>
  <si>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</si>
  <si>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</si>
  <si>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</si>
  <si>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</si>
  <si>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</si>
  <si>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</si>
  <si>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</si>
  <si>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</si>
  <si>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</si>
  <si>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</si>
  <si>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</si>
  <si>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</si>
  <si>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</si>
  <si>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</si>
  <si>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</si>
  <si>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</si>
  <si>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</si>
  <si>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</si>
  <si>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</si>
  <si>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</si>
  <si>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</si>
  <si>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</si>
  <si>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</si>
  <si>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</si>
  <si>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</si>
  <si>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</si>
  <si>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</si>
  <si>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</si>
  <si>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</si>
  <si>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</si>
  <si>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</si>
  <si>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</si>
  <si>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</si>
  <si>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</si>
  <si>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</si>
  <si>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</si>
  <si>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</si>
  <si>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</si>
  <si>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</si>
  <si>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</si>
  <si>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</si>
  <si>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</si>
  <si>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</si>
  <si>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</si>
  <si>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</si>
  <si>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</si>
  <si>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</si>
  <si>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</si>
  <si>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</si>
  <si>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</si>
  <si>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</si>
  <si>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</si>
  <si>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</si>
  <si>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</si>
  <si>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</si>
  <si>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</si>
  <si>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</si>
  <si>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</si>
  <si>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</si>
  <si>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</si>
  <si>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</si>
  <si>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</si>
  <si>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</si>
  <si>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</si>
  <si>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</si>
  <si>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</si>
  <si>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</si>
  <si>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</si>
  <si>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</si>
  <si>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</si>
  <si>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</si>
  <si>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</si>
  <si>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</si>
  <si>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</si>
  <si>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</si>
  <si>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</si>
  <si>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</si>
  <si>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</si>
  <si>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</si>
  <si>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</si>
  <si>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</si>
  <si>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</si>
  <si>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</si>
  <si>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</si>
  <si>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</si>
  <si>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</si>
  <si>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</si>
  <si>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</si>
  <si>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</si>
  <si>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</si>
  <si>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</si>
  <si>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</si>
  <si>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</si>
  <si>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</si>
  <si>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</si>
  <si>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</si>
  <si>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</si>
  <si>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</si>
  <si>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</si>
  <si>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</si>
  <si>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</si>
  <si>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</si>
  <si>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</si>
  <si>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</si>
  <si>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</si>
  <si>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</si>
  <si>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</si>
  <si>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</si>
  <si>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</si>
  <si>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</si>
  <si>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</si>
  <si>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</si>
  <si>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</si>
  <si>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</si>
  <si>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</si>
  <si>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</si>
  <si>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</si>
  <si>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</si>
  <si>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</si>
  <si>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</si>
  <si>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</si>
  <si>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</si>
  <si>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</si>
  <si>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</si>
  <si>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</si>
  <si>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</si>
  <si>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</si>
  <si>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</si>
  <si>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</si>
  <si>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</si>
  <si>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</si>
  <si>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</si>
  <si>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</si>
  <si>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</si>
  <si>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</si>
  <si>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</si>
  <si>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</si>
  <si>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</si>
  <si>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</si>
  <si>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</si>
  <si>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</si>
  <si>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</si>
  <si>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</si>
  <si>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</si>
  <si>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</si>
  <si>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</si>
  <si>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</si>
  <si>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</si>
  <si>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</si>
  <si>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</si>
  <si>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</si>
  <si>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</si>
  <si>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</si>
  <si>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</si>
  <si>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</si>
  <si>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</si>
  <si>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</si>
  <si>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</si>
  <si>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</si>
  <si>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</si>
  <si>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</si>
  <si>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</si>
  <si>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</si>
  <si>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</si>
  <si>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</si>
  <si>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</si>
  <si>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</si>
  <si>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</si>
  <si>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</si>
  <si>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</si>
  <si>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</si>
  <si>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</si>
  <si>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</si>
  <si>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</si>
  <si>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</si>
  <si>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</si>
  <si>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</si>
  <si>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</si>
  <si>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</si>
  <si>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</si>
  <si>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</si>
  <si>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</si>
  <si>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</si>
  <si>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</si>
  <si>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</si>
  <si>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</si>
  <si>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</si>
  <si>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</si>
  <si>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</si>
  <si>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</si>
  <si>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</si>
  <si>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</si>
  <si>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</si>
  <si>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</si>
  <si>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</si>
  <si>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</si>
  <si>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</si>
  <si>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</si>
  <si>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</si>
  <si>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</si>
  <si>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</si>
  <si>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</si>
  <si>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</si>
  <si>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</si>
  <si>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</si>
  <si>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</si>
  <si>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</si>
  <si>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</si>
  <si>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</si>
  <si>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</si>
  <si>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</si>
  <si>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房地产市场价值</t>
  </si>
  <si>
    <t>北京市</t>
  </si>
  <si>
    <t>序号</t>
    <phoneticPr fontId="134" type="noConversion"/>
  </si>
  <si>
    <t>楼号</t>
    <phoneticPr fontId="134" type="noConversion"/>
  </si>
  <si>
    <t>物业地址</t>
    <phoneticPr fontId="134" type="noConversion"/>
  </si>
  <si>
    <t>建筑面积（平方米）</t>
    <phoneticPr fontId="134" type="noConversion"/>
  </si>
  <si>
    <t>规划用途</t>
    <phoneticPr fontId="134" type="noConversion"/>
  </si>
  <si>
    <t>通州宋庄镇</t>
    <phoneticPr fontId="134" type="noConversion"/>
  </si>
  <si>
    <t>16#增配商业</t>
    <phoneticPr fontId="134" type="noConversion"/>
  </si>
  <si>
    <t>楼层</t>
    <phoneticPr fontId="134" type="noConversion"/>
  </si>
  <si>
    <t>-2</t>
    <phoneticPr fontId="134" type="noConversion"/>
  </si>
  <si>
    <t>-1</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</si>
  <si>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</si>
  <si>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</si>
  <si>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</si>
  <si>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</si>
  <si>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</si>
  <si>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</si>
  <si>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</si>
  <si>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库房</t>
    <phoneticPr fontId="134" type="noConversion"/>
  </si>
  <si>
    <t>设备机房</t>
    <phoneticPr fontId="134" type="noConversion"/>
  </si>
  <si>
    <t>1</t>
    <phoneticPr fontId="134" type="noConversion"/>
  </si>
  <si>
    <t>公共服务配套</t>
  </si>
  <si>
    <t>公共服务配套</t>
    <phoneticPr fontId="134" type="noConversion"/>
  </si>
  <si>
    <t>17#增配商业</t>
    <phoneticPr fontId="134" type="noConversion"/>
  </si>
  <si>
    <t>通州宋庄镇</t>
    <phoneticPr fontId="134" type="noConversion"/>
  </si>
  <si>
    <t>17#增配商业</t>
    <phoneticPr fontId="134" type="noConversion"/>
  </si>
  <si>
    <t>18#增配商业</t>
    <phoneticPr fontId="134" type="noConversion"/>
  </si>
  <si>
    <t>7</t>
    <phoneticPr fontId="134" type="noConversion"/>
  </si>
  <si>
    <t>现场勘察</t>
    <phoneticPr fontId="134" type="noConversion"/>
  </si>
  <si>
    <t>19#增配商业</t>
    <phoneticPr fontId="134" type="noConversion"/>
  </si>
  <si>
    <t>20#增配商业</t>
    <phoneticPr fontId="134" type="noConversion"/>
  </si>
  <si>
    <t>-3</t>
    <phoneticPr fontId="134" type="noConversion"/>
  </si>
  <si>
    <t>21#增配商业</t>
    <phoneticPr fontId="134" type="noConversion"/>
  </si>
  <si>
    <t>22#增配商业</t>
    <phoneticPr fontId="134" type="noConversion"/>
  </si>
  <si>
    <t>托老所</t>
    <phoneticPr fontId="134" type="noConversion"/>
  </si>
  <si>
    <t>社区助残服务中心、老年活动站</t>
    <phoneticPr fontId="134" type="noConversion"/>
  </si>
  <si>
    <t>游泳池、健身中心</t>
    <phoneticPr fontId="134" type="noConversion"/>
  </si>
  <si>
    <t>增配商业</t>
    <phoneticPr fontId="134" type="noConversion"/>
  </si>
  <si>
    <t>公共服务配套、增配商业</t>
    <phoneticPr fontId="134" type="noConversion"/>
  </si>
  <si>
    <t>20#增配商业</t>
    <phoneticPr fontId="134" type="noConversion"/>
  </si>
  <si>
    <t>2</t>
    <phoneticPr fontId="134" type="noConversion"/>
  </si>
  <si>
    <t>增配商业</t>
    <phoneticPr fontId="134" type="noConversion"/>
  </si>
  <si>
    <t>3</t>
    <phoneticPr fontId="134" type="noConversion"/>
  </si>
  <si>
    <t>4</t>
    <phoneticPr fontId="134" type="noConversion"/>
  </si>
  <si>
    <t>5</t>
    <phoneticPr fontId="134" type="noConversion"/>
  </si>
  <si>
    <t>6</t>
    <phoneticPr fontId="134" type="noConversion"/>
  </si>
  <si>
    <t>屋面附属用房</t>
    <phoneticPr fontId="134" type="noConversion"/>
  </si>
  <si>
    <t>公共服务配套</t>
    <phoneticPr fontId="134" type="noConversion"/>
  </si>
  <si>
    <t>设备机房</t>
    <phoneticPr fontId="134" type="noConversion"/>
  </si>
  <si>
    <t>增配商业</t>
    <phoneticPr fontId="134" type="noConversion"/>
  </si>
  <si>
    <t>菜市场、社区管理服务、社区卫生服务</t>
    <phoneticPr fontId="134" type="noConversion"/>
  </si>
  <si>
    <t>编号</t>
    <phoneticPr fontId="134" type="noConversion"/>
  </si>
  <si>
    <t>22#增配商业</t>
    <phoneticPr fontId="134" type="noConversion"/>
  </si>
  <si>
    <t>22#小计</t>
    <phoneticPr fontId="134" type="noConversion"/>
  </si>
  <si>
    <t>21#小计</t>
    <phoneticPr fontId="134" type="noConversion"/>
  </si>
  <si>
    <t>20#小计</t>
    <phoneticPr fontId="134" type="noConversion"/>
  </si>
  <si>
    <t>19#小计</t>
    <phoneticPr fontId="134" type="noConversion"/>
  </si>
  <si>
    <t>18#小计</t>
    <phoneticPr fontId="134" type="noConversion"/>
  </si>
  <si>
    <t>17#小计</t>
    <phoneticPr fontId="134" type="noConversion"/>
  </si>
  <si>
    <t>16#小计</t>
    <phoneticPr fontId="134" type="noConversion"/>
  </si>
  <si>
    <t>北区地下车库</t>
    <phoneticPr fontId="134" type="noConversion"/>
  </si>
  <si>
    <t>其他</t>
    <phoneticPr fontId="134" type="noConversion"/>
  </si>
  <si>
    <t>公共服务设施</t>
    <phoneticPr fontId="134" type="noConversion"/>
  </si>
  <si>
    <t>设备用房</t>
    <phoneticPr fontId="134" type="noConversion"/>
  </si>
  <si>
    <t>-1至-3</t>
    <phoneticPr fontId="134" type="noConversion"/>
  </si>
  <si>
    <t>北区地下车库小计</t>
    <phoneticPr fontId="134" type="noConversion"/>
  </si>
  <si>
    <t>机动车库</t>
    <phoneticPr fontId="134" type="noConversion"/>
  </si>
  <si>
    <t>出入口、机动车坡道</t>
    <phoneticPr fontId="134" type="noConversion"/>
  </si>
  <si>
    <t>人防面积</t>
    <phoneticPr fontId="134" type="noConversion"/>
  </si>
  <si>
    <t>南区地下车库</t>
    <phoneticPr fontId="134" type="noConversion"/>
  </si>
  <si>
    <t>可做商业</t>
    <phoneticPr fontId="134" type="noConversion"/>
  </si>
  <si>
    <t>整栋办公</t>
    <phoneticPr fontId="134" type="noConversion"/>
  </si>
  <si>
    <t>库房</t>
    <phoneticPr fontId="134" type="noConversion"/>
  </si>
  <si>
    <t>办公</t>
    <phoneticPr fontId="134" type="noConversion"/>
  </si>
  <si>
    <t>——</t>
    <phoneticPr fontId="134" type="noConversion"/>
  </si>
  <si>
    <t>地下车库</t>
    <phoneticPr fontId="134" type="noConversion"/>
  </si>
  <si>
    <t>商业</t>
    <phoneticPr fontId="30" type="noConversion"/>
  </si>
  <si>
    <t>正常</t>
  </si>
  <si>
    <t>报价</t>
  </si>
  <si>
    <t>报价</t>
    <phoneticPr fontId="30" type="noConversion"/>
  </si>
  <si>
    <t>较差</t>
  </si>
  <si>
    <t>较好</t>
  </si>
  <si>
    <t>一般</t>
  </si>
  <si>
    <t>社区配套</t>
  </si>
  <si>
    <t>社区配套</t>
    <phoneticPr fontId="30" type="noConversion"/>
  </si>
  <si>
    <t>独立商业</t>
    <phoneticPr fontId="30" type="noConversion"/>
  </si>
  <si>
    <t>高速路</t>
    <phoneticPr fontId="3" type="noConversion"/>
  </si>
  <si>
    <t>快速路</t>
    <phoneticPr fontId="3" type="noConversion"/>
  </si>
  <si>
    <t>主干道</t>
    <phoneticPr fontId="3" type="noConversion"/>
  </si>
  <si>
    <t>次干道</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</si>
  <si>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</si>
  <si>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</si>
  <si>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</si>
  <si>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</si>
  <si>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</si>
  <si>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</si>
  <si>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</si>
  <si>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</si>
  <si>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</si>
  <si>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</si>
  <si>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</si>
  <si>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</si>
  <si>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</si>
  <si>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</si>
  <si>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多面临街</t>
  </si>
  <si>
    <t>双面临街</t>
  </si>
  <si>
    <t>单面临街</t>
  </si>
  <si>
    <t>不临街</t>
    <phoneticPr fontId="30" type="noConversion"/>
  </si>
  <si>
    <t>好</t>
  </si>
  <si>
    <t>大</t>
  </si>
  <si>
    <t>较大</t>
  </si>
  <si>
    <r>
      <rPr>
        <sz val="11"/>
        <color rgb="FF000000"/>
        <rFont val="Arial"/>
        <family val="2"/>
      </rPr>
      <t>1</t>
    </r>
    <r>
      <rPr>
        <sz val="11"/>
        <color rgb="FF000000"/>
        <rFont val="宋体"/>
        <family val="3"/>
        <charset val="134"/>
      </rPr>
      <t>层</t>
    </r>
  </si>
  <si>
    <t>钢混</t>
  </si>
  <si>
    <t>混合</t>
  </si>
  <si>
    <t>全业态</t>
  </si>
  <si>
    <t>不可餐饮</t>
  </si>
  <si>
    <t>精装</t>
  </si>
  <si>
    <t>普装</t>
  </si>
  <si>
    <t>简装</t>
  </si>
  <si>
    <t>毛坯</t>
  </si>
  <si>
    <t>超高</t>
  </si>
  <si>
    <t>标准</t>
    <phoneticPr fontId="30" type="noConversion"/>
  </si>
  <si>
    <t>项目内外</t>
    <phoneticPr fontId="31" type="noConversion"/>
  </si>
  <si>
    <t>项目外</t>
    <phoneticPr fontId="31" type="noConversion"/>
  </si>
  <si>
    <t>项目内</t>
    <phoneticPr fontId="31" type="noConversion"/>
  </si>
  <si>
    <t>次干道</t>
  </si>
  <si>
    <t>次干道-通怀路</t>
    <phoneticPr fontId="24" type="noConversion"/>
  </si>
  <si>
    <t>七通</t>
  </si>
  <si>
    <t>较好</t>
    <phoneticPr fontId="30" type="noConversion"/>
  </si>
  <si>
    <t>较小</t>
  </si>
  <si>
    <t>较小</t>
    <phoneticPr fontId="30" type="noConversion"/>
  </si>
  <si>
    <t>1层</t>
  </si>
  <si>
    <t>六通</t>
  </si>
  <si>
    <t>项目类型</t>
  </si>
  <si>
    <t>商业</t>
    <phoneticPr fontId="3" type="noConversion"/>
  </si>
  <si>
    <t>办公</t>
    <phoneticPr fontId="3" type="noConversion"/>
  </si>
  <si>
    <t>仓储</t>
    <phoneticPr fontId="3" type="noConversion"/>
  </si>
  <si>
    <t>地上</t>
  </si>
  <si>
    <t>地下</t>
  </si>
  <si>
    <t>单套模式</t>
  </si>
  <si>
    <t>租金</t>
  </si>
  <si>
    <t>主干道</t>
  </si>
  <si>
    <t>标准写字楼</t>
    <phoneticPr fontId="31" type="noConversion"/>
  </si>
  <si>
    <t>非标准写字楼</t>
    <phoneticPr fontId="31" type="noConversion"/>
  </si>
  <si>
    <t>专业</t>
  </si>
  <si>
    <t>专业</t>
    <phoneticPr fontId="31" type="noConversion"/>
  </si>
  <si>
    <t>五通</t>
  </si>
  <si>
    <t>报价</t>
    <phoneticPr fontId="31" type="noConversion"/>
  </si>
  <si>
    <t>内部装修</t>
    <phoneticPr fontId="3"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</si>
  <si>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</si>
  <si>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</si>
  <si>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2层</t>
  </si>
  <si>
    <t>租金</t>
    <phoneticPr fontId="134" type="noConversion"/>
  </si>
  <si>
    <t>16#增配商业</t>
  </si>
  <si>
    <t>18#增配商业</t>
  </si>
  <si>
    <t>对外营业</t>
  </si>
  <si>
    <t>对外营业</t>
    <phoneticPr fontId="3" type="noConversion"/>
  </si>
  <si>
    <t>对外</t>
  </si>
  <si>
    <t>对外</t>
    <phoneticPr fontId="24" type="noConversion"/>
  </si>
  <si>
    <t>对内</t>
  </si>
  <si>
    <t>对内</t>
    <phoneticPr fontId="24" type="noConversion"/>
  </si>
  <si>
    <t>对外</t>
    <phoneticPr fontId="30" type="noConversion"/>
  </si>
  <si>
    <t>对内</t>
    <phoneticPr fontId="30" type="noConversion"/>
  </si>
  <si>
    <t>一般</t>
    <phoneticPr fontId="30" type="noConversion"/>
  </si>
  <si>
    <t>较差</t>
    <phoneticPr fontId="30" type="noConversion"/>
  </si>
  <si>
    <t>仓储</t>
    <phoneticPr fontId="31" type="noConversion"/>
  </si>
  <si>
    <t>专业</t>
    <phoneticPr fontId="31" type="noConversion"/>
  </si>
  <si>
    <t>有</t>
  </si>
  <si>
    <t>有</t>
    <phoneticPr fontId="31" type="noConversion"/>
  </si>
  <si>
    <t>无</t>
    <phoneticPr fontId="31" type="noConversion"/>
  </si>
  <si>
    <t>武夷花园</t>
    <phoneticPr fontId="3" type="noConversion"/>
  </si>
  <si>
    <t>通典铭居</t>
    <phoneticPr fontId="3" type="noConversion"/>
  </si>
  <si>
    <t>合生滨江帝景</t>
    <phoneticPr fontId="3" type="noConversion"/>
  </si>
  <si>
    <t>地下</t>
    <phoneticPr fontId="31" type="noConversion"/>
  </si>
  <si>
    <t>通州宋庄镇</t>
    <phoneticPr fontId="134" type="noConversion"/>
  </si>
  <si>
    <t>物业管理用房、公共厕所</t>
    <phoneticPr fontId="134" type="noConversion"/>
  </si>
  <si>
    <t>增配商业、小型商服、</t>
    <phoneticPr fontId="134" type="noConversion"/>
  </si>
  <si>
    <t>车位数</t>
  </si>
  <si>
    <t>北区</t>
  </si>
  <si>
    <t>南区</t>
  </si>
  <si>
    <t>B1</t>
  </si>
  <si>
    <t>B2</t>
  </si>
  <si>
    <t>B3</t>
  </si>
  <si>
    <t>人防区</t>
  </si>
  <si>
    <t>/</t>
  </si>
  <si>
    <t>非人防区</t>
  </si>
  <si>
    <t>各层合计</t>
  </si>
  <si>
    <t>各区合计</t>
  </si>
  <si>
    <t>总计</t>
  </si>
  <si>
    <t>车库</t>
    <phoneticPr fontId="31" type="noConversion"/>
  </si>
  <si>
    <t>地下</t>
    <phoneticPr fontId="31"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</si>
  <si>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</si>
  <si>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</si>
  <si>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</si>
  <si>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</si>
  <si>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</si>
  <si>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平面</t>
    <phoneticPr fontId="3" type="noConversion"/>
  </si>
  <si>
    <t>是</t>
    <phoneticPr fontId="3" type="noConversion"/>
  </si>
  <si>
    <t>否</t>
    <phoneticPr fontId="3" type="noConversion"/>
  </si>
  <si>
    <t>金隅自由筑</t>
    <phoneticPr fontId="3" type="noConversion"/>
  </si>
  <si>
    <t>平面</t>
  </si>
  <si>
    <t>否</t>
  </si>
  <si>
    <t>普通装修</t>
  </si>
  <si>
    <t>潞苑东路40号院</t>
    <phoneticPr fontId="3" type="noConversion"/>
  </si>
  <si>
    <t>售价</t>
  </si>
  <si>
    <t>香林郡</t>
    <phoneticPr fontId="3" type="noConversion"/>
  </si>
  <si>
    <t>新通国际花园</t>
    <phoneticPr fontId="3" type="noConversion"/>
  </si>
  <si>
    <t>新潮嘉园</t>
    <phoneticPr fontId="3" type="noConversion"/>
  </si>
  <si>
    <t>利用率</t>
    <phoneticPr fontId="30" type="noConversion"/>
  </si>
  <si>
    <t>商铺位置</t>
    <phoneticPr fontId="30" type="noConversion"/>
  </si>
  <si>
    <t>一般</t>
    <phoneticPr fontId="30" type="noConversion"/>
  </si>
  <si>
    <t>较高</t>
    <phoneticPr fontId="30" type="noConversion"/>
  </si>
  <si>
    <t>内铺</t>
    <phoneticPr fontId="30" type="noConversion"/>
  </si>
  <si>
    <t>外铺</t>
    <phoneticPr fontId="30" type="noConversion"/>
  </si>
  <si>
    <t>较高</t>
    <phoneticPr fontId="30" type="noConversion"/>
  </si>
  <si>
    <t>一般</t>
    <phoneticPr fontId="30" type="noConversion"/>
  </si>
  <si>
    <t>外铺</t>
    <phoneticPr fontId="30" type="noConversion"/>
  </si>
  <si>
    <t>内铺</t>
    <phoneticPr fontId="30" type="noConversion"/>
  </si>
  <si>
    <t>评估项目明细表</t>
  </si>
  <si>
    <t>项目名称</t>
  </si>
  <si>
    <t>位置</t>
  </si>
  <si>
    <t>商业类型</t>
  </si>
  <si>
    <t>楼号/房号</t>
  </si>
  <si>
    <t>业态</t>
  </si>
  <si>
    <t>建筑面积（平方米）</t>
    <phoneticPr fontId="3" type="noConversion"/>
  </si>
  <si>
    <t>建筑总面积</t>
    <phoneticPr fontId="3" type="noConversion"/>
  </si>
  <si>
    <t>项目位置及面积依据</t>
  </si>
  <si>
    <t>备注</t>
    <phoneticPr fontId="3" type="noConversion"/>
  </si>
  <si>
    <t>丁各庄项目</t>
    <phoneticPr fontId="3" type="noConversion"/>
  </si>
  <si>
    <t>通州区宋庄镇</t>
    <phoneticPr fontId="3" type="noConversion"/>
  </si>
  <si>
    <t>增配商业</t>
    <phoneticPr fontId="3" type="noConversion"/>
  </si>
  <si>
    <t>16#增配商业</t>
    <phoneticPr fontId="3" type="noConversion"/>
  </si>
  <si>
    <t>地上增配商业（办公）</t>
    <phoneticPr fontId="3" type="noConversion"/>
  </si>
  <si>
    <t>房屋面积测算技术报告书</t>
    <phoneticPr fontId="3" type="noConversion"/>
  </si>
  <si>
    <t>地上公共服务配套</t>
    <phoneticPr fontId="3" type="noConversion"/>
  </si>
  <si>
    <t>1#变配电室</t>
    <phoneticPr fontId="3" type="noConversion"/>
  </si>
  <si>
    <t>地下设备机房</t>
    <phoneticPr fontId="3" type="noConversion"/>
  </si>
  <si>
    <t>地下丙2类库房</t>
    <phoneticPr fontId="3" type="noConversion"/>
  </si>
  <si>
    <t>增配商业</t>
    <phoneticPr fontId="3" type="noConversion"/>
  </si>
  <si>
    <t>17#增配商业</t>
    <phoneticPr fontId="3" type="noConversion"/>
  </si>
  <si>
    <t>地上增配商业（办公）</t>
    <phoneticPr fontId="3" type="noConversion"/>
  </si>
  <si>
    <t>房屋面积测算技术报告书</t>
    <phoneticPr fontId="3" type="noConversion"/>
  </si>
  <si>
    <t>其中含公共服务配套（17#变配电室）</t>
    <phoneticPr fontId="3" type="noConversion"/>
  </si>
  <si>
    <t>地下设备机房</t>
    <phoneticPr fontId="3" type="noConversion"/>
  </si>
  <si>
    <t>地下丙2类库房</t>
    <phoneticPr fontId="3" type="noConversion"/>
  </si>
  <si>
    <t>19#增配商业</t>
    <phoneticPr fontId="3" type="noConversion"/>
  </si>
  <si>
    <t>20#增配商业</t>
    <phoneticPr fontId="3" type="noConversion"/>
  </si>
  <si>
    <t>地上公共服务配套</t>
    <phoneticPr fontId="3" type="noConversion"/>
  </si>
  <si>
    <t>3#变配电室</t>
    <phoneticPr fontId="3" type="noConversion"/>
  </si>
  <si>
    <t>地下设备机房</t>
    <phoneticPr fontId="3" type="noConversion"/>
  </si>
  <si>
    <t>地下丙2类库房</t>
    <phoneticPr fontId="3" type="noConversion"/>
  </si>
  <si>
    <t>居住公服、增配商业</t>
    <phoneticPr fontId="3" type="noConversion"/>
  </si>
  <si>
    <t>21#居住公服、增配商业</t>
  </si>
  <si>
    <t>增配商业</t>
    <phoneticPr fontId="3" type="noConversion"/>
  </si>
  <si>
    <t>地下公共服务配套</t>
    <phoneticPr fontId="3" type="noConversion"/>
  </si>
  <si>
    <t>22#居住公服</t>
    <phoneticPr fontId="3" type="noConversion"/>
  </si>
  <si>
    <t>商业合计：45702.239㎡</t>
    <phoneticPr fontId="3" type="noConversion"/>
  </si>
  <si>
    <t>房屋面积测算技术报告书</t>
  </si>
  <si>
    <t>房屋面积测算技术报告书</t>
    <phoneticPr fontId="3" type="noConversion"/>
  </si>
  <si>
    <t>房屋面积测算技术报告书</t>
    <phoneticPr fontId="134" type="noConversion"/>
  </si>
  <si>
    <t>地上公共服务配套</t>
    <phoneticPr fontId="134" type="noConversion"/>
  </si>
  <si>
    <t>——</t>
    <phoneticPr fontId="3" type="noConversion"/>
  </si>
  <si>
    <t>分用途租金</t>
    <phoneticPr fontId="3" type="noConversion"/>
  </si>
  <si>
    <t>折合到整栋租金</t>
    <phoneticPr fontId="3" type="noConversion"/>
  </si>
  <si>
    <t>整层</t>
    <phoneticPr fontId="31" type="noConversion"/>
  </si>
  <si>
    <t>整栋</t>
    <phoneticPr fontId="31" type="noConversion"/>
  </si>
  <si>
    <t>现状利用受限</t>
  </si>
  <si>
    <t>现状利用受限</t>
    <phoneticPr fontId="31" type="noConversion"/>
  </si>
  <si>
    <t>否</t>
    <phoneticPr fontId="31" type="noConversion"/>
  </si>
  <si>
    <t>是</t>
    <phoneticPr fontId="31" type="noConversion"/>
  </si>
  <si>
    <t>否</t>
    <phoneticPr fontId="31" type="noConversion"/>
  </si>
  <si>
    <t>否</t>
    <phoneticPr fontId="24" type="noConversion"/>
  </si>
  <si>
    <t>现状办公</t>
  </si>
  <si>
    <t>现状办公</t>
    <phoneticPr fontId="31" type="noConversion"/>
  </si>
  <si>
    <t>是（实际利用）</t>
  </si>
  <si>
    <t>是（实际利用）</t>
    <phoneticPr fontId="24" type="noConversion"/>
  </si>
  <si>
    <t>金融街园中园</t>
    <phoneticPr fontId="3" type="noConversion"/>
  </si>
  <si>
    <t>估价对象周边有金融街园中园、米尔大厦、西典大厦等一定数量的办公楼项目，入驻率一般，办公集聚程度较好</t>
    <phoneticPr fontId="31" type="noConversion"/>
  </si>
  <si>
    <t>估价对象周边有永顺镇商务园、搜狗大厦、西典大厦等一定数量的办公楼项目，入驻率一般，办公集聚程度较好</t>
    <phoneticPr fontId="31" type="noConversion"/>
  </si>
  <si>
    <r>
      <rPr>
        <sz val="11"/>
        <rFont val="宋体"/>
        <family val="3"/>
        <charset val="134"/>
      </rPr>
      <t>估价对象周边道路状况、公共交通通达情况</t>
    </r>
    <r>
      <rPr>
        <sz val="11"/>
        <rFont val="Arial"/>
        <family val="2"/>
      </rPr>
      <t>T8</t>
    </r>
    <r>
      <rPr>
        <sz val="11"/>
        <rFont val="宋体"/>
        <family val="3"/>
        <charset val="134"/>
      </rPr>
      <t>、专</t>
    </r>
    <r>
      <rPr>
        <sz val="11"/>
        <rFont val="Arial"/>
        <family val="2"/>
      </rPr>
      <t>158</t>
    </r>
    <r>
      <rPr>
        <sz val="11"/>
        <rFont val="宋体"/>
        <family val="3"/>
        <charset val="134"/>
      </rPr>
      <t>等、及地铁</t>
    </r>
    <r>
      <rPr>
        <sz val="11"/>
        <rFont val="Arial"/>
        <family val="2"/>
      </rPr>
      <t>6</t>
    </r>
    <r>
      <rPr>
        <sz val="11"/>
        <rFont val="宋体"/>
        <family val="3"/>
        <charset val="134"/>
      </rPr>
      <t>号线经过，停车便捷程度较好，综合评价交通便捷度一般</t>
    </r>
    <phoneticPr fontId="31" type="noConversion"/>
  </si>
  <si>
    <t>所在区域有银行（中国工商银行北京物资学院支行等），购物场所（润鹏超市、新城易购超市等），医院（北京市通州区永顺镇邓家窑社区卫生服务站），学校（北京工商大学嘉华学院、十一学校通州实验学校等），餐饮等公共配套设施，综合确定公共配套设施齐备度一般</t>
    <phoneticPr fontId="31" type="noConversion"/>
  </si>
  <si>
    <t>估价对象周边有步长国际、米尔大厦、西典大厦等一定数量的办公楼项目，入驻率一般，办公集聚程度一般</t>
    <phoneticPr fontId="31" type="noConversion"/>
  </si>
  <si>
    <t>——</t>
    <phoneticPr fontId="3" type="noConversion"/>
  </si>
  <si>
    <r>
      <t>地上公共服务配套包括社区管理服务用房建筑面积369.61平方米、社区卫生服务站186.05平方米、菜市场
332.28平方米、物业管理用房489.66平方米、公共厕所79.98平方米、小型商服278.96平方米。</t>
    </r>
    <r>
      <rPr>
        <sz val="12"/>
        <color rgb="FFFF0000"/>
        <rFont val="华文细黑"/>
        <family val="3"/>
        <charset val="134"/>
      </rPr>
      <t>其中社区管理服务用房、社区卫生服务站、公共厕所均需移交政府。</t>
    </r>
    <phoneticPr fontId="3" type="noConversion"/>
  </si>
  <si>
    <t>地上公共服务配套</t>
    <phoneticPr fontId="3" type="noConversion"/>
  </si>
  <si>
    <r>
      <t>地上公共服务设施包括老年活动站441.60平方米，社区助残服务中心346.29平方米，托老所995.41平方米。</t>
    </r>
    <r>
      <rPr>
        <sz val="12"/>
        <color rgb="FFFF0000"/>
        <rFont val="华文细黑"/>
        <family val="3"/>
        <charset val="134"/>
      </rPr>
      <t>此部分均需移交政府。</t>
    </r>
    <phoneticPr fontId="3" type="noConversion"/>
  </si>
  <si>
    <t>地上</t>
    <phoneticPr fontId="24" type="noConversion"/>
  </si>
  <si>
    <t>地下</t>
    <phoneticPr fontId="24" type="noConversion"/>
  </si>
  <si>
    <t>7</t>
    <phoneticPr fontId="24" type="noConversion"/>
  </si>
  <si>
    <r>
      <t>地上公共服务配套</t>
    </r>
    <r>
      <rPr>
        <sz val="12"/>
        <color rgb="FFFF0000"/>
        <rFont val="华文细黑"/>
        <family val="3"/>
        <charset val="134"/>
      </rPr>
      <t>（社区管理服务用房、社区卫生服务站、公共厕所均需移交政府。）</t>
    </r>
    <phoneticPr fontId="3" type="noConversion"/>
  </si>
  <si>
    <r>
      <t xml:space="preserve">地上居住公服
</t>
    </r>
    <r>
      <rPr>
        <sz val="12"/>
        <color rgb="FFFF0000"/>
        <rFont val="华文细黑"/>
        <family val="3"/>
        <charset val="134"/>
      </rPr>
      <t>（整栋均需移交政府）</t>
    </r>
    <phoneticPr fontId="3" type="noConversion"/>
  </si>
  <si>
    <t>16#楼小计</t>
    <phoneticPr fontId="134" type="noConversion"/>
  </si>
  <si>
    <t>17#楼小计</t>
    <phoneticPr fontId="134" type="noConversion"/>
  </si>
  <si>
    <t>18#楼小计</t>
    <phoneticPr fontId="134" type="noConversion"/>
  </si>
  <si>
    <t>19#楼小计</t>
    <phoneticPr fontId="134" type="noConversion"/>
  </si>
  <si>
    <t>20#楼小计</t>
    <phoneticPr fontId="134" type="noConversion"/>
  </si>
  <si>
    <t>21#楼小计</t>
    <phoneticPr fontId="134" type="noConversion"/>
  </si>
  <si>
    <t>合计</t>
    <phoneticPr fontId="134" type="noConversion"/>
  </si>
  <si>
    <t>库房、设备机房</t>
    <phoneticPr fontId="134" type="noConversion"/>
  </si>
  <si>
    <t>增配商业、公共服务配套</t>
    <phoneticPr fontId="134" type="noConversion"/>
  </si>
  <si>
    <t>公共服务配套、设备机房</t>
    <phoneticPr fontId="134" type="noConversion"/>
  </si>
  <si>
    <t>增配商业、菜市场、社区管理服务、社区卫生服务</t>
    <phoneticPr fontId="134" type="noConversion"/>
  </si>
  <si>
    <t>增配商业、小型商服、物业管理用房、公共厕所</t>
    <phoneticPr fontId="134" type="noConversion"/>
  </si>
  <si>
    <t>总楼层</t>
    <phoneticPr fontId="134" type="noConversion"/>
  </si>
  <si>
    <t>6（-3）</t>
    <phoneticPr fontId="134" type="noConversion"/>
  </si>
  <si>
    <t>库房、设备机房</t>
    <phoneticPr fontId="134" type="noConversion"/>
  </si>
  <si>
    <t>增配商业、公共服务配套</t>
    <phoneticPr fontId="134" type="noConversion"/>
  </si>
  <si>
    <t>库房、设备机房、增配商业、公共服务配套</t>
    <phoneticPr fontId="134" type="noConversion"/>
  </si>
  <si>
    <t>7（-3）</t>
    <phoneticPr fontId="134" type="noConversion"/>
  </si>
  <si>
    <t>6（-2）</t>
    <phoneticPr fontId="134" type="noConversion"/>
  </si>
  <si>
    <t>库房、设备机房、增配商业</t>
    <phoneticPr fontId="134" type="noConversion"/>
  </si>
  <si>
    <t>19#增配商业</t>
  </si>
  <si>
    <t>20#增配商业</t>
  </si>
  <si>
    <t>21#增配商业</t>
  </si>
  <si>
    <t>合计</t>
    <phoneticPr fontId="134" type="noConversion"/>
  </si>
  <si>
    <r>
      <t>租金水平（元</t>
    </r>
    <r>
      <rPr>
        <b/>
        <sz val="9"/>
        <color theme="1"/>
        <rFont val="Arial"/>
        <family val="2"/>
      </rPr>
      <t>/</t>
    </r>
    <r>
      <rPr>
        <b/>
        <sz val="9"/>
        <color theme="1"/>
        <rFont val="华文细黑"/>
        <family val="3"/>
        <charset val="134"/>
      </rPr>
      <t>天</t>
    </r>
    <r>
      <rPr>
        <b/>
        <sz val="9"/>
        <color theme="1"/>
        <rFont val="Arial"/>
        <family val="2"/>
      </rPr>
      <t>•</t>
    </r>
    <r>
      <rPr>
        <b/>
        <sz val="9"/>
        <color theme="1"/>
        <rFont val="华文细黑"/>
        <family val="3"/>
        <charset val="134"/>
      </rPr>
      <t>㎡）</t>
    </r>
    <phoneticPr fontId="134" type="noConversion"/>
  </si>
  <si>
    <r>
      <t>浮动±</t>
    </r>
    <r>
      <rPr>
        <b/>
        <sz val="9"/>
        <color theme="1"/>
        <rFont val="Arial"/>
        <family val="2"/>
      </rPr>
      <t>10%</t>
    </r>
    <r>
      <rPr>
        <b/>
        <sz val="9"/>
        <color theme="1"/>
        <rFont val="华文细黑"/>
        <family val="3"/>
        <charset val="134"/>
      </rPr>
      <t>范围</t>
    </r>
    <phoneticPr fontId="134" type="noConversion"/>
  </si>
  <si>
    <t>估价对象位于丁各庄，为住宅配套项目，周边商业氛围成熟度较差，人流量较小，商业繁华度较差</t>
    <phoneticPr fontId="24" type="noConversion"/>
  </si>
  <si>
    <t>估价对象周边道路状况、公共交通通达情况808、809等、停车便捷程度较好，综合评价交通便捷度一般</t>
    <phoneticPr fontId="40" type="noConversion"/>
  </si>
  <si>
    <t>估价对象位于丁各庄，为住宅配套项目，周边办公楼项目较少，入驻率较低，办公集聚程度较差</t>
    <phoneticPr fontId="24" type="noConversion"/>
  </si>
  <si>
    <t>区域自然环境：潞城中心公园；人文环境：工商大学嘉华学院；综合评价环境状况一般</t>
    <phoneticPr fontId="40" type="noConversion"/>
  </si>
  <si>
    <t>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t>
    <phoneticPr fontId="40" type="noConversion"/>
  </si>
  <si>
    <t>紫光科技园</t>
    <phoneticPr fontId="3" type="noConversion"/>
  </si>
  <si>
    <t>步长国际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</si>
</sst>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
      <sz val="11"/>
      <color rgb="FF000000"/>
      <name val="Arial"/>
      <family val="2"/>
    </font>
    <font>
      <b/>
      <sz val="10"/>
      <color theme="1"/>
      <name val="华文细黑"/>
      <family val="3"/>
      <charset val="134"/>
    </font>
    <font>
      <sz val="12"/>
      <name val="华文细黑"/>
      <family val="3"/>
      <charset val="134"/>
    </font>
    <font>
      <sz val="12"/>
      <color rgb="FFFF0000"/>
      <name val="华文细黑"/>
      <family val="3"/>
      <charset val="134"/>
    </font>
    <font>
      <sz val="12"/>
      <color theme="1"/>
      <name val="华文细黑"/>
      <family val="3"/>
      <charset val="134"/>
    </font>
    <font>
      <b/>
      <sz val="9"/>
      <color theme="1"/>
      <name val="华文细黑"/>
      <family val="3"/>
      <charset val="134"/>
    </font>
    <font>
      <b/>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1" xfId="0" applyFont="1" applyBorder="1" applyAlignment="1">
      <alignment horizontal="left" vertical="center"/>
    </xf>
    <xf numFmtId="49" fontId="269" fillId="0" borderId="1" xfId="0" applyNumberFormat="1" applyFont="1" applyBorder="1" applyAlignment="1">
      <alignment horizontal="left" vertical="center"/>
    </xf>
    <xf numFmtId="0" fontId="269" fillId="0" borderId="2" xfId="0" applyFont="1" applyBorder="1" applyAlignment="1">
      <alignment horizontal="left" vertical="center"/>
    </xf>
    <xf numFmtId="49" fontId="0" fillId="0" borderId="0" xfId="0" applyNumberFormat="1" applyAlignment="1">
      <alignment horizontal="left" vertical="center"/>
    </xf>
    <xf numFmtId="49" fontId="269" fillId="16" borderId="1" xfId="0" applyNumberFormat="1" applyFont="1" applyFill="1" applyBorder="1" applyAlignment="1">
      <alignment horizontal="left" vertical="center"/>
    </xf>
    <xf numFmtId="0" fontId="269" fillId="16" borderId="1" xfId="0" applyFont="1" applyFill="1" applyBorder="1" applyAlignment="1">
      <alignment horizontal="left" vertical="center"/>
    </xf>
    <xf numFmtId="0" fontId="0" fillId="16" borderId="0" xfId="0"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0" fontId="77" fillId="0" borderId="1" xfId="0" applyFont="1" applyBorder="1" applyAlignment="1" applyProtection="1">
      <alignment horizontal="left" vertical="center" wrapText="1"/>
      <protection locked="0"/>
    </xf>
    <xf numFmtId="0" fontId="94" fillId="0" borderId="54"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49" fontId="60" fillId="0" borderId="1" xfId="0" applyNumberFormat="1" applyFont="1" applyBorder="1" applyAlignment="1" applyProtection="1">
      <alignment horizontal="left" vertical="center"/>
      <protection locked="0"/>
    </xf>
    <xf numFmtId="0" fontId="60" fillId="0" borderId="1" xfId="0" applyFont="1" applyBorder="1" applyAlignment="1" applyProtection="1">
      <alignment horizontal="left" vertical="center"/>
      <protection locked="0"/>
    </xf>
    <xf numFmtId="49" fontId="47" fillId="0" borderId="1" xfId="0" applyNumberFormat="1" applyFont="1" applyBorder="1" applyAlignment="1" applyProtection="1">
      <alignment horizontal="left" vertical="center"/>
      <protection locked="0"/>
    </xf>
    <xf numFmtId="2" fontId="60" fillId="0" borderId="1" xfId="0" applyNumberFormat="1" applyFont="1" applyBorder="1" applyAlignment="1" applyProtection="1">
      <alignment horizontal="center" vertical="center"/>
      <protection locked="0"/>
    </xf>
    <xf numFmtId="2" fontId="47" fillId="6" borderId="1" xfId="0" applyNumberFormat="1" applyFont="1" applyFill="1" applyBorder="1" applyAlignment="1">
      <alignment horizontal="center" vertical="center"/>
    </xf>
    <xf numFmtId="0" fontId="77" fillId="10" borderId="9" xfId="0" applyFont="1" applyFill="1" applyBorder="1" applyAlignment="1" applyProtection="1">
      <alignment horizontal="center" vertical="center" wrapText="1"/>
      <protection locked="0"/>
    </xf>
    <xf numFmtId="2" fontId="269" fillId="16" borderId="1" xfId="0" applyNumberFormat="1" applyFont="1" applyFill="1" applyBorder="1" applyAlignment="1">
      <alignment horizontal="left" vertical="center"/>
    </xf>
    <xf numFmtId="2" fontId="269" fillId="0" borderId="1" xfId="0" applyNumberFormat="1" applyFont="1"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196" fontId="0" fillId="0" borderId="0" xfId="0" applyNumberFormat="1">
      <alignment vertical="center"/>
    </xf>
    <xf numFmtId="0" fontId="128" fillId="0" borderId="83" xfId="0" applyFont="1" applyBorder="1" applyAlignment="1" applyProtection="1">
      <alignment horizontal="center" vertical="center"/>
      <protection locked="0"/>
    </xf>
    <xf numFmtId="0" fontId="272" fillId="0" borderId="1" xfId="0" applyFont="1" applyBorder="1" applyAlignment="1">
      <alignment horizontal="left" vertical="center"/>
    </xf>
    <xf numFmtId="2" fontId="272" fillId="0" borderId="1" xfId="0" applyNumberFormat="1" applyFont="1" applyBorder="1" applyAlignment="1">
      <alignment horizontal="left" vertical="center"/>
    </xf>
    <xf numFmtId="0" fontId="96" fillId="0" borderId="0" xfId="0" applyFont="1">
      <alignment vertical="center"/>
    </xf>
    <xf numFmtId="196" fontId="96" fillId="0" borderId="0" xfId="0" applyNumberFormat="1" applyFont="1">
      <alignment vertical="center"/>
    </xf>
    <xf numFmtId="0" fontId="269" fillId="0" borderId="35" xfId="0" applyFont="1" applyBorder="1" applyAlignment="1">
      <alignment horizontal="center"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0" fillId="0" borderId="1" xfId="0" applyBorder="1" applyAlignment="1">
      <alignment horizontal="center" vertical="center"/>
    </xf>
    <xf numFmtId="2" fontId="44" fillId="0" borderId="37" xfId="0" applyNumberFormat="1" applyFont="1" applyBorder="1" applyAlignment="1" applyProtection="1">
      <alignment horizontal="center" vertical="center" wrapText="1"/>
      <protection locked="0"/>
    </xf>
    <xf numFmtId="2" fontId="160" fillId="0" borderId="13" xfId="12" applyNumberFormat="1" applyFont="1" applyBorder="1" applyAlignment="1" applyProtection="1">
      <alignment horizontal="left" vertical="center" wrapText="1"/>
      <protection locked="0"/>
    </xf>
    <xf numFmtId="2" fontId="160" fillId="12" borderId="1" xfId="12" applyNumberFormat="1" applyFont="1" applyFill="1" applyBorder="1" applyAlignment="1" applyProtection="1">
      <alignment horizontal="left" vertical="center" wrapText="1"/>
      <protection locked="0"/>
    </xf>
    <xf numFmtId="181" fontId="159" fillId="12" borderId="1" xfId="12" applyNumberFormat="1" applyFill="1" applyBorder="1" applyAlignment="1" applyProtection="1">
      <alignment horizontal="left"/>
      <protection locked="0"/>
    </xf>
    <xf numFmtId="0" fontId="94" fillId="7" borderId="37"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273" fillId="19" borderId="1" xfId="0" applyFont="1" applyFill="1" applyBorder="1" applyAlignment="1">
      <alignment horizontal="center" vertical="center"/>
    </xf>
    <xf numFmtId="0" fontId="273" fillId="0" borderId="1" xfId="0" applyFont="1" applyBorder="1" applyAlignment="1">
      <alignment horizontal="center" vertical="center" wrapText="1"/>
    </xf>
    <xf numFmtId="0" fontId="273" fillId="0" borderId="1" xfId="0" applyFont="1" applyBorder="1" applyAlignment="1">
      <alignment horizontal="center" vertical="center"/>
    </xf>
    <xf numFmtId="0" fontId="273" fillId="0" borderId="1" xfId="0" applyFont="1" applyBorder="1" applyAlignment="1">
      <alignment horizontal="left" vertical="center" wrapText="1"/>
    </xf>
    <xf numFmtId="0" fontId="275" fillId="0" borderId="0" xfId="0" applyFont="1" applyAlignment="1">
      <alignment horizontal="center" vertical="center"/>
    </xf>
    <xf numFmtId="0" fontId="275" fillId="0" borderId="1" xfId="0" applyFont="1" applyBorder="1" applyAlignment="1">
      <alignment horizontal="center" vertical="center"/>
    </xf>
    <xf numFmtId="0" fontId="275" fillId="0" borderId="1" xfId="0" applyFont="1" applyBorder="1" applyAlignment="1">
      <alignment horizontal="left" vertical="center"/>
    </xf>
    <xf numFmtId="0" fontId="275" fillId="0" borderId="0" xfId="0" applyFont="1" applyAlignment="1">
      <alignment horizontal="left" vertical="center"/>
    </xf>
    <xf numFmtId="2" fontId="273" fillId="0" borderId="1" xfId="0" applyNumberFormat="1" applyFont="1" applyBorder="1" applyAlignment="1">
      <alignment horizontal="center" vertical="center"/>
    </xf>
    <xf numFmtId="0" fontId="273" fillId="0" borderId="1" xfId="0" applyFont="1" applyBorder="1" applyAlignment="1">
      <alignment horizontal="center" vertical="center"/>
    </xf>
    <xf numFmtId="0" fontId="275" fillId="0" borderId="1" xfId="0" applyFont="1" applyBorder="1" applyAlignment="1">
      <alignment horizontal="center" vertical="center"/>
    </xf>
    <xf numFmtId="2" fontId="275" fillId="0" borderId="1" xfId="0" applyNumberFormat="1" applyFont="1" applyBorder="1" applyAlignment="1">
      <alignment horizontal="center" vertical="center"/>
    </xf>
    <xf numFmtId="0" fontId="273" fillId="0" borderId="1" xfId="0" applyFont="1" applyBorder="1" applyAlignment="1">
      <alignment horizontal="center" vertical="center"/>
    </xf>
    <xf numFmtId="0" fontId="273" fillId="0" borderId="1" xfId="0" applyFont="1" applyBorder="1" applyAlignment="1">
      <alignment horizontal="center" vertical="center" wrapText="1"/>
    </xf>
    <xf numFmtId="0" fontId="275" fillId="0" borderId="1" xfId="0" applyFont="1" applyBorder="1" applyAlignment="1">
      <alignment horizontal="center" vertical="center"/>
    </xf>
    <xf numFmtId="49" fontId="94" fillId="0" borderId="11"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269" fillId="0" borderId="1" xfId="0" applyFont="1" applyFill="1" applyBorder="1" applyAlignment="1">
      <alignment horizontal="left" vertical="center"/>
    </xf>
    <xf numFmtId="49" fontId="269" fillId="0" borderId="1" xfId="0" applyNumberFormat="1" applyFont="1" applyFill="1" applyBorder="1" applyAlignment="1">
      <alignment horizontal="left" vertical="center"/>
    </xf>
    <xf numFmtId="2" fontId="269" fillId="0" borderId="1" xfId="0" applyNumberFormat="1" applyFont="1" applyFill="1" applyBorder="1" applyAlignment="1">
      <alignment horizontal="left" vertical="center"/>
    </xf>
    <xf numFmtId="0" fontId="269" fillId="0" borderId="2" xfId="0" applyFont="1" applyFill="1" applyBorder="1" applyAlignment="1">
      <alignment horizontal="left" vertical="center"/>
    </xf>
    <xf numFmtId="0" fontId="269" fillId="0" borderId="1" xfId="0" applyFont="1" applyFill="1" applyBorder="1" applyAlignment="1">
      <alignment horizontal="left" vertical="center"/>
    </xf>
    <xf numFmtId="0" fontId="269" fillId="0" borderId="13" xfId="0" applyFont="1" applyFill="1" applyBorder="1" applyAlignment="1">
      <alignment horizontal="left" vertical="center"/>
    </xf>
    <xf numFmtId="0" fontId="95" fillId="0" borderId="0" xfId="0" applyFont="1" applyFill="1">
      <alignment vertical="center"/>
    </xf>
    <xf numFmtId="196" fontId="95" fillId="0" borderId="0" xfId="0" applyNumberFormat="1" applyFont="1" applyFill="1">
      <alignment vertical="center"/>
    </xf>
    <xf numFmtId="0" fontId="95" fillId="0" borderId="0" xfId="0" applyFont="1" applyFill="1" applyAlignment="1">
      <alignment horizontal="left" vertical="center"/>
    </xf>
    <xf numFmtId="49" fontId="95" fillId="0" borderId="0" xfId="0" applyNumberFormat="1" applyFont="1" applyFill="1" applyAlignment="1">
      <alignment horizontal="left" vertical="center"/>
    </xf>
    <xf numFmtId="0" fontId="95" fillId="0" borderId="1" xfId="0" applyFont="1" applyFill="1" applyBorder="1" applyAlignment="1">
      <alignment horizontal="center" vertical="center"/>
    </xf>
    <xf numFmtId="0" fontId="269" fillId="0" borderId="1" xfId="0" applyFont="1" applyBorder="1" applyAlignment="1">
      <alignment horizontal="left" vertical="center" wrapText="1"/>
    </xf>
    <xf numFmtId="0" fontId="269" fillId="16" borderId="1" xfId="0" applyFont="1" applyFill="1" applyBorder="1" applyAlignment="1">
      <alignment horizontal="left" vertical="center" wrapText="1"/>
    </xf>
    <xf numFmtId="0" fontId="272" fillId="0" borderId="1" xfId="0" applyFont="1"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95" fillId="0" borderId="1" xfId="0" applyFont="1" applyFill="1" applyBorder="1" applyAlignment="1">
      <alignment horizontal="center" vertical="center"/>
    </xf>
    <xf numFmtId="0" fontId="269" fillId="0" borderId="1" xfId="0" applyFont="1" applyFill="1" applyBorder="1" applyAlignment="1">
      <alignment horizontal="left" vertical="center"/>
    </xf>
    <xf numFmtId="0" fontId="269" fillId="0" borderId="5" xfId="0" applyFont="1" applyFill="1" applyBorder="1" applyAlignment="1">
      <alignment horizontal="left" vertical="center"/>
    </xf>
    <xf numFmtId="0" fontId="269" fillId="0" borderId="54" xfId="0" applyFont="1" applyFill="1" applyBorder="1" applyAlignment="1">
      <alignment horizontal="left" vertical="center"/>
    </xf>
    <xf numFmtId="0" fontId="269" fillId="0" borderId="3" xfId="0" applyFont="1" applyFill="1" applyBorder="1" applyAlignment="1">
      <alignment horizontal="left" vertical="center"/>
    </xf>
    <xf numFmtId="0" fontId="95" fillId="0" borderId="13" xfId="0" applyFont="1" applyFill="1" applyBorder="1" applyAlignment="1">
      <alignment horizontal="center" vertical="center"/>
    </xf>
    <xf numFmtId="0" fontId="95" fillId="0" borderId="2" xfId="0" applyFont="1" applyFill="1" applyBorder="1" applyAlignment="1">
      <alignment horizontal="center"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2" fontId="275" fillId="0" borderId="1" xfId="0" applyNumberFormat="1" applyFont="1" applyBorder="1" applyAlignment="1">
      <alignment horizontal="center" vertical="center"/>
    </xf>
    <xf numFmtId="0" fontId="275" fillId="0" borderId="1" xfId="0" applyFont="1" applyBorder="1" applyAlignment="1">
      <alignment horizontal="center" vertical="center"/>
    </xf>
    <xf numFmtId="0" fontId="273" fillId="0" borderId="1" xfId="0" applyFont="1" applyBorder="1" applyAlignment="1">
      <alignment horizontal="center" vertical="center" wrapText="1"/>
    </xf>
    <xf numFmtId="0" fontId="273" fillId="0" borderId="13" xfId="0" applyFont="1" applyBorder="1" applyAlignment="1">
      <alignment horizontal="center" vertical="center"/>
    </xf>
    <xf numFmtId="0" fontId="273" fillId="0" borderId="15" xfId="0" applyFont="1" applyBorder="1" applyAlignment="1">
      <alignment horizontal="center" vertical="center"/>
    </xf>
    <xf numFmtId="0" fontId="273" fillId="0" borderId="2" xfId="0" applyFont="1" applyBorder="1" applyAlignment="1">
      <alignment horizontal="center" vertical="center"/>
    </xf>
    <xf numFmtId="0" fontId="273" fillId="0" borderId="1" xfId="0" applyFont="1" applyBorder="1" applyAlignment="1">
      <alignment horizontal="center" vertical="center"/>
    </xf>
    <xf numFmtId="0" fontId="275" fillId="0" borderId="1" xfId="0" applyFont="1" applyBorder="1" applyAlignment="1">
      <alignment horizontal="center" vertical="center" wrapText="1"/>
    </xf>
    <xf numFmtId="0" fontId="269" fillId="0" borderId="1" xfId="0" applyFont="1" applyBorder="1" applyAlignment="1">
      <alignment horizontal="left" vertical="center"/>
    </xf>
    <xf numFmtId="0" fontId="269" fillId="0" borderId="1" xfId="0" applyFont="1" applyBorder="1" applyAlignment="1">
      <alignment horizontal="center" vertical="center"/>
    </xf>
    <xf numFmtId="0" fontId="269" fillId="0" borderId="22" xfId="0" applyFont="1" applyBorder="1" applyAlignment="1">
      <alignment horizontal="center" vertical="center"/>
    </xf>
    <xf numFmtId="0" fontId="269" fillId="0" borderId="35" xfId="0" applyFont="1" applyBorder="1" applyAlignment="1">
      <alignment horizontal="center" vertical="center"/>
    </xf>
    <xf numFmtId="0" fontId="269" fillId="0" borderId="7" xfId="0" applyFont="1" applyBorder="1" applyAlignment="1">
      <alignment horizontal="center" vertical="center"/>
    </xf>
    <xf numFmtId="0" fontId="269" fillId="0" borderId="13" xfId="0" applyFont="1" applyBorder="1" applyAlignment="1">
      <alignment horizontal="left" vertical="center"/>
    </xf>
    <xf numFmtId="0" fontId="269" fillId="0" borderId="2" xfId="0" applyFont="1" applyBorder="1" applyAlignment="1">
      <alignment horizontal="left" vertical="center"/>
    </xf>
    <xf numFmtId="0" fontId="269" fillId="0" borderId="5" xfId="0" applyFont="1" applyBorder="1" applyAlignment="1">
      <alignment horizontal="left" vertical="center"/>
    </xf>
    <xf numFmtId="0" fontId="269" fillId="0" borderId="54" xfId="0" applyFont="1" applyBorder="1" applyAlignment="1">
      <alignment horizontal="left" vertical="center"/>
    </xf>
    <xf numFmtId="0" fontId="269" fillId="0" borderId="3" xfId="0" applyFont="1" applyBorder="1" applyAlignment="1">
      <alignment horizontal="left" vertical="center"/>
    </xf>
    <xf numFmtId="0" fontId="269" fillId="0" borderId="13" xfId="0" applyFont="1" applyBorder="1" applyAlignment="1">
      <alignment horizontal="center" vertical="center"/>
    </xf>
    <xf numFmtId="0" fontId="269" fillId="0" borderId="15" xfId="0" applyFont="1" applyBorder="1" applyAlignment="1">
      <alignment horizontal="center" vertical="center"/>
    </xf>
    <xf numFmtId="0" fontId="269" fillId="0" borderId="2" xfId="0" applyFont="1" applyBorder="1" applyAlignment="1">
      <alignment horizontal="center" vertical="center"/>
    </xf>
    <xf numFmtId="0" fontId="272" fillId="0" borderId="5" xfId="0" applyFont="1" applyBorder="1" applyAlignment="1">
      <alignment horizontal="left" vertical="center"/>
    </xf>
    <xf numFmtId="0" fontId="272" fillId="0" borderId="54" xfId="0" applyFont="1" applyBorder="1" applyAlignment="1">
      <alignment horizontal="left" vertical="center"/>
    </xf>
    <xf numFmtId="0" fontId="272" fillId="0" borderId="3" xfId="0" applyFont="1" applyBorder="1" applyAlignment="1">
      <alignment horizontal="left"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9" fillId="0" borderId="5" xfId="0" applyFont="1" applyFill="1" applyBorder="1" applyAlignment="1">
      <alignment horizontal="center" vertical="center"/>
    </xf>
    <xf numFmtId="0" fontId="269" fillId="0" borderId="3"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北京市房地产市场价值预评估</v>
      </c>
    </row>
    <row r="3" spans="1:2">
      <c r="A3" s="1116" t="s">
        <v>523</v>
      </c>
      <c r="B3" s="1117">
        <f>'预评函-封皮'!B40</f>
        <v>0</v>
      </c>
    </row>
    <row r="4" spans="1:2">
      <c r="A4" s="1116" t="s">
        <v>524</v>
      </c>
      <c r="B4" s="1117" t="str">
        <f ca="1">'预评函-封皮'!B46</f>
        <v>郑燚（注册号：1120070131)、吴薇（注册号：1419970001)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受贵公司委托，我公司对北京市房地产市场价值进行了预评估。</v>
      </c>
    </row>
    <row r="7" spans="1:2">
      <c r="A7" s="1116" t="s">
        <v>566</v>
      </c>
      <c r="B7" s="1117" t="str">
        <f>'预评函-1'!A7</f>
        <v>估价对象为北京市房地产，为所有。根据《国有土地使用证》[]，估价对象（分摊）出让国有建设用地使用权面积为0平方米，建筑面积为0平方米。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估价对象为北京市房地产,属开发建设的，该项目尚在开发建设中。根据《国有土地使用证》[]，估价对象（分摊）出让国有建设用地使用权面积为0平方米，规划建筑面积为0平方米。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2023年10月16日（评估专业人员实地查勘之日）</v>
      </c>
    </row>
    <row r="13" spans="1:2">
      <c r="A13" s="1116" t="s">
        <v>529</v>
      </c>
      <c r="B13" s="1117"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本次评估采用的主估价方法为基准地价系数修正法和基准地价系数修正法。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0</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吴薇</v>
      </c>
    </row>
    <row r="73" spans="1:2" s="1112" customFormat="1" ht="15" thickBot="1">
      <c r="A73" s="1119" t="s">
        <v>565</v>
      </c>
      <c r="B73" s="1120">
        <f ca="1">'预评函-4'!B5</f>
        <v>1419970001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topLeftCell="A43" workbookViewId="0">
      <selection activeCell="F64" sqref="F64"/>
    </sheetView>
  </sheetViews>
  <sheetFormatPr defaultRowHeight="13.5"/>
  <cols>
    <col min="1" max="1" width="7" style="3216" customWidth="1"/>
    <col min="2" max="2" width="13" style="3216" customWidth="1"/>
    <col min="3" max="3" width="11.5" style="3216" customWidth="1"/>
    <col min="4" max="4" width="11.5" style="3217" customWidth="1"/>
    <col min="5" max="5" width="16.5" style="3216" customWidth="1"/>
    <col min="6" max="6" width="33.5" style="3216" customWidth="1"/>
    <col min="7" max="8" width="15" style="3216" hidden="1" customWidth="1"/>
    <col min="9" max="9" width="9" style="3214"/>
    <col min="10" max="11" width="8.5" style="3214" customWidth="1"/>
    <col min="12" max="16384" width="9" style="3214"/>
  </cols>
  <sheetData>
    <row r="1" spans="1:11" ht="14.25">
      <c r="A1" s="3212" t="s">
        <v>3379</v>
      </c>
      <c r="B1" s="3212" t="s">
        <v>3381</v>
      </c>
      <c r="C1" s="3212" t="s">
        <v>3380</v>
      </c>
      <c r="D1" s="3209" t="s">
        <v>3681</v>
      </c>
      <c r="E1" s="3212" t="s">
        <v>3382</v>
      </c>
      <c r="F1" s="3212" t="s">
        <v>3383</v>
      </c>
      <c r="I1" s="3212" t="s">
        <v>3693</v>
      </c>
      <c r="J1" s="3601" t="s">
        <v>3694</v>
      </c>
      <c r="K1" s="3602"/>
    </row>
    <row r="2" spans="1:11" ht="14.25">
      <c r="A2" s="3212">
        <v>1</v>
      </c>
      <c r="B2" s="3212" t="s">
        <v>3384</v>
      </c>
      <c r="C2" s="3212" t="s">
        <v>3385</v>
      </c>
      <c r="D2" s="3209" t="s">
        <v>3682</v>
      </c>
      <c r="E2" s="3212">
        <f>E21</f>
        <v>6617.17</v>
      </c>
      <c r="F2" s="3212" t="s">
        <v>3685</v>
      </c>
      <c r="I2" s="3210">
        <f>Sheet1!L3</f>
        <v>1.47</v>
      </c>
      <c r="J2" s="3212">
        <f>ROUND(I2*0.9,2)</f>
        <v>1.32</v>
      </c>
      <c r="K2" s="3212">
        <f>ROUND(I2*1.1,2)</f>
        <v>1.62</v>
      </c>
    </row>
    <row r="3" spans="1:11" ht="14.25">
      <c r="A3" s="3212">
        <v>2</v>
      </c>
      <c r="B3" s="3212" t="s">
        <v>3384</v>
      </c>
      <c r="C3" s="3212" t="s">
        <v>3401</v>
      </c>
      <c r="D3" s="3209" t="s">
        <v>3687</v>
      </c>
      <c r="E3" s="3212">
        <f>E31</f>
        <v>6607.31</v>
      </c>
      <c r="F3" s="3212" t="s">
        <v>3685</v>
      </c>
      <c r="I3" s="3210">
        <f>Sheet1!L7</f>
        <v>1.47</v>
      </c>
      <c r="J3" s="3212">
        <f t="shared" ref="J3:J7" si="0">ROUND(I3*0.9,2)</f>
        <v>1.32</v>
      </c>
      <c r="K3" s="3212">
        <f t="shared" ref="K3:K7" si="1">ROUND(I3*1.1,2)</f>
        <v>1.62</v>
      </c>
    </row>
    <row r="4" spans="1:11" ht="14.25">
      <c r="A4" s="3212">
        <v>3</v>
      </c>
      <c r="B4" s="3212" t="s">
        <v>3384</v>
      </c>
      <c r="C4" s="3212" t="str">
        <f>C32</f>
        <v>18#增配商业</v>
      </c>
      <c r="D4" s="3209" t="s">
        <v>3686</v>
      </c>
      <c r="E4" s="3212">
        <f>E42</f>
        <v>7555.2300000000005</v>
      </c>
      <c r="F4" s="3212" t="s">
        <v>3688</v>
      </c>
      <c r="I4" s="3212">
        <f>Sheet1!L11</f>
        <v>1.39</v>
      </c>
      <c r="J4" s="3212">
        <f t="shared" si="0"/>
        <v>1.25</v>
      </c>
      <c r="K4" s="3212">
        <f t="shared" si="1"/>
        <v>1.53</v>
      </c>
    </row>
    <row r="5" spans="1:11" ht="14.25">
      <c r="A5" s="3212">
        <v>4</v>
      </c>
      <c r="B5" s="3212" t="s">
        <v>3384</v>
      </c>
      <c r="C5" s="3212" t="s">
        <v>3689</v>
      </c>
      <c r="D5" s="3209" t="s">
        <v>3686</v>
      </c>
      <c r="E5" s="3212">
        <f>E53</f>
        <v>7555.2300000000005</v>
      </c>
      <c r="F5" s="3212" t="s">
        <v>3688</v>
      </c>
      <c r="I5" s="3212">
        <f>Sheet1!L14</f>
        <v>1.39</v>
      </c>
      <c r="J5" s="3212">
        <f t="shared" si="0"/>
        <v>1.25</v>
      </c>
      <c r="K5" s="3212">
        <f t="shared" si="1"/>
        <v>1.53</v>
      </c>
    </row>
    <row r="6" spans="1:11" ht="14.25">
      <c r="A6" s="3212">
        <v>5</v>
      </c>
      <c r="B6" s="3212" t="s">
        <v>3384</v>
      </c>
      <c r="C6" s="3212" t="s">
        <v>3690</v>
      </c>
      <c r="D6" s="3209" t="s">
        <v>3686</v>
      </c>
      <c r="E6" s="3212">
        <f>E63</f>
        <v>6577.02</v>
      </c>
      <c r="F6" s="3212" t="s">
        <v>3685</v>
      </c>
      <c r="I6" s="3210">
        <f>Sheet1!L17</f>
        <v>1.4</v>
      </c>
      <c r="J6" s="3212">
        <f t="shared" si="0"/>
        <v>1.26</v>
      </c>
      <c r="K6" s="3212">
        <f t="shared" si="1"/>
        <v>1.54</v>
      </c>
    </row>
    <row r="7" spans="1:11" ht="14.25">
      <c r="A7" s="3212">
        <v>6</v>
      </c>
      <c r="B7" s="3212" t="s">
        <v>3384</v>
      </c>
      <c r="C7" s="3212" t="s">
        <v>3691</v>
      </c>
      <c r="D7" s="3209" t="s">
        <v>3686</v>
      </c>
      <c r="E7" s="3212">
        <f>E73</f>
        <v>9009.68</v>
      </c>
      <c r="F7" s="3212" t="s">
        <v>3685</v>
      </c>
      <c r="I7" s="3210">
        <f>Sheet1!L21</f>
        <v>1.1200000000000001</v>
      </c>
      <c r="J7" s="3212">
        <f t="shared" si="0"/>
        <v>1.01</v>
      </c>
      <c r="K7" s="3212">
        <f t="shared" si="1"/>
        <v>1.23</v>
      </c>
    </row>
    <row r="8" spans="1:11" ht="14.25">
      <c r="A8" s="3269" t="s">
        <v>3692</v>
      </c>
      <c r="B8" s="3270"/>
      <c r="C8" s="3270"/>
      <c r="D8" s="3271"/>
      <c r="E8" s="3212">
        <f>SUM(E2:E7)</f>
        <v>43921.64</v>
      </c>
      <c r="F8" s="3212"/>
      <c r="I8" s="3212"/>
      <c r="J8" s="3212"/>
      <c r="K8" s="3212"/>
    </row>
    <row r="11" spans="1:11" ht="14.25">
      <c r="A11" s="3208" t="s">
        <v>3379</v>
      </c>
      <c r="B11" s="3208" t="s">
        <v>3381</v>
      </c>
      <c r="C11" s="3208" t="s">
        <v>3380</v>
      </c>
      <c r="D11" s="3209" t="s">
        <v>3386</v>
      </c>
      <c r="E11" s="3208" t="s">
        <v>3382</v>
      </c>
      <c r="F11" s="3208" t="s">
        <v>3383</v>
      </c>
      <c r="G11" s="3208" t="s">
        <v>3406</v>
      </c>
      <c r="H11" s="3208" t="s">
        <v>3356</v>
      </c>
    </row>
    <row r="12" spans="1:11" ht="14.25">
      <c r="A12" s="3208">
        <v>1</v>
      </c>
      <c r="B12" s="3208" t="s">
        <v>3384</v>
      </c>
      <c r="C12" s="3208" t="s">
        <v>3385</v>
      </c>
      <c r="D12" s="3209" t="s">
        <v>3387</v>
      </c>
      <c r="E12" s="3208">
        <v>840.71</v>
      </c>
      <c r="F12" s="3208" t="s">
        <v>3396</v>
      </c>
      <c r="G12" s="3208" t="s">
        <v>3396</v>
      </c>
      <c r="H12" s="3208">
        <f>'比较法-仓储'!C36</f>
        <v>0.8</v>
      </c>
    </row>
    <row r="13" spans="1:11" ht="14.25">
      <c r="A13" s="3213">
        <v>2</v>
      </c>
      <c r="B13" s="3213" t="s">
        <v>3384</v>
      </c>
      <c r="C13" s="3213" t="s">
        <v>3385</v>
      </c>
      <c r="D13" s="3209" t="s">
        <v>3388</v>
      </c>
      <c r="E13" s="3208">
        <f>673.86</f>
        <v>673.86</v>
      </c>
      <c r="F13" s="3208" t="s">
        <v>3683</v>
      </c>
      <c r="G13" s="3208" t="s">
        <v>3396</v>
      </c>
      <c r="H13" s="3208">
        <f>H12</f>
        <v>0.8</v>
      </c>
    </row>
    <row r="14" spans="1:11" ht="14.25">
      <c r="A14" s="3213">
        <v>3</v>
      </c>
      <c r="B14" s="3213" t="s">
        <v>3384</v>
      </c>
      <c r="C14" s="3213" t="s">
        <v>3385</v>
      </c>
      <c r="D14" s="3209" t="s">
        <v>3389</v>
      </c>
      <c r="E14" s="3208">
        <f>837.38</f>
        <v>837.38</v>
      </c>
      <c r="F14" s="3208" t="s">
        <v>3684</v>
      </c>
      <c r="G14" s="3208" t="s">
        <v>3448</v>
      </c>
      <c r="H14" s="3210">
        <f>典型户型修正!R24</f>
        <v>1.7</v>
      </c>
    </row>
    <row r="15" spans="1:11" ht="14.25">
      <c r="A15" s="3208">
        <v>4</v>
      </c>
      <c r="B15" s="3208" t="s">
        <v>3384</v>
      </c>
      <c r="C15" s="3208" t="s">
        <v>3385</v>
      </c>
      <c r="D15" s="3209" t="s">
        <v>3390</v>
      </c>
      <c r="E15" s="3208">
        <v>837.38</v>
      </c>
      <c r="F15" s="3208" t="s">
        <v>3415</v>
      </c>
      <c r="G15" s="3208" t="s">
        <v>3448</v>
      </c>
      <c r="H15" s="3210">
        <f>典型户型修正!R25</f>
        <v>1.7</v>
      </c>
    </row>
    <row r="16" spans="1:11" ht="14.25">
      <c r="A16" s="3208">
        <v>5</v>
      </c>
      <c r="B16" s="3208" t="s">
        <v>3384</v>
      </c>
      <c r="C16" s="3208" t="s">
        <v>3385</v>
      </c>
      <c r="D16" s="3209" t="s">
        <v>3391</v>
      </c>
      <c r="E16" s="3208">
        <v>837.38</v>
      </c>
      <c r="F16" s="3208" t="s">
        <v>3415</v>
      </c>
      <c r="G16" s="3208" t="s">
        <v>2809</v>
      </c>
      <c r="H16" s="3210">
        <f>典型户型修正!R26</f>
        <v>1.6</v>
      </c>
    </row>
    <row r="17" spans="1:12" ht="14.25">
      <c r="A17" s="3208">
        <v>6</v>
      </c>
      <c r="B17" s="3208" t="s">
        <v>3384</v>
      </c>
      <c r="C17" s="3208" t="s">
        <v>3385</v>
      </c>
      <c r="D17" s="3209" t="s">
        <v>3392</v>
      </c>
      <c r="E17" s="3208">
        <v>837.38</v>
      </c>
      <c r="F17" s="3208" t="s">
        <v>3415</v>
      </c>
      <c r="G17" s="3208" t="s">
        <v>2809</v>
      </c>
      <c r="H17" s="3210">
        <f>H16</f>
        <v>1.6</v>
      </c>
    </row>
    <row r="18" spans="1:12" ht="14.25">
      <c r="A18" s="3208">
        <v>7</v>
      </c>
      <c r="B18" s="3208" t="s">
        <v>3384</v>
      </c>
      <c r="C18" s="3208" t="s">
        <v>3385</v>
      </c>
      <c r="D18" s="3209" t="s">
        <v>3393</v>
      </c>
      <c r="E18" s="3208">
        <v>837.38</v>
      </c>
      <c r="F18" s="3208" t="s">
        <v>3415</v>
      </c>
      <c r="G18" s="3208" t="s">
        <v>2809</v>
      </c>
      <c r="H18" s="3210">
        <f>H17</f>
        <v>1.6</v>
      </c>
    </row>
    <row r="19" spans="1:12" ht="14.25">
      <c r="A19" s="3208">
        <v>8</v>
      </c>
      <c r="B19" s="3208" t="s">
        <v>3384</v>
      </c>
      <c r="C19" s="3208" t="s">
        <v>3385</v>
      </c>
      <c r="D19" s="3209" t="s">
        <v>3394</v>
      </c>
      <c r="E19" s="3208">
        <v>837.38</v>
      </c>
      <c r="F19" s="3208" t="s">
        <v>3415</v>
      </c>
      <c r="G19" s="3208" t="s">
        <v>2809</v>
      </c>
      <c r="H19" s="3210">
        <f>H18</f>
        <v>1.6</v>
      </c>
    </row>
    <row r="20" spans="1:12" ht="14.25">
      <c r="A20" s="3208">
        <v>9</v>
      </c>
      <c r="B20" s="3208" t="s">
        <v>3384</v>
      </c>
      <c r="C20" s="3208" t="s">
        <v>3385</v>
      </c>
      <c r="D20" s="3209" t="s">
        <v>3395</v>
      </c>
      <c r="E20" s="3208">
        <v>78.319999999999993</v>
      </c>
      <c r="F20" s="3208" t="s">
        <v>3415</v>
      </c>
      <c r="G20" s="3208" t="s">
        <v>2809</v>
      </c>
      <c r="H20" s="3210">
        <f>H19</f>
        <v>1.6</v>
      </c>
    </row>
    <row r="21" spans="1:12" ht="14.25">
      <c r="A21" s="3269" t="s">
        <v>3669</v>
      </c>
      <c r="B21" s="3270"/>
      <c r="C21" s="3270"/>
      <c r="D21" s="3271"/>
      <c r="E21" s="3208">
        <f>SUM(E12:E20)</f>
        <v>6617.17</v>
      </c>
      <c r="F21" s="3208"/>
      <c r="G21" s="3208"/>
      <c r="H21" s="3210">
        <f>ROUND(SUMPRODUCT(H12:H20,E12:E20)/E21,2)</f>
        <v>1.44</v>
      </c>
      <c r="I21" s="3214">
        <f>E21-明细表!F13</f>
        <v>0</v>
      </c>
      <c r="L21" s="3215"/>
    </row>
    <row r="22" spans="1:12" ht="14.25">
      <c r="A22" s="3208">
        <v>10</v>
      </c>
      <c r="B22" s="3208" t="s">
        <v>3384</v>
      </c>
      <c r="C22" s="3208" t="s">
        <v>3401</v>
      </c>
      <c r="D22" s="3209" t="s">
        <v>3387</v>
      </c>
      <c r="E22" s="3208">
        <v>832.27</v>
      </c>
      <c r="F22" s="3208" t="s">
        <v>3396</v>
      </c>
      <c r="G22" s="3208" t="s">
        <v>3396</v>
      </c>
      <c r="H22" s="3208">
        <f>H12</f>
        <v>0.8</v>
      </c>
    </row>
    <row r="23" spans="1:12" ht="14.25">
      <c r="A23" s="3213">
        <v>11</v>
      </c>
      <c r="B23" s="3213" t="s">
        <v>3384</v>
      </c>
      <c r="C23" s="3213" t="s">
        <v>3401</v>
      </c>
      <c r="D23" s="3209" t="s">
        <v>3388</v>
      </c>
      <c r="E23" s="3208">
        <f>672.44</f>
        <v>672.44</v>
      </c>
      <c r="F23" s="3208" t="s">
        <v>3676</v>
      </c>
      <c r="G23" s="3208" t="s">
        <v>3396</v>
      </c>
      <c r="H23" s="3208">
        <f>H13</f>
        <v>0.8</v>
      </c>
    </row>
    <row r="24" spans="1:12" ht="14.25">
      <c r="A24" s="3213">
        <v>12</v>
      </c>
      <c r="B24" s="3213" t="s">
        <v>3384</v>
      </c>
      <c r="C24" s="3213" t="s">
        <v>3401</v>
      </c>
      <c r="D24" s="3209" t="s">
        <v>3389</v>
      </c>
      <c r="E24" s="3208">
        <f>837.38</f>
        <v>837.38</v>
      </c>
      <c r="F24" s="3208" t="s">
        <v>3677</v>
      </c>
      <c r="G24" s="3208" t="s">
        <v>3448</v>
      </c>
      <c r="H24" s="3210">
        <f>典型户型修正!R31</f>
        <v>0</v>
      </c>
    </row>
    <row r="25" spans="1:12" ht="14.25">
      <c r="A25" s="3208">
        <v>13</v>
      </c>
      <c r="B25" s="3208" t="s">
        <v>3384</v>
      </c>
      <c r="C25" s="3208" t="s">
        <v>3401</v>
      </c>
      <c r="D25" s="3209" t="s">
        <v>3390</v>
      </c>
      <c r="E25" s="3208">
        <v>837.38</v>
      </c>
      <c r="F25" s="3208" t="s">
        <v>3415</v>
      </c>
      <c r="G25" s="3208" t="s">
        <v>3448</v>
      </c>
      <c r="H25" s="3210">
        <f>典型户型修正!R32</f>
        <v>0</v>
      </c>
    </row>
    <row r="26" spans="1:12" ht="14.25">
      <c r="A26" s="3208">
        <v>14</v>
      </c>
      <c r="B26" s="3208" t="s">
        <v>3384</v>
      </c>
      <c r="C26" s="3208" t="s">
        <v>3401</v>
      </c>
      <c r="D26" s="3209" t="s">
        <v>3391</v>
      </c>
      <c r="E26" s="3208">
        <v>837.38</v>
      </c>
      <c r="F26" s="3208" t="s">
        <v>3415</v>
      </c>
      <c r="G26" s="3208" t="s">
        <v>2809</v>
      </c>
      <c r="H26" s="3210">
        <f>典型户型修正!R33</f>
        <v>0</v>
      </c>
    </row>
    <row r="27" spans="1:12" ht="14.25">
      <c r="A27" s="3213">
        <v>15</v>
      </c>
      <c r="B27" s="3208" t="s">
        <v>3384</v>
      </c>
      <c r="C27" s="3208" t="s">
        <v>3401</v>
      </c>
      <c r="D27" s="3209" t="s">
        <v>3392</v>
      </c>
      <c r="E27" s="3208">
        <v>837.38</v>
      </c>
      <c r="F27" s="3208" t="s">
        <v>3415</v>
      </c>
      <c r="G27" s="3208" t="s">
        <v>2809</v>
      </c>
      <c r="H27" s="3210">
        <f>典型户型修正!R34</f>
        <v>0</v>
      </c>
    </row>
    <row r="28" spans="1:12" ht="14.25">
      <c r="A28" s="3213">
        <v>16</v>
      </c>
      <c r="B28" s="3208" t="s">
        <v>3384</v>
      </c>
      <c r="C28" s="3208" t="s">
        <v>3401</v>
      </c>
      <c r="D28" s="3209" t="s">
        <v>3393</v>
      </c>
      <c r="E28" s="3208">
        <v>837.38</v>
      </c>
      <c r="F28" s="3208" t="s">
        <v>3415</v>
      </c>
      <c r="G28" s="3208" t="s">
        <v>2809</v>
      </c>
      <c r="H28" s="3210">
        <f>典型户型修正!R35</f>
        <v>0</v>
      </c>
    </row>
    <row r="29" spans="1:12" ht="14.25">
      <c r="A29" s="3208">
        <v>17</v>
      </c>
      <c r="B29" s="3208" t="s">
        <v>3384</v>
      </c>
      <c r="C29" s="3208" t="s">
        <v>3401</v>
      </c>
      <c r="D29" s="3209" t="s">
        <v>3394</v>
      </c>
      <c r="E29" s="3208">
        <v>837.38</v>
      </c>
      <c r="F29" s="3208" t="s">
        <v>3415</v>
      </c>
      <c r="G29" s="3208" t="s">
        <v>2809</v>
      </c>
      <c r="H29" s="3210">
        <f>典型户型修正!R36</f>
        <v>0</v>
      </c>
    </row>
    <row r="30" spans="1:12" ht="14.25">
      <c r="A30" s="3208">
        <v>18</v>
      </c>
      <c r="B30" s="3208" t="s">
        <v>3384</v>
      </c>
      <c r="C30" s="3208" t="s">
        <v>3401</v>
      </c>
      <c r="D30" s="3209" t="s">
        <v>3395</v>
      </c>
      <c r="E30" s="3208">
        <v>78.319999999999993</v>
      </c>
      <c r="F30" s="3208" t="s">
        <v>3415</v>
      </c>
      <c r="G30" s="3208" t="s">
        <v>2809</v>
      </c>
      <c r="H30" s="3210">
        <f>典型户型修正!R37</f>
        <v>0</v>
      </c>
    </row>
    <row r="31" spans="1:12" ht="14.25">
      <c r="A31" s="3269" t="s">
        <v>3670</v>
      </c>
      <c r="B31" s="3270"/>
      <c r="C31" s="3270"/>
      <c r="D31" s="3271"/>
      <c r="E31" s="3208">
        <f>SUM(E22:E30)</f>
        <v>6607.31</v>
      </c>
      <c r="F31" s="3208"/>
      <c r="G31" s="3208"/>
      <c r="H31" s="3210">
        <f>ROUND(SUMPRODUCT(H22:H30,E22:E30)/E31,2)</f>
        <v>0.18</v>
      </c>
      <c r="I31" s="3214">
        <f>E31-明细表!F25</f>
        <v>0</v>
      </c>
      <c r="L31" s="3215"/>
    </row>
    <row r="32" spans="1:12" ht="14.25">
      <c r="A32" s="3208">
        <v>19</v>
      </c>
      <c r="B32" s="3208" t="s">
        <v>3384</v>
      </c>
      <c r="C32" s="3208" t="s">
        <v>3404</v>
      </c>
      <c r="D32" s="3209" t="s">
        <v>3387</v>
      </c>
      <c r="E32" s="3208">
        <v>854.85</v>
      </c>
      <c r="F32" s="3208" t="s">
        <v>3396</v>
      </c>
      <c r="G32" s="3208" t="s">
        <v>3396</v>
      </c>
      <c r="H32" s="3208">
        <f>H12</f>
        <v>0.8</v>
      </c>
      <c r="I32" s="3214">
        <f>E32-明细表!F26</f>
        <v>0</v>
      </c>
    </row>
    <row r="33" spans="1:12" ht="14.25">
      <c r="A33" s="3213">
        <v>20</v>
      </c>
      <c r="B33" s="3213" t="s">
        <v>3384</v>
      </c>
      <c r="C33" s="3213" t="s">
        <v>3404</v>
      </c>
      <c r="D33" s="3209" t="s">
        <v>3388</v>
      </c>
      <c r="E33" s="3208">
        <f>853.96</f>
        <v>853.96</v>
      </c>
      <c r="F33" s="3208" t="s">
        <v>3676</v>
      </c>
      <c r="G33" s="3208" t="s">
        <v>3396</v>
      </c>
      <c r="H33" s="3208">
        <f>H12</f>
        <v>0.8</v>
      </c>
      <c r="I33" s="3214">
        <f>E33-明细表!F27-明细表!F28</f>
        <v>0</v>
      </c>
    </row>
    <row r="34" spans="1:12" ht="14.25">
      <c r="A34" s="3208">
        <v>21</v>
      </c>
      <c r="B34" s="3208" t="s">
        <v>3384</v>
      </c>
      <c r="C34" s="3208" t="s">
        <v>3404</v>
      </c>
      <c r="D34" s="3209" t="s">
        <v>3389</v>
      </c>
      <c r="E34" s="3208">
        <v>825.22</v>
      </c>
      <c r="F34" s="3208" t="s">
        <v>3415</v>
      </c>
      <c r="G34" s="3208" t="s">
        <v>3449</v>
      </c>
      <c r="H34" s="3210">
        <f>典型户型修正!R38</f>
        <v>0</v>
      </c>
    </row>
    <row r="35" spans="1:12" ht="14.25">
      <c r="A35" s="3213">
        <v>22</v>
      </c>
      <c r="B35" s="3208" t="s">
        <v>3384</v>
      </c>
      <c r="C35" s="3208" t="s">
        <v>3404</v>
      </c>
      <c r="D35" s="3209" t="s">
        <v>3390</v>
      </c>
      <c r="E35" s="3208">
        <v>825.22</v>
      </c>
      <c r="F35" s="3208" t="s">
        <v>3415</v>
      </c>
      <c r="G35" s="3208" t="s">
        <v>3449</v>
      </c>
      <c r="H35" s="3210">
        <f>典型户型修正!R39</f>
        <v>0</v>
      </c>
    </row>
    <row r="36" spans="1:12" ht="14.25">
      <c r="A36" s="3208">
        <v>23</v>
      </c>
      <c r="B36" s="3208" t="s">
        <v>3384</v>
      </c>
      <c r="C36" s="3208" t="s">
        <v>3404</v>
      </c>
      <c r="D36" s="3209" t="s">
        <v>3391</v>
      </c>
      <c r="E36" s="3208">
        <v>825.22</v>
      </c>
      <c r="F36" s="3208" t="s">
        <v>3415</v>
      </c>
      <c r="G36" s="3208" t="s">
        <v>3449</v>
      </c>
      <c r="H36" s="3210">
        <f>典型户型修正!R40</f>
        <v>0</v>
      </c>
    </row>
    <row r="37" spans="1:12" ht="14.25">
      <c r="A37" s="3213">
        <v>24</v>
      </c>
      <c r="B37" s="3208" t="s">
        <v>3384</v>
      </c>
      <c r="C37" s="3208" t="s">
        <v>3404</v>
      </c>
      <c r="D37" s="3209" t="s">
        <v>3392</v>
      </c>
      <c r="E37" s="3208">
        <v>825.22</v>
      </c>
      <c r="F37" s="3208" t="s">
        <v>3415</v>
      </c>
      <c r="G37" s="3208" t="s">
        <v>3449</v>
      </c>
      <c r="H37" s="3210">
        <f>典型户型修正!R41</f>
        <v>0</v>
      </c>
    </row>
    <row r="38" spans="1:12" ht="14.25">
      <c r="A38" s="3208">
        <v>25</v>
      </c>
      <c r="B38" s="3208" t="s">
        <v>3384</v>
      </c>
      <c r="C38" s="3208" t="s">
        <v>3404</v>
      </c>
      <c r="D38" s="3209" t="s">
        <v>3393</v>
      </c>
      <c r="E38" s="3208">
        <v>825.22</v>
      </c>
      <c r="F38" s="3208" t="s">
        <v>3415</v>
      </c>
      <c r="G38" s="3208" t="s">
        <v>3449</v>
      </c>
      <c r="H38" s="3210">
        <f>典型户型修正!R42</f>
        <v>0</v>
      </c>
    </row>
    <row r="39" spans="1:12" ht="14.25">
      <c r="A39" s="3213">
        <v>26</v>
      </c>
      <c r="B39" s="3208" t="s">
        <v>3384</v>
      </c>
      <c r="C39" s="3208" t="s">
        <v>3404</v>
      </c>
      <c r="D39" s="3209" t="s">
        <v>3394</v>
      </c>
      <c r="E39" s="3208">
        <v>825.22</v>
      </c>
      <c r="F39" s="3208" t="s">
        <v>3415</v>
      </c>
      <c r="G39" s="3208" t="s">
        <v>3449</v>
      </c>
      <c r="H39" s="3210">
        <f>典型户型修正!R43</f>
        <v>0</v>
      </c>
    </row>
    <row r="40" spans="1:12" ht="14.25">
      <c r="A40" s="3208">
        <v>27</v>
      </c>
      <c r="B40" s="3208" t="s">
        <v>3384</v>
      </c>
      <c r="C40" s="3208" t="s">
        <v>3404</v>
      </c>
      <c r="D40" s="3209" t="s">
        <v>3405</v>
      </c>
      <c r="E40" s="3208">
        <v>818.65</v>
      </c>
      <c r="F40" s="3208" t="s">
        <v>3415</v>
      </c>
      <c r="G40" s="3208" t="s">
        <v>3449</v>
      </c>
      <c r="H40" s="3210">
        <f>典型户型修正!R44</f>
        <v>0</v>
      </c>
    </row>
    <row r="41" spans="1:12" ht="14.25">
      <c r="A41" s="3213">
        <v>28</v>
      </c>
      <c r="B41" s="3208" t="s">
        <v>3384</v>
      </c>
      <c r="C41" s="3208" t="s">
        <v>3404</v>
      </c>
      <c r="D41" s="3209" t="s">
        <v>3395</v>
      </c>
      <c r="E41" s="3208">
        <v>76.45</v>
      </c>
      <c r="F41" s="3208" t="s">
        <v>3415</v>
      </c>
      <c r="G41" s="3208" t="s">
        <v>3449</v>
      </c>
      <c r="H41" s="3210">
        <f>典型户型修正!R45</f>
        <v>0</v>
      </c>
    </row>
    <row r="42" spans="1:12" ht="14.25">
      <c r="A42" s="3269" t="s">
        <v>3671</v>
      </c>
      <c r="B42" s="3270"/>
      <c r="C42" s="3270"/>
      <c r="D42" s="3271"/>
      <c r="E42" s="3208">
        <f>SUM(E32:E41)</f>
        <v>7555.2300000000005</v>
      </c>
      <c r="F42" s="3208"/>
      <c r="G42" s="3208"/>
      <c r="H42" s="3210">
        <f>ROUND(SUMPRODUCT(H32:H41,E32:E41)/E42,2)</f>
        <v>0.18</v>
      </c>
      <c r="I42" s="3214">
        <f>E42-明细表!F37</f>
        <v>0</v>
      </c>
      <c r="L42" s="3215"/>
    </row>
    <row r="43" spans="1:12" ht="14.25">
      <c r="A43" s="3208">
        <v>29</v>
      </c>
      <c r="B43" s="3208" t="s">
        <v>3384</v>
      </c>
      <c r="C43" s="3208" t="s">
        <v>3407</v>
      </c>
      <c r="D43" s="3209" t="s">
        <v>3387</v>
      </c>
      <c r="E43" s="3208">
        <v>854.85</v>
      </c>
      <c r="F43" s="3208" t="s">
        <v>3396</v>
      </c>
      <c r="G43" s="3208" t="s">
        <v>3396</v>
      </c>
      <c r="H43" s="3208">
        <f>H22</f>
        <v>0.8</v>
      </c>
    </row>
    <row r="44" spans="1:12" ht="14.25">
      <c r="A44" s="3213">
        <v>30</v>
      </c>
      <c r="B44" s="3213" t="s">
        <v>3384</v>
      </c>
      <c r="C44" s="3213" t="s">
        <v>3407</v>
      </c>
      <c r="D44" s="3209" t="s">
        <v>3388</v>
      </c>
      <c r="E44" s="3208">
        <f>853.96</f>
        <v>853.96</v>
      </c>
      <c r="F44" s="3208" t="s">
        <v>3676</v>
      </c>
      <c r="G44" s="3208" t="s">
        <v>3396</v>
      </c>
      <c r="H44" s="3208">
        <f>H23</f>
        <v>0.8</v>
      </c>
    </row>
    <row r="45" spans="1:12" ht="14.25">
      <c r="A45" s="3208">
        <v>31</v>
      </c>
      <c r="B45" s="3208" t="s">
        <v>3384</v>
      </c>
      <c r="C45" s="3208" t="s">
        <v>3407</v>
      </c>
      <c r="D45" s="3209" t="s">
        <v>3389</v>
      </c>
      <c r="E45" s="3208">
        <v>825.22</v>
      </c>
      <c r="F45" s="3208" t="s">
        <v>3415</v>
      </c>
      <c r="G45" s="3208" t="s">
        <v>3449</v>
      </c>
      <c r="H45" s="3210">
        <f>典型户型修正!R46</f>
        <v>0</v>
      </c>
    </row>
    <row r="46" spans="1:12" ht="14.25">
      <c r="A46" s="3213">
        <v>32</v>
      </c>
      <c r="B46" s="3208" t="s">
        <v>3384</v>
      </c>
      <c r="C46" s="3208" t="s">
        <v>3407</v>
      </c>
      <c r="D46" s="3209" t="s">
        <v>3390</v>
      </c>
      <c r="E46" s="3208">
        <v>825.22</v>
      </c>
      <c r="F46" s="3208" t="s">
        <v>3415</v>
      </c>
      <c r="G46" s="3208" t="s">
        <v>3449</v>
      </c>
      <c r="H46" s="3210">
        <f>典型户型修正!R47</f>
        <v>0</v>
      </c>
    </row>
    <row r="47" spans="1:12" ht="14.25">
      <c r="A47" s="3208">
        <v>33</v>
      </c>
      <c r="B47" s="3208" t="s">
        <v>3384</v>
      </c>
      <c r="C47" s="3208" t="s">
        <v>3407</v>
      </c>
      <c r="D47" s="3209" t="s">
        <v>3391</v>
      </c>
      <c r="E47" s="3208">
        <v>825.22</v>
      </c>
      <c r="F47" s="3208" t="s">
        <v>3415</v>
      </c>
      <c r="G47" s="3208" t="s">
        <v>3449</v>
      </c>
      <c r="H47" s="3210">
        <f>典型户型修正!R48</f>
        <v>0</v>
      </c>
    </row>
    <row r="48" spans="1:12" ht="14.25">
      <c r="A48" s="3213">
        <v>34</v>
      </c>
      <c r="B48" s="3208" t="s">
        <v>3384</v>
      </c>
      <c r="C48" s="3208" t="s">
        <v>3407</v>
      </c>
      <c r="D48" s="3209" t="s">
        <v>3392</v>
      </c>
      <c r="E48" s="3208">
        <v>825.22</v>
      </c>
      <c r="F48" s="3208" t="s">
        <v>3415</v>
      </c>
      <c r="G48" s="3208" t="s">
        <v>3449</v>
      </c>
      <c r="H48" s="3210">
        <f>典型户型修正!R49</f>
        <v>0</v>
      </c>
    </row>
    <row r="49" spans="1:12" ht="14.25">
      <c r="A49" s="3208">
        <v>35</v>
      </c>
      <c r="B49" s="3208" t="s">
        <v>3384</v>
      </c>
      <c r="C49" s="3208" t="s">
        <v>3407</v>
      </c>
      <c r="D49" s="3209" t="s">
        <v>3393</v>
      </c>
      <c r="E49" s="3208">
        <v>825.22</v>
      </c>
      <c r="F49" s="3208" t="s">
        <v>3415</v>
      </c>
      <c r="G49" s="3208" t="s">
        <v>3449</v>
      </c>
      <c r="H49" s="3210">
        <f>典型户型修正!R50</f>
        <v>0</v>
      </c>
    </row>
    <row r="50" spans="1:12" ht="14.25">
      <c r="A50" s="3213">
        <v>36</v>
      </c>
      <c r="B50" s="3208" t="s">
        <v>3384</v>
      </c>
      <c r="C50" s="3208" t="s">
        <v>3407</v>
      </c>
      <c r="D50" s="3209" t="s">
        <v>3394</v>
      </c>
      <c r="E50" s="3208">
        <v>825.22</v>
      </c>
      <c r="F50" s="3208" t="s">
        <v>3415</v>
      </c>
      <c r="G50" s="3208" t="s">
        <v>3449</v>
      </c>
      <c r="H50" s="3210">
        <f>典型户型修正!R51</f>
        <v>0</v>
      </c>
    </row>
    <row r="51" spans="1:12" ht="14.25">
      <c r="A51" s="3208">
        <v>37</v>
      </c>
      <c r="B51" s="3208" t="s">
        <v>3384</v>
      </c>
      <c r="C51" s="3208" t="s">
        <v>3407</v>
      </c>
      <c r="D51" s="3209" t="s">
        <v>3405</v>
      </c>
      <c r="E51" s="3208">
        <v>818.65</v>
      </c>
      <c r="F51" s="3208" t="s">
        <v>3415</v>
      </c>
      <c r="G51" s="3208" t="s">
        <v>3449</v>
      </c>
      <c r="H51" s="3210">
        <f>典型户型修正!R52</f>
        <v>0</v>
      </c>
    </row>
    <row r="52" spans="1:12" ht="14.25">
      <c r="A52" s="3213">
        <v>38</v>
      </c>
      <c r="B52" s="3208" t="s">
        <v>3384</v>
      </c>
      <c r="C52" s="3208" t="s">
        <v>3407</v>
      </c>
      <c r="D52" s="3209" t="s">
        <v>3395</v>
      </c>
      <c r="E52" s="3208">
        <v>76.45</v>
      </c>
      <c r="F52" s="3208" t="s">
        <v>3415</v>
      </c>
      <c r="G52" s="3208" t="s">
        <v>3449</v>
      </c>
      <c r="H52" s="3210">
        <f>典型户型修正!R53</f>
        <v>0</v>
      </c>
    </row>
    <row r="53" spans="1:12" ht="14.25">
      <c r="A53" s="3269" t="s">
        <v>3672</v>
      </c>
      <c r="B53" s="3270"/>
      <c r="C53" s="3270"/>
      <c r="D53" s="3271"/>
      <c r="E53" s="3208">
        <f>SUM(E43:E52)</f>
        <v>7555.2300000000005</v>
      </c>
      <c r="F53" s="3208"/>
      <c r="G53" s="3208"/>
      <c r="H53" s="3210">
        <f>ROUND(SUMPRODUCT(H43:H52,E43:E52)/E53,2)</f>
        <v>0.18</v>
      </c>
      <c r="I53" s="3214">
        <f>E53-明细表!F49</f>
        <v>0</v>
      </c>
      <c r="L53" s="3215"/>
    </row>
    <row r="54" spans="1:12" ht="14.25">
      <c r="A54" s="3208">
        <v>39</v>
      </c>
      <c r="B54" s="3208" t="s">
        <v>3384</v>
      </c>
      <c r="C54" s="3208" t="s">
        <v>3408</v>
      </c>
      <c r="D54" s="3209" t="s">
        <v>3387</v>
      </c>
      <c r="E54" s="3208">
        <v>867.93</v>
      </c>
      <c r="F54" s="3208" t="s">
        <v>3396</v>
      </c>
      <c r="G54" s="3208" t="s">
        <v>3396</v>
      </c>
      <c r="H54" s="3208">
        <f>H32</f>
        <v>0.8</v>
      </c>
    </row>
    <row r="55" spans="1:12" ht="14.25">
      <c r="A55" s="3213">
        <v>40</v>
      </c>
      <c r="B55" s="3213" t="s">
        <v>3384</v>
      </c>
      <c r="C55" s="3213" t="s">
        <v>3408</v>
      </c>
      <c r="D55" s="3209" t="s">
        <v>3388</v>
      </c>
      <c r="E55" s="3208">
        <f>597.58</f>
        <v>597.58000000000004</v>
      </c>
      <c r="F55" s="3208" t="s">
        <v>3676</v>
      </c>
      <c r="G55" s="3208" t="s">
        <v>3396</v>
      </c>
      <c r="H55" s="3208">
        <f>H33</f>
        <v>0.8</v>
      </c>
    </row>
    <row r="56" spans="1:12" ht="14.25">
      <c r="A56" s="3208">
        <v>41</v>
      </c>
      <c r="B56" s="3213" t="s">
        <v>3384</v>
      </c>
      <c r="C56" s="3213" t="s">
        <v>3408</v>
      </c>
      <c r="D56" s="3209" t="s">
        <v>3389</v>
      </c>
      <c r="E56" s="3208">
        <f>846.29</f>
        <v>846.29</v>
      </c>
      <c r="F56" s="3208" t="s">
        <v>3677</v>
      </c>
      <c r="G56" s="3208" t="s">
        <v>3449</v>
      </c>
      <c r="H56" s="3210">
        <f>典型户型修正!R54</f>
        <v>0</v>
      </c>
    </row>
    <row r="57" spans="1:12" ht="14.25">
      <c r="A57" s="3213">
        <v>42</v>
      </c>
      <c r="B57" s="3208" t="s">
        <v>3384</v>
      </c>
      <c r="C57" s="3208" t="s">
        <v>3408</v>
      </c>
      <c r="D57" s="3209" t="s">
        <v>3390</v>
      </c>
      <c r="E57" s="3208">
        <v>837.38</v>
      </c>
      <c r="F57" s="3208" t="s">
        <v>3415</v>
      </c>
      <c r="G57" s="3208" t="s">
        <v>3449</v>
      </c>
      <c r="H57" s="3210">
        <f>典型户型修正!R55</f>
        <v>0</v>
      </c>
    </row>
    <row r="58" spans="1:12" ht="14.25">
      <c r="A58" s="3208">
        <v>43</v>
      </c>
      <c r="B58" s="3208" t="s">
        <v>3384</v>
      </c>
      <c r="C58" s="3208" t="s">
        <v>3408</v>
      </c>
      <c r="D58" s="3209" t="s">
        <v>3391</v>
      </c>
      <c r="E58" s="3208">
        <v>837.38</v>
      </c>
      <c r="F58" s="3208" t="s">
        <v>3415</v>
      </c>
      <c r="G58" s="3208" t="s">
        <v>3449</v>
      </c>
      <c r="H58" s="3210">
        <f>典型户型修正!R56</f>
        <v>0</v>
      </c>
    </row>
    <row r="59" spans="1:12" ht="14.25">
      <c r="A59" s="3213">
        <v>44</v>
      </c>
      <c r="B59" s="3208" t="s">
        <v>3384</v>
      </c>
      <c r="C59" s="3208" t="s">
        <v>3408</v>
      </c>
      <c r="D59" s="3209" t="s">
        <v>3392</v>
      </c>
      <c r="E59" s="3208">
        <v>837.38</v>
      </c>
      <c r="F59" s="3208" t="s">
        <v>3415</v>
      </c>
      <c r="G59" s="3208" t="s">
        <v>3449</v>
      </c>
      <c r="H59" s="3210">
        <f>典型户型修正!R57</f>
        <v>0</v>
      </c>
    </row>
    <row r="60" spans="1:12" ht="14.25">
      <c r="A60" s="3208">
        <v>45</v>
      </c>
      <c r="B60" s="3208" t="s">
        <v>3384</v>
      </c>
      <c r="C60" s="3208" t="s">
        <v>3408</v>
      </c>
      <c r="D60" s="3209" t="s">
        <v>3393</v>
      </c>
      <c r="E60" s="3208">
        <v>837.38</v>
      </c>
      <c r="F60" s="3208" t="s">
        <v>3415</v>
      </c>
      <c r="G60" s="3208" t="s">
        <v>3449</v>
      </c>
      <c r="H60" s="3210">
        <f>典型户型修正!R58</f>
        <v>0</v>
      </c>
    </row>
    <row r="61" spans="1:12" ht="14.25">
      <c r="A61" s="3213">
        <v>46</v>
      </c>
      <c r="B61" s="3208" t="s">
        <v>3384</v>
      </c>
      <c r="C61" s="3208" t="s">
        <v>3408</v>
      </c>
      <c r="D61" s="3209" t="s">
        <v>3394</v>
      </c>
      <c r="E61" s="3208">
        <v>837.38</v>
      </c>
      <c r="F61" s="3208" t="s">
        <v>3415</v>
      </c>
      <c r="G61" s="3208" t="s">
        <v>3449</v>
      </c>
      <c r="H61" s="3210">
        <f>典型户型修正!R59</f>
        <v>0</v>
      </c>
    </row>
    <row r="62" spans="1:12" ht="14.25">
      <c r="A62" s="3208">
        <v>47</v>
      </c>
      <c r="B62" s="3208" t="s">
        <v>3384</v>
      </c>
      <c r="C62" s="3208" t="s">
        <v>3408</v>
      </c>
      <c r="D62" s="3209" t="s">
        <v>3395</v>
      </c>
      <c r="E62" s="3208">
        <v>78.319999999999993</v>
      </c>
      <c r="F62" s="3208" t="s">
        <v>3415</v>
      </c>
      <c r="G62" s="3208" t="s">
        <v>3449</v>
      </c>
      <c r="H62" s="3210">
        <f>典型户型修正!R60</f>
        <v>0</v>
      </c>
    </row>
    <row r="63" spans="1:12" ht="14.25">
      <c r="A63" s="3269" t="s">
        <v>3673</v>
      </c>
      <c r="B63" s="3270"/>
      <c r="C63" s="3270"/>
      <c r="D63" s="3271"/>
      <c r="E63" s="3208">
        <f>SUM(E54:E62)</f>
        <v>6577.02</v>
      </c>
      <c r="F63" s="3208"/>
      <c r="G63" s="3208"/>
      <c r="H63" s="3210">
        <f>ROUND(SUMPRODUCT(H54:H62,E54:E62)/E63,2)</f>
        <v>0.18</v>
      </c>
      <c r="I63" s="3214">
        <f>E63-明细表!F61</f>
        <v>0</v>
      </c>
      <c r="L63" s="3215"/>
    </row>
    <row r="64" spans="1:12" ht="14.25">
      <c r="A64" s="3208">
        <v>48</v>
      </c>
      <c r="B64" s="3208" t="s">
        <v>3384</v>
      </c>
      <c r="C64" s="3208" t="s">
        <v>3410</v>
      </c>
      <c r="D64" s="3209" t="s">
        <v>3409</v>
      </c>
      <c r="E64" s="3208">
        <f>746.22</f>
        <v>746.22</v>
      </c>
      <c r="F64" s="3208" t="s">
        <v>3678</v>
      </c>
      <c r="G64" s="3208" t="s">
        <v>3396</v>
      </c>
      <c r="H64" s="3208">
        <f>H43</f>
        <v>0.8</v>
      </c>
    </row>
    <row r="65" spans="1:9" ht="14.25">
      <c r="A65" s="3208">
        <v>49</v>
      </c>
      <c r="B65" s="3208" t="s">
        <v>3384</v>
      </c>
      <c r="C65" s="3208" t="s">
        <v>3410</v>
      </c>
      <c r="D65" s="3209" t="s">
        <v>3387</v>
      </c>
      <c r="E65" s="3208">
        <f>1529.66</f>
        <v>1529.66</v>
      </c>
      <c r="F65" s="3208" t="s">
        <v>3678</v>
      </c>
      <c r="G65" s="3208" t="s">
        <v>3414</v>
      </c>
      <c r="H65" s="3210">
        <f>典型户型修正!R61</f>
        <v>0</v>
      </c>
    </row>
    <row r="66" spans="1:9" ht="14.25">
      <c r="A66" s="3208">
        <v>50</v>
      </c>
      <c r="B66" s="3208" t="s">
        <v>3384</v>
      </c>
      <c r="C66" s="3208" t="s">
        <v>3410</v>
      </c>
      <c r="D66" s="3209" t="s">
        <v>3388</v>
      </c>
      <c r="E66" s="3208">
        <f>309.39</f>
        <v>309.39</v>
      </c>
      <c r="F66" s="3208" t="s">
        <v>3678</v>
      </c>
      <c r="G66" s="3208" t="s">
        <v>3396</v>
      </c>
      <c r="H66" s="3208">
        <f>H64</f>
        <v>0.8</v>
      </c>
    </row>
    <row r="67" spans="1:9" ht="14.25">
      <c r="A67" s="3208">
        <v>51</v>
      </c>
      <c r="B67" s="3208" t="s">
        <v>3384</v>
      </c>
      <c r="C67" s="3208" t="s">
        <v>3410</v>
      </c>
      <c r="D67" s="3209" t="s">
        <v>3389</v>
      </c>
      <c r="E67" s="3208">
        <f>1351.38</f>
        <v>1351.38</v>
      </c>
      <c r="F67" s="3208" t="s">
        <v>3679</v>
      </c>
      <c r="G67" s="3208" t="s">
        <v>2809</v>
      </c>
      <c r="H67" s="3210">
        <f>典型户型修正!R62</f>
        <v>0</v>
      </c>
    </row>
    <row r="68" spans="1:9" ht="14.25">
      <c r="A68" s="3208">
        <v>52</v>
      </c>
      <c r="B68" s="3208" t="s">
        <v>3384</v>
      </c>
      <c r="C68" s="3208" t="s">
        <v>3410</v>
      </c>
      <c r="D68" s="3209" t="s">
        <v>3390</v>
      </c>
      <c r="E68" s="3208">
        <f>1349.49</f>
        <v>1349.49</v>
      </c>
      <c r="F68" s="3208" t="s">
        <v>3680</v>
      </c>
      <c r="G68" s="3208" t="s">
        <v>2809</v>
      </c>
      <c r="H68" s="3210">
        <f>典型户型修正!R63</f>
        <v>0</v>
      </c>
    </row>
    <row r="69" spans="1:9" ht="14.25">
      <c r="A69" s="3208">
        <v>53</v>
      </c>
      <c r="B69" s="3208" t="s">
        <v>3384</v>
      </c>
      <c r="C69" s="3208" t="s">
        <v>3410</v>
      </c>
      <c r="D69" s="3209" t="s">
        <v>3391</v>
      </c>
      <c r="E69" s="3208">
        <v>1325.8</v>
      </c>
      <c r="F69" s="3208" t="s">
        <v>3415</v>
      </c>
      <c r="G69" s="3208" t="s">
        <v>2809</v>
      </c>
      <c r="H69" s="3210">
        <f>典型户型修正!R64</f>
        <v>0</v>
      </c>
    </row>
    <row r="70" spans="1:9" ht="14.25">
      <c r="A70" s="3208">
        <v>54</v>
      </c>
      <c r="B70" s="3208" t="s">
        <v>3384</v>
      </c>
      <c r="C70" s="3208" t="s">
        <v>3410</v>
      </c>
      <c r="D70" s="3209" t="s">
        <v>3392</v>
      </c>
      <c r="E70" s="3208">
        <v>1321.31</v>
      </c>
      <c r="F70" s="3208" t="s">
        <v>3400</v>
      </c>
      <c r="G70" s="3208" t="s">
        <v>2809</v>
      </c>
      <c r="H70" s="3210">
        <f>典型户型修正!R65</f>
        <v>0</v>
      </c>
    </row>
    <row r="71" spans="1:9" ht="14.25">
      <c r="A71" s="3208">
        <v>55</v>
      </c>
      <c r="B71" s="3208" t="s">
        <v>3384</v>
      </c>
      <c r="C71" s="3208" t="s">
        <v>3410</v>
      </c>
      <c r="D71" s="3209" t="s">
        <v>3393</v>
      </c>
      <c r="E71" s="3208">
        <v>994.98</v>
      </c>
      <c r="F71" s="3208" t="s">
        <v>3416</v>
      </c>
      <c r="G71" s="3208" t="s">
        <v>2809</v>
      </c>
      <c r="H71" s="3210">
        <f>典型户型修正!R66</f>
        <v>0</v>
      </c>
    </row>
    <row r="72" spans="1:9" ht="14.25">
      <c r="A72" s="3208">
        <v>56</v>
      </c>
      <c r="B72" s="3208" t="s">
        <v>3384</v>
      </c>
      <c r="C72" s="3208" t="s">
        <v>3410</v>
      </c>
      <c r="D72" s="3209" t="s">
        <v>3395</v>
      </c>
      <c r="E72" s="3208">
        <v>81.45</v>
      </c>
      <c r="F72" s="3208" t="s">
        <v>3400</v>
      </c>
      <c r="G72" s="3208" t="s">
        <v>2809</v>
      </c>
      <c r="H72" s="3208">
        <v>0</v>
      </c>
    </row>
    <row r="73" spans="1:9" ht="14.25">
      <c r="A73" s="3268" t="s">
        <v>3674</v>
      </c>
      <c r="B73" s="3268"/>
      <c r="C73" s="3268"/>
      <c r="D73" s="3268"/>
      <c r="E73" s="3208">
        <f>SUM(E64:E72)</f>
        <v>9009.68</v>
      </c>
      <c r="F73" s="3208"/>
      <c r="G73" s="3208"/>
      <c r="H73" s="3210">
        <f>ROUND(SUMPRODUCT(H64:H72,E64:E72)/E73,2)</f>
        <v>0.09</v>
      </c>
      <c r="I73" s="3214">
        <f>E73-明细表!F76</f>
        <v>0</v>
      </c>
    </row>
    <row r="74" spans="1:9" ht="14.25">
      <c r="A74" s="3268" t="s">
        <v>3675</v>
      </c>
      <c r="B74" s="3268"/>
      <c r="C74" s="3268"/>
      <c r="D74" s="3268"/>
      <c r="E74" s="3208">
        <f>SUM(E73,E63,E53,E42,E31,E21)</f>
        <v>43921.64</v>
      </c>
      <c r="F74" s="3208"/>
      <c r="G74" s="3208"/>
      <c r="H74" s="3210">
        <f>SUM(I21:I73)/E74</f>
        <v>0</v>
      </c>
    </row>
    <row r="76" spans="1:9" ht="14.25">
      <c r="A76" s="3208" t="s">
        <v>3379</v>
      </c>
      <c r="B76" s="3208" t="s">
        <v>3381</v>
      </c>
      <c r="C76" s="3208" t="s">
        <v>3380</v>
      </c>
      <c r="D76" s="3209" t="s">
        <v>3386</v>
      </c>
      <c r="E76" s="3208" t="s">
        <v>3382</v>
      </c>
      <c r="F76" s="3208" t="s">
        <v>3383</v>
      </c>
    </row>
    <row r="77" spans="1:9" ht="14.25">
      <c r="A77" s="3208">
        <v>1</v>
      </c>
      <c r="B77" s="3208" t="s">
        <v>3384</v>
      </c>
      <c r="C77" s="3208" t="s">
        <v>3438</v>
      </c>
      <c r="D77" s="3209" t="s">
        <v>3442</v>
      </c>
      <c r="E77" s="3208">
        <v>674.52</v>
      </c>
      <c r="F77" s="3208" t="s">
        <v>3439</v>
      </c>
      <c r="G77" s="3208" t="s">
        <v>3452</v>
      </c>
      <c r="H77" s="3208"/>
    </row>
    <row r="78" spans="1:9" ht="14.25">
      <c r="A78" s="3208">
        <v>2</v>
      </c>
      <c r="B78" s="3208" t="s">
        <v>3384</v>
      </c>
      <c r="C78" s="3208" t="s">
        <v>3438</v>
      </c>
      <c r="D78" s="3209" t="s">
        <v>3442</v>
      </c>
      <c r="E78" s="3208">
        <v>2078.5500000000002</v>
      </c>
      <c r="F78" s="3208" t="s">
        <v>3440</v>
      </c>
      <c r="G78" s="3208" t="s">
        <v>3452</v>
      </c>
      <c r="H78" s="3208"/>
    </row>
    <row r="79" spans="1:9" ht="14.25">
      <c r="A79" s="3208">
        <v>3</v>
      </c>
      <c r="B79" s="3208" t="s">
        <v>3384</v>
      </c>
      <c r="C79" s="3208" t="s">
        <v>3438</v>
      </c>
      <c r="D79" s="3209" t="s">
        <v>3442</v>
      </c>
      <c r="E79" s="3208">
        <v>788.31</v>
      </c>
      <c r="F79" s="3208" t="s">
        <v>3441</v>
      </c>
      <c r="G79" s="3208" t="s">
        <v>3452</v>
      </c>
      <c r="H79" s="3208"/>
    </row>
    <row r="80" spans="1:9" ht="14.25">
      <c r="A80" s="3211">
        <v>4</v>
      </c>
      <c r="B80" s="3208" t="s">
        <v>3384</v>
      </c>
      <c r="C80" s="3208" t="s">
        <v>3438</v>
      </c>
      <c r="D80" s="3209" t="s">
        <v>3442</v>
      </c>
      <c r="E80" s="3208">
        <f>81535.07-E81</f>
        <v>80860.55</v>
      </c>
      <c r="F80" s="3208" t="s">
        <v>3444</v>
      </c>
      <c r="G80" s="3208" t="s">
        <v>3453</v>
      </c>
      <c r="H80" s="3208"/>
    </row>
    <row r="81" spans="1:8" ht="14.25">
      <c r="A81" s="3211">
        <v>5</v>
      </c>
      <c r="B81" s="3208" t="s">
        <v>3384</v>
      </c>
      <c r="C81" s="3208" t="s">
        <v>3438</v>
      </c>
      <c r="D81" s="3209" t="s">
        <v>3442</v>
      </c>
      <c r="E81" s="3208">
        <f>630.34+44.18</f>
        <v>674.52</v>
      </c>
      <c r="F81" s="3208" t="s">
        <v>3445</v>
      </c>
      <c r="G81" s="3208" t="s">
        <v>3452</v>
      </c>
      <c r="H81" s="3208"/>
    </row>
    <row r="82" spans="1:8" ht="14.25">
      <c r="A82" s="3211">
        <v>6</v>
      </c>
      <c r="B82" s="3208" t="s">
        <v>3384</v>
      </c>
      <c r="C82" s="3208" t="s">
        <v>3438</v>
      </c>
      <c r="D82" s="3209" t="s">
        <v>3442</v>
      </c>
      <c r="E82" s="3208">
        <v>22605.360000000001</v>
      </c>
      <c r="F82" s="3208" t="s">
        <v>3446</v>
      </c>
      <c r="G82" s="3208" t="s">
        <v>3452</v>
      </c>
      <c r="H82" s="3208"/>
    </row>
    <row r="83" spans="1:8" ht="14.25">
      <c r="A83" s="3269" t="s">
        <v>3443</v>
      </c>
      <c r="B83" s="3270"/>
      <c r="C83" s="3270"/>
      <c r="D83" s="3271"/>
      <c r="E83" s="3208">
        <f>SUM(E77:E82)</f>
        <v>107681.81000000001</v>
      </c>
      <c r="F83" s="3208"/>
      <c r="G83" s="3208"/>
      <c r="H83" s="3208"/>
    </row>
    <row r="84" spans="1:8" ht="14.25">
      <c r="A84" s="3208">
        <v>7</v>
      </c>
      <c r="B84" s="3208" t="s">
        <v>3384</v>
      </c>
      <c r="C84" s="3208" t="s">
        <v>3447</v>
      </c>
      <c r="D84" s="3209" t="s">
        <v>3442</v>
      </c>
      <c r="E84" s="3208">
        <v>531.61</v>
      </c>
      <c r="F84" s="3208" t="s">
        <v>3439</v>
      </c>
      <c r="G84" s="3208" t="s">
        <v>3452</v>
      </c>
      <c r="H84" s="3208"/>
    </row>
    <row r="85" spans="1:8" ht="14.25">
      <c r="A85" s="3208">
        <v>8</v>
      </c>
      <c r="B85" s="3208" t="s">
        <v>3384</v>
      </c>
      <c r="C85" s="3208" t="s">
        <v>3447</v>
      </c>
      <c r="D85" s="3209" t="s">
        <v>3442</v>
      </c>
      <c r="E85" s="3208">
        <v>915.4</v>
      </c>
      <c r="F85" s="3208" t="s">
        <v>3441</v>
      </c>
      <c r="G85" s="3208" t="s">
        <v>3452</v>
      </c>
      <c r="H85" s="3208"/>
    </row>
    <row r="86" spans="1:8" ht="14.25">
      <c r="A86" s="3208">
        <v>9</v>
      </c>
      <c r="B86" s="3208" t="s">
        <v>3384</v>
      </c>
      <c r="C86" s="3208" t="s">
        <v>3447</v>
      </c>
      <c r="D86" s="3209" t="s">
        <v>3442</v>
      </c>
      <c r="E86" s="3208">
        <f>11030.93-E87</f>
        <v>10499.32</v>
      </c>
      <c r="F86" s="3208" t="s">
        <v>3444</v>
      </c>
      <c r="G86" s="3208" t="s">
        <v>3453</v>
      </c>
      <c r="H86" s="3208"/>
    </row>
    <row r="87" spans="1:8" ht="14.25">
      <c r="A87" s="3208">
        <v>10</v>
      </c>
      <c r="B87" s="3208" t="s">
        <v>3384</v>
      </c>
      <c r="C87" s="3208" t="s">
        <v>3447</v>
      </c>
      <c r="D87" s="3209" t="s">
        <v>3442</v>
      </c>
      <c r="E87" s="3208">
        <f>507.17+24.44</f>
        <v>531.61</v>
      </c>
      <c r="F87" s="3208" t="s">
        <v>3445</v>
      </c>
      <c r="G87" s="3208" t="s">
        <v>3452</v>
      </c>
      <c r="H87" s="3208"/>
    </row>
    <row r="88" spans="1:8" ht="14.25">
      <c r="A88" s="3268" t="s">
        <v>3443</v>
      </c>
      <c r="B88" s="3268"/>
      <c r="C88" s="3268"/>
      <c r="D88" s="3268"/>
      <c r="E88" s="3208">
        <f>SUM(E84:E87)</f>
        <v>12477.94</v>
      </c>
      <c r="F88" s="3208"/>
      <c r="G88" s="3208"/>
      <c r="H88" s="3208"/>
    </row>
    <row r="89" spans="1:8" ht="14.25">
      <c r="A89" s="3268" t="s">
        <v>3675</v>
      </c>
      <c r="B89" s="3268"/>
      <c r="C89" s="3268"/>
      <c r="D89" s="3268"/>
      <c r="E89" s="3208">
        <f>SUM(E88,E83)</f>
        <v>120159.75000000001</v>
      </c>
      <c r="F89" s="3208"/>
      <c r="G89" s="3208"/>
      <c r="H89" s="3208"/>
    </row>
    <row r="92" spans="1:8">
      <c r="B92" s="3272" t="s">
        <v>3555</v>
      </c>
      <c r="C92" s="3264" t="s">
        <v>3556</v>
      </c>
      <c r="D92" s="3265"/>
      <c r="E92" s="3266"/>
      <c r="F92" s="3264" t="s">
        <v>3557</v>
      </c>
      <c r="G92" s="3265"/>
      <c r="H92" s="3266"/>
    </row>
    <row r="93" spans="1:8">
      <c r="B93" s="3273"/>
      <c r="C93" s="3218" t="s">
        <v>3558</v>
      </c>
      <c r="D93" s="3218" t="s">
        <v>3559</v>
      </c>
      <c r="E93" s="3218" t="s">
        <v>3560</v>
      </c>
      <c r="F93" s="3218" t="s">
        <v>3558</v>
      </c>
      <c r="G93" s="3218" t="s">
        <v>3559</v>
      </c>
      <c r="H93" s="3218" t="s">
        <v>3560</v>
      </c>
    </row>
    <row r="94" spans="1:8">
      <c r="B94" s="3218" t="s">
        <v>3561</v>
      </c>
      <c r="C94" s="3218" t="s">
        <v>3562</v>
      </c>
      <c r="D94" s="3218" t="s">
        <v>3562</v>
      </c>
      <c r="E94" s="3218">
        <v>504</v>
      </c>
      <c r="F94" s="3218" t="s">
        <v>3562</v>
      </c>
      <c r="G94" s="3218" t="s">
        <v>3562</v>
      </c>
      <c r="H94" s="3218">
        <v>93</v>
      </c>
    </row>
    <row r="95" spans="1:8">
      <c r="B95" s="3218" t="s">
        <v>3563</v>
      </c>
      <c r="C95" s="3218">
        <v>715</v>
      </c>
      <c r="D95" s="3218">
        <v>898</v>
      </c>
      <c r="E95" s="3218">
        <v>340</v>
      </c>
      <c r="F95" s="3218">
        <v>46</v>
      </c>
      <c r="G95" s="3218">
        <v>73</v>
      </c>
      <c r="H95" s="3218" t="s">
        <v>3562</v>
      </c>
    </row>
    <row r="96" spans="1:8">
      <c r="B96" s="3218" t="s">
        <v>3564</v>
      </c>
      <c r="C96" s="3218">
        <f t="shared" ref="C96:G96" si="2">SUM(C94:C95)</f>
        <v>715</v>
      </c>
      <c r="D96" s="3218">
        <f t="shared" si="2"/>
        <v>898</v>
      </c>
      <c r="E96" s="3218">
        <f t="shared" si="2"/>
        <v>844</v>
      </c>
      <c r="F96" s="3218">
        <f t="shared" si="2"/>
        <v>46</v>
      </c>
      <c r="G96" s="3218">
        <f t="shared" si="2"/>
        <v>73</v>
      </c>
      <c r="H96" s="3218">
        <f>SUM(H94:H95)</f>
        <v>93</v>
      </c>
    </row>
    <row r="97" spans="2:8">
      <c r="B97" s="3218" t="s">
        <v>3565</v>
      </c>
      <c r="C97" s="3267">
        <f>SUM(C96:E96)</f>
        <v>2457</v>
      </c>
      <c r="D97" s="3267"/>
      <c r="E97" s="3267"/>
      <c r="F97" s="3267">
        <f>SUM(F96:H96)</f>
        <v>212</v>
      </c>
      <c r="G97" s="3267"/>
      <c r="H97" s="3267"/>
    </row>
    <row r="98" spans="2:8">
      <c r="B98" s="3218" t="s">
        <v>3566</v>
      </c>
      <c r="C98" s="3267">
        <f>C97+F97</f>
        <v>2669</v>
      </c>
      <c r="D98" s="3267"/>
      <c r="E98" s="3267"/>
      <c r="F98" s="3267"/>
      <c r="G98" s="3267"/>
      <c r="H98" s="3267"/>
    </row>
  </sheetData>
  <mergeCells count="18">
    <mergeCell ref="A21:D21"/>
    <mergeCell ref="A8:D8"/>
    <mergeCell ref="J1:K1"/>
    <mergeCell ref="A73:D73"/>
    <mergeCell ref="A63:D63"/>
    <mergeCell ref="A42:D42"/>
    <mergeCell ref="A53:D53"/>
    <mergeCell ref="A31:D31"/>
    <mergeCell ref="A74:D74"/>
    <mergeCell ref="A83:D83"/>
    <mergeCell ref="A88:D88"/>
    <mergeCell ref="B92:B93"/>
    <mergeCell ref="C92:E92"/>
    <mergeCell ref="F92:H92"/>
    <mergeCell ref="C97:E97"/>
    <mergeCell ref="F97:H97"/>
    <mergeCell ref="C98:H98"/>
    <mergeCell ref="A89:D89"/>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2286</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444" t="s">
        <v>385</v>
      </c>
      <c r="C54" s="1442" t="s">
        <v>583</v>
      </c>
    </row>
    <row r="55" spans="1:4">
      <c r="A55" s="3274"/>
      <c r="B55" s="1444" t="s">
        <v>386</v>
      </c>
      <c r="C55" s="1442" t="s">
        <v>584</v>
      </c>
    </row>
    <row r="56" spans="1:4">
      <c r="A56" s="3274"/>
      <c r="B56" s="1444" t="s">
        <v>387</v>
      </c>
      <c r="C56" s="1442" t="s">
        <v>588</v>
      </c>
    </row>
    <row r="57" spans="1:4">
      <c r="A57" s="327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275" t="s">
        <v>2577</v>
      </c>
      <c r="J2" s="3275"/>
      <c r="K2" s="3275"/>
      <c r="L2" s="3275"/>
      <c r="M2" s="3275"/>
      <c r="N2" s="3275"/>
      <c r="O2" s="3275"/>
      <c r="P2" s="3275"/>
      <c r="Q2" s="3275"/>
      <c r="R2" s="3275"/>
    </row>
    <row r="3" spans="1:18">
      <c r="A3" s="2758" t="s">
        <v>2498</v>
      </c>
      <c r="B3" s="2759">
        <f>项目基本情况!D3</f>
        <v>45215</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3.17</v>
      </c>
      <c r="D5" s="2763">
        <f>IF(ISERROR(ROUND(POWER(1+E5,A5-C5)*(POWER(1+E5,C5)-1)/(POWER(1+E5,A5)-1),3)),0,ROUND(POWER(1+E5,A5-C5)*(POWER(1+E5,C5)-1)/(POWER(1+E5,A5)-1),4))</f>
        <v>0.1477</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13.18</v>
      </c>
      <c r="D6" s="2763">
        <f>IF(ISERROR(ROUND(POWER(1+E6,A6-C6)*(POWER(1+E6,C6)-1)/(POWER(1+E6,A6)-1),3)),0,ROUND(POWER(1+E6,A6-C6)*(POWER(1+E6,C6)-1)/(POWER(1+E6,A6)-1),4))</f>
        <v>0.4698</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33.200000000000003</v>
      </c>
      <c r="D7" s="2763">
        <f>IF(ISERROR(ROUND(POWER(1+E7,A7-C7)*(POWER(1+E7,C7)-1)/(POWER(1+E7,A7)-1),3)),0,ROUND(POWER(1+E7,A7-C7)*(POWER(1+E7,C7)-1)/(POWER(1+E7,A7)-1),4))</f>
        <v>0.77800000000000002</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2564</v>
      </c>
      <c r="M23" s="2795" t="s">
        <v>2565</v>
      </c>
    </row>
    <row r="24" spans="1:13">
      <c r="A24" s="2772" t="s">
        <v>2525</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2563</v>
      </c>
      <c r="M24" s="2795">
        <v>10</v>
      </c>
    </row>
    <row r="25" spans="1:13">
      <c r="A25" s="2772" t="s">
        <v>2526</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2567</v>
      </c>
      <c r="M25" s="2795">
        <v>8</v>
      </c>
    </row>
    <row r="26" spans="1:13">
      <c r="A26" s="2777"/>
      <c r="B26" s="2778"/>
      <c r="C26" s="2778"/>
      <c r="D26" s="2778"/>
      <c r="E26" s="2778"/>
      <c r="F26" s="2778"/>
      <c r="G26" s="2779"/>
      <c r="I26" s="2795">
        <v>30</v>
      </c>
      <c r="J26" s="2795">
        <v>90.5</v>
      </c>
      <c r="K26" s="2795">
        <f t="shared" si="2"/>
        <v>4.2000000000000028</v>
      </c>
      <c r="L26" s="2795" t="s">
        <v>2568</v>
      </c>
      <c r="M26" s="2795">
        <v>5</v>
      </c>
    </row>
    <row r="27" spans="1:13">
      <c r="A27" s="2777" t="s">
        <v>2527</v>
      </c>
      <c r="B27" s="2778"/>
      <c r="C27" s="2778"/>
      <c r="D27" s="2778"/>
      <c r="E27" s="2778"/>
      <c r="F27" s="2778"/>
      <c r="G27" s="2779"/>
      <c r="I27" s="2795">
        <v>35</v>
      </c>
      <c r="J27" s="2795">
        <v>93.8</v>
      </c>
      <c r="K27" s="2795">
        <f t="shared" si="2"/>
        <v>3.2999999999999972</v>
      </c>
      <c r="L27" s="2795" t="s">
        <v>2569</v>
      </c>
      <c r="M27" s="2795">
        <v>3</v>
      </c>
    </row>
    <row r="28" spans="1:13">
      <c r="A28" s="2777" t="s">
        <v>2528</v>
      </c>
      <c r="B28" s="2778"/>
      <c r="C28" s="2778"/>
      <c r="D28" s="2778"/>
      <c r="E28" s="2778"/>
      <c r="F28" s="2778"/>
      <c r="G28" s="2779"/>
      <c r="I28" s="2795">
        <v>40</v>
      </c>
      <c r="J28" s="2795">
        <v>96.4</v>
      </c>
      <c r="K28" s="2795">
        <f t="shared" si="2"/>
        <v>2.6000000000000085</v>
      </c>
      <c r="L28" s="2795" t="s">
        <v>2570</v>
      </c>
      <c r="M28" s="2795">
        <v>2</v>
      </c>
    </row>
    <row r="29" spans="1:13">
      <c r="A29" s="2777" t="s">
        <v>2529</v>
      </c>
      <c r="B29" s="2778"/>
      <c r="C29" s="2778"/>
      <c r="D29" s="2778"/>
      <c r="E29" s="2778"/>
      <c r="F29" s="2778"/>
      <c r="G29" s="2779"/>
      <c r="I29" s="2795">
        <v>45</v>
      </c>
      <c r="J29" s="2795">
        <v>98.4</v>
      </c>
      <c r="K29" s="2795">
        <f t="shared" si="2"/>
        <v>2</v>
      </c>
    </row>
    <row r="30" spans="1:13">
      <c r="A30" s="2777" t="s">
        <v>2530</v>
      </c>
      <c r="B30" s="2778"/>
      <c r="C30" s="2778"/>
      <c r="D30" s="2778"/>
      <c r="E30" s="2778"/>
      <c r="F30" s="2778"/>
      <c r="G30" s="2779"/>
      <c r="I30" s="2795">
        <v>50</v>
      </c>
      <c r="J30" s="2795">
        <v>100</v>
      </c>
      <c r="K30" s="2795">
        <f t="shared" si="2"/>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3">J36-J35</f>
        <v>9.2999999999999972</v>
      </c>
      <c r="L36" s="2795" t="s">
        <v>2564</v>
      </c>
      <c r="M36" s="2795" t="s">
        <v>2565</v>
      </c>
    </row>
    <row r="37" spans="1:13">
      <c r="A37" s="2777" t="s">
        <v>2537</v>
      </c>
      <c r="B37" s="2778"/>
      <c r="C37" s="2778"/>
      <c r="D37" s="2778"/>
      <c r="E37" s="2778"/>
      <c r="F37" s="2778"/>
      <c r="G37" s="2779"/>
      <c r="I37" s="2795">
        <v>20</v>
      </c>
      <c r="J37" s="2795">
        <v>83.6</v>
      </c>
      <c r="K37" s="2795">
        <f t="shared" si="3"/>
        <v>7.2999999999999972</v>
      </c>
      <c r="L37" s="2795" t="s">
        <v>2563</v>
      </c>
      <c r="M37" s="2795">
        <v>10</v>
      </c>
    </row>
    <row r="38" spans="1:13">
      <c r="A38" s="2777" t="s">
        <v>2538</v>
      </c>
      <c r="B38" s="2778"/>
      <c r="C38" s="2778"/>
      <c r="D38" s="2778"/>
      <c r="E38" s="2778"/>
      <c r="F38" s="2778"/>
      <c r="G38" s="2779"/>
      <c r="I38" s="2795">
        <v>25</v>
      </c>
      <c r="J38" s="2795">
        <v>89.3</v>
      </c>
      <c r="K38" s="2795">
        <f t="shared" si="3"/>
        <v>5.7000000000000028</v>
      </c>
      <c r="L38" s="2795" t="s">
        <v>2567</v>
      </c>
      <c r="M38" s="2795">
        <v>8</v>
      </c>
    </row>
    <row r="39" spans="1:13">
      <c r="A39" s="2777"/>
      <c r="B39" s="2778"/>
      <c r="C39" s="2778"/>
      <c r="D39" s="2778"/>
      <c r="E39" s="2778"/>
      <c r="F39" s="2778"/>
      <c r="G39" s="2779"/>
      <c r="I39" s="2795">
        <v>30</v>
      </c>
      <c r="J39" s="2795">
        <v>93.8</v>
      </c>
      <c r="K39" s="2795">
        <f t="shared" si="3"/>
        <v>4.5</v>
      </c>
      <c r="L39" s="2795" t="s">
        <v>2568</v>
      </c>
      <c r="M39" s="2795">
        <v>6</v>
      </c>
    </row>
    <row r="40" spans="1:13">
      <c r="A40" s="2780" t="s">
        <v>2539</v>
      </c>
      <c r="B40" s="2781"/>
      <c r="C40" s="2781"/>
      <c r="D40" s="2781"/>
      <c r="E40" s="2781"/>
      <c r="F40" s="2781"/>
      <c r="G40" s="2782"/>
      <c r="I40" s="2795">
        <v>35</v>
      </c>
      <c r="J40" s="2795">
        <v>97.2</v>
      </c>
      <c r="K40" s="2795">
        <f t="shared" si="3"/>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3"/>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1" sqref="L21"/>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2165</v>
      </c>
      <c r="B1" s="3283" t="str">
        <f>IF(B10="北京市","北京市",C10)&amp;F10&amp;IF(结果表!G1="在建","出让国有建设用地使用权及在建建筑物",IF(结果表!G1="土地","出让国有建设用地使用权",))&amp;B9&amp;"预评估"</f>
        <v>北京市房地产市场价值预评估</v>
      </c>
      <c r="C1" s="3284"/>
      <c r="D1" s="3284"/>
      <c r="E1" s="3284"/>
      <c r="F1" s="3284"/>
      <c r="G1" s="3284"/>
      <c r="H1" s="3284"/>
      <c r="I1" s="3285"/>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北京市房地产市场价值</v>
      </c>
      <c r="T1" s="1615"/>
      <c r="U1" s="1615"/>
      <c r="V1" s="1615"/>
      <c r="W1" s="1615"/>
      <c r="X1" s="1615"/>
      <c r="Y1" s="1615"/>
      <c r="Z1" s="1615"/>
      <c r="AA1" s="1615"/>
      <c r="AB1" s="1615"/>
    </row>
    <row r="2" spans="1:30">
      <c r="A2" s="2179" t="s">
        <v>2166</v>
      </c>
      <c r="B2" s="122"/>
      <c r="D2" s="2443"/>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2167</v>
      </c>
      <c r="B3" s="2182">
        <v>45215</v>
      </c>
      <c r="C3" s="2183" t="s">
        <v>2168</v>
      </c>
      <c r="D3" s="2182">
        <f>B3</f>
        <v>45215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2169</v>
      </c>
      <c r="B4" s="2184" t="s">
        <v>3373</v>
      </c>
      <c r="C4" s="2185">
        <f ca="1">SUMIF(注册房地产估价师,B4,估价师及机构信息!B3:B24)</f>
        <v>1120070131</v>
      </c>
      <c r="D4" s="2184" t="s">
        <v>3374</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2"/>
      <c r="K4" s="2186" t="str">
        <f ca="1">CONCATENATE(B4,"（注册号：",C4,")、",D4,"（注册号：",E4,")")</f>
        <v>郑燚（注册号：1120070131)、吴薇（注册号：1419970001)</v>
      </c>
      <c r="L4" s="2181"/>
      <c r="M4" s="2181"/>
      <c r="N4" s="2179"/>
      <c r="O4" s="1463"/>
      <c r="P4" s="2179"/>
      <c r="Q4" s="2179"/>
      <c r="R4" s="2179"/>
      <c r="S4" s="1558"/>
      <c r="T4" s="1615"/>
      <c r="U4" s="1615"/>
      <c r="V4" s="1615"/>
      <c r="W4" s="1615"/>
      <c r="X4" s="1615"/>
      <c r="Y4" s="1615"/>
      <c r="Z4" s="1615"/>
      <c r="AA4" s="1615"/>
      <c r="AB4" s="1615"/>
    </row>
    <row r="5" spans="1:30" ht="13.5" thickTop="1">
      <c r="A5" s="2187" t="s">
        <v>2170</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2171</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2172</v>
      </c>
      <c r="B7" s="2195"/>
      <c r="C7" s="2193"/>
      <c r="D7" s="2194"/>
      <c r="E7" s="2436"/>
      <c r="F7" s="2437"/>
      <c r="G7" s="2437"/>
      <c r="H7" s="2437"/>
      <c r="I7" s="2437"/>
      <c r="J7" s="2242"/>
      <c r="K7" s="2397"/>
      <c r="L7" s="2394"/>
      <c r="M7" s="2394"/>
      <c r="N7" s="2242"/>
      <c r="O7" s="1667"/>
      <c r="P7" s="2242"/>
      <c r="Q7" s="2242"/>
      <c r="R7" s="2242"/>
    </row>
    <row r="8" spans="1:30">
      <c r="A8" s="2196" t="s">
        <v>2173</v>
      </c>
      <c r="B8" s="2197" t="s">
        <v>3375</v>
      </c>
      <c r="C8" s="2198"/>
      <c r="D8" s="3286" t="s">
        <v>2174</v>
      </c>
      <c r="E8" s="2199" t="s">
        <v>3376</v>
      </c>
      <c r="F8" s="2200"/>
      <c r="G8" s="2437"/>
      <c r="H8" s="2437"/>
      <c r="I8" s="2437"/>
      <c r="J8" s="2242"/>
      <c r="K8" s="2395"/>
      <c r="L8" s="2394"/>
      <c r="M8" s="2394"/>
      <c r="N8" s="2242"/>
      <c r="O8" s="1667"/>
      <c r="P8" s="2242"/>
      <c r="Q8" s="2242"/>
      <c r="R8" s="2242"/>
    </row>
    <row r="9" spans="1:30" ht="13.5" thickBot="1">
      <c r="A9" s="2201" t="s">
        <v>2175</v>
      </c>
      <c r="B9" s="2202" t="s">
        <v>3377</v>
      </c>
      <c r="C9" s="2203"/>
      <c r="D9" s="3287"/>
      <c r="E9" s="2202"/>
      <c r="F9" s="2204"/>
      <c r="G9" s="2438"/>
      <c r="H9" s="2438"/>
      <c r="I9" s="2438"/>
      <c r="J9" s="2242"/>
      <c r="K9" s="2397"/>
      <c r="L9" s="2394"/>
      <c r="M9" s="2394"/>
      <c r="N9" s="2242"/>
      <c r="O9" s="1667"/>
      <c r="P9" s="2242"/>
      <c r="Q9" s="2242"/>
      <c r="R9" s="2242"/>
    </row>
    <row r="10" spans="1:30" ht="13.5" thickTop="1">
      <c r="A10" s="2205" t="s">
        <v>2176</v>
      </c>
      <c r="B10" s="2206" t="s">
        <v>3378</v>
      </c>
      <c r="C10" s="2207"/>
      <c r="D10" s="2190"/>
      <c r="E10" s="2208" t="s">
        <v>2177</v>
      </c>
      <c r="F10" s="2439"/>
      <c r="G10" s="2440"/>
      <c r="H10" s="2441"/>
      <c r="I10" s="2442"/>
      <c r="J10" s="2242"/>
      <c r="K10" s="2397"/>
      <c r="L10" s="2394"/>
      <c r="M10" s="2394"/>
      <c r="N10" s="2242"/>
      <c r="O10" s="1667"/>
      <c r="P10" s="2242"/>
      <c r="Q10" s="2242"/>
      <c r="R10" s="2242"/>
    </row>
    <row r="11" spans="1:30">
      <c r="A11" s="2209" t="s">
        <v>2178</v>
      </c>
      <c r="B11" s="2210"/>
      <c r="C11" s="2211"/>
      <c r="D11" s="2212"/>
      <c r="E11" s="2179"/>
      <c r="F11" s="2179"/>
      <c r="G11" s="2179"/>
      <c r="H11" s="2179"/>
      <c r="I11" s="2179"/>
      <c r="J11" s="2797"/>
      <c r="K11" s="2394"/>
      <c r="L11" s="2394"/>
      <c r="M11" s="2394"/>
      <c r="N11" s="2242"/>
      <c r="O11" s="1667"/>
      <c r="P11" s="2242"/>
      <c r="Q11" s="2242"/>
      <c r="R11" s="2242"/>
    </row>
    <row r="12" spans="1:30">
      <c r="A12" s="2213" t="s">
        <v>2179</v>
      </c>
      <c r="B12" s="315" t="s">
        <v>2180</v>
      </c>
      <c r="C12" s="2214" t="s">
        <v>2181</v>
      </c>
      <c r="D12" s="2214" t="s">
        <v>2182</v>
      </c>
      <c r="E12" s="2214" t="s">
        <v>2183</v>
      </c>
      <c r="F12" s="2214" t="s">
        <v>2184</v>
      </c>
      <c r="G12" s="2214" t="s">
        <v>2185</v>
      </c>
      <c r="H12" s="2214" t="s">
        <v>2186</v>
      </c>
      <c r="I12" s="2796" t="s">
        <v>2573</v>
      </c>
      <c r="J12" s="2798"/>
      <c r="K12" s="2394"/>
      <c r="L12" s="2394"/>
      <c r="M12" s="2242"/>
      <c r="N12" s="1667"/>
      <c r="O12" s="2242"/>
      <c r="P12" s="2242"/>
      <c r="Q12" s="2242"/>
      <c r="AD12" s="1615"/>
    </row>
    <row r="13" spans="1:30">
      <c r="A13" s="3117" t="s">
        <v>3331</v>
      </c>
      <c r="B13" s="2215" t="s">
        <v>2187</v>
      </c>
      <c r="C13" s="799"/>
      <c r="D13" s="799"/>
      <c r="E13" s="799"/>
      <c r="F13" s="799"/>
      <c r="G13" s="799"/>
      <c r="H13" s="799"/>
      <c r="I13" s="799"/>
      <c r="J13" s="2798"/>
      <c r="K13" s="2394"/>
      <c r="L13" s="2394"/>
      <c r="M13" s="2242"/>
      <c r="N13" s="1667"/>
      <c r="O13" s="2242"/>
      <c r="P13" s="2242"/>
      <c r="Q13" s="2242"/>
      <c r="AD13" s="1615"/>
    </row>
    <row r="14" spans="1:30">
      <c r="A14" s="1015"/>
      <c r="B14" s="2215" t="s">
        <v>2188</v>
      </c>
      <c r="C14" s="2216"/>
      <c r="D14" s="2216"/>
      <c r="E14" s="2216"/>
      <c r="F14" s="2216"/>
      <c r="G14" s="2216"/>
      <c r="H14" s="2216"/>
      <c r="I14" s="2216"/>
      <c r="J14" s="2799"/>
      <c r="K14" s="2394"/>
      <c r="L14" s="2394"/>
      <c r="M14" s="2242"/>
      <c r="N14" s="1667"/>
      <c r="O14" s="2242"/>
      <c r="P14" s="2242"/>
      <c r="Q14" s="2242"/>
      <c r="AD14" s="1615"/>
    </row>
    <row r="15" spans="1:30">
      <c r="A15" s="312"/>
      <c r="B15" s="2217" t="s">
        <v>2189</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0"/>
      <c r="K15" s="1667"/>
      <c r="L15" s="1667"/>
      <c r="M15" s="2242"/>
      <c r="N15" s="1667"/>
      <c r="O15" s="2242"/>
      <c r="P15" s="2242"/>
      <c r="Q15" s="2242"/>
      <c r="AD15" s="1615"/>
    </row>
    <row r="16" spans="1:30">
      <c r="A16" s="2208" t="s">
        <v>2190</v>
      </c>
      <c r="B16" s="3293"/>
      <c r="C16" s="3294"/>
      <c r="D16" s="3295"/>
      <c r="E16" s="2219" t="s">
        <v>2191</v>
      </c>
      <c r="F16" s="3296"/>
      <c r="G16" s="3297"/>
      <c r="H16" s="3297"/>
      <c r="I16" s="3298"/>
      <c r="J16" s="2242"/>
      <c r="K16" s="2398"/>
      <c r="L16" s="1667"/>
      <c r="M16" s="1667"/>
      <c r="N16" s="2242"/>
      <c r="O16" s="1667"/>
      <c r="P16" s="2242"/>
      <c r="Q16" s="2242"/>
      <c r="R16" s="2242"/>
    </row>
    <row r="17" spans="1:28">
      <c r="A17" s="305" t="s">
        <v>2192</v>
      </c>
      <c r="B17" s="294" t="s">
        <v>2193</v>
      </c>
      <c r="C17" s="8">
        <f>'数据-汇总表'!E3</f>
        <v>0</v>
      </c>
      <c r="D17" s="1253" t="s">
        <v>2194</v>
      </c>
      <c r="E17" s="3299" t="s">
        <v>2195</v>
      </c>
      <c r="F17" s="3300"/>
      <c r="G17" s="3300"/>
      <c r="H17" s="3300"/>
      <c r="I17" s="3301"/>
      <c r="J17" s="2242"/>
      <c r="K17" s="2399"/>
      <c r="L17" s="1667"/>
      <c r="M17" s="1667"/>
      <c r="N17" s="2242"/>
      <c r="O17" s="1667"/>
      <c r="P17" s="2242"/>
      <c r="Q17" s="2242"/>
      <c r="R17" s="2242"/>
      <c r="S17" s="2242"/>
      <c r="T17" s="2242"/>
      <c r="U17" s="2242"/>
      <c r="V17" s="2242"/>
    </row>
    <row r="18" spans="1:28" ht="24.75" thickBot="1">
      <c r="A18" s="2220" t="s">
        <v>2196</v>
      </c>
      <c r="B18" s="1024" t="s">
        <v>2197</v>
      </c>
      <c r="C18" s="2221">
        <f>'数据-汇总表'!D3</f>
        <v>0</v>
      </c>
      <c r="D18" s="1026" t="s">
        <v>2198</v>
      </c>
      <c r="E18" s="3302" t="s">
        <v>2199</v>
      </c>
      <c r="F18" s="3303"/>
      <c r="G18" s="3303"/>
      <c r="H18" s="3303"/>
      <c r="I18" s="3304"/>
      <c r="J18" s="2242"/>
      <c r="K18" s="2399"/>
      <c r="L18" s="1667"/>
      <c r="M18" s="1667"/>
      <c r="N18" s="2242"/>
      <c r="O18" s="1667"/>
      <c r="P18" s="2242"/>
      <c r="Q18" s="2242"/>
      <c r="R18" s="2242"/>
      <c r="S18" s="2242"/>
      <c r="T18" s="2242"/>
      <c r="U18" s="2242"/>
      <c r="V18" s="2242"/>
    </row>
    <row r="19" spans="1:28" ht="37.5" thickTop="1" thickBot="1">
      <c r="A19" s="319" t="s">
        <v>1055</v>
      </c>
      <c r="B19" s="299" t="s">
        <v>2200</v>
      </c>
      <c r="C19" s="1452"/>
      <c r="D19" s="1453" t="s">
        <v>2201</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2202</v>
      </c>
      <c r="B20" s="3289" t="s">
        <v>2203</v>
      </c>
      <c r="C20" s="3290"/>
      <c r="D20" s="3291" t="s">
        <v>2204</v>
      </c>
      <c r="E20" s="3292"/>
      <c r="F20" s="2425" t="s">
        <v>1056</v>
      </c>
      <c r="G20" s="2437"/>
      <c r="H20" s="2437"/>
      <c r="I20" s="2437"/>
      <c r="J20" s="2242"/>
      <c r="K20" s="3288" t="s">
        <v>2205</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2"/>
      <c r="B21" s="2413" t="s">
        <v>2206</v>
      </c>
      <c r="C21" s="2291" t="s">
        <v>1057</v>
      </c>
      <c r="D21" s="1457" t="s">
        <v>2207</v>
      </c>
      <c r="E21" s="2414" t="s">
        <v>1057</v>
      </c>
      <c r="F21" s="2426"/>
      <c r="G21" s="2437"/>
      <c r="H21" s="2437"/>
      <c r="I21" s="2437"/>
      <c r="J21" s="2242"/>
      <c r="K21" s="3288"/>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2"/>
      <c r="B22" s="2415" t="s">
        <v>2208</v>
      </c>
      <c r="C22" s="2291" t="s">
        <v>1058</v>
      </c>
      <c r="D22" s="2437"/>
      <c r="E22" s="2437"/>
      <c r="F22" s="2437"/>
      <c r="G22" s="2437"/>
      <c r="H22" s="2437"/>
      <c r="I22" s="2437"/>
      <c r="J22" s="2242"/>
      <c r="K22" s="3288"/>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2209</v>
      </c>
      <c r="B23" s="2288" t="s">
        <v>2210</v>
      </c>
      <c r="C23" s="2417"/>
      <c r="D23" s="2418" t="s">
        <v>2210</v>
      </c>
      <c r="E23" s="2419"/>
      <c r="F23" s="2437"/>
      <c r="G23" s="2437"/>
      <c r="H23" s="2437"/>
      <c r="I23" s="2437"/>
      <c r="J23" s="2242"/>
      <c r="K23" s="2396"/>
      <c r="L23" s="121"/>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5"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5" thickTop="1">
      <c r="A27" s="3277" t="s">
        <v>2211</v>
      </c>
      <c r="B27" s="312" t="s">
        <v>2212</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77"/>
      <c r="B28" s="294" t="s">
        <v>2213</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77"/>
      <c r="B29" s="294" t="s">
        <v>2214</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78"/>
      <c r="B30" s="294" t="s">
        <v>2215</v>
      </c>
      <c r="C30" s="3279"/>
      <c r="D30" s="3280"/>
      <c r="E30" s="2437"/>
      <c r="F30" s="2437"/>
      <c r="G30" s="2437"/>
      <c r="H30" s="2437"/>
      <c r="I30" s="2437"/>
      <c r="J30" s="2242"/>
      <c r="K30" s="2397"/>
      <c r="L30" s="2394"/>
      <c r="M30" s="2394"/>
      <c r="N30" s="2242"/>
      <c r="O30" s="1667"/>
      <c r="P30" s="2242"/>
      <c r="Q30" s="2242"/>
      <c r="R30" s="2242"/>
      <c r="S30" s="2242"/>
      <c r="T30" s="2242"/>
      <c r="U30" s="2242"/>
      <c r="V30" s="2242"/>
    </row>
    <row r="31" spans="1:28">
      <c r="A31" s="3281" t="s">
        <v>2216</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82"/>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82"/>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4" t="s">
        <v>2217</v>
      </c>
      <c r="B34" s="1867"/>
      <c r="C34" s="1867"/>
      <c r="D34" s="1867"/>
      <c r="E34" s="1867"/>
      <c r="F34" s="1867"/>
      <c r="G34" s="1867"/>
      <c r="H34" s="1867"/>
      <c r="I34" s="2437"/>
      <c r="J34" s="2242"/>
      <c r="K34" s="8">
        <f>COUNTIF(B34:H34,"——")</f>
        <v>0</v>
      </c>
      <c r="L34" s="315" t="s">
        <v>2218</v>
      </c>
      <c r="M34" s="315" t="s">
        <v>2219</v>
      </c>
      <c r="N34" s="315" t="s">
        <v>2220</v>
      </c>
      <c r="O34" s="315" t="s">
        <v>2221</v>
      </c>
      <c r="P34" s="315" t="s">
        <v>2222</v>
      </c>
      <c r="Q34" s="315" t="s">
        <v>2223</v>
      </c>
      <c r="R34" s="315" t="s">
        <v>2224</v>
      </c>
      <c r="S34" s="3276" t="s">
        <v>2225</v>
      </c>
      <c r="T34" s="315" t="str">
        <f>NUMBERSTRING(7-K34,1)&amp;"通"</f>
        <v>七通</v>
      </c>
      <c r="U34" s="2242"/>
      <c r="V34" s="2242"/>
    </row>
    <row r="35" spans="1:30">
      <c r="A35" s="2233"/>
      <c r="B35" s="3276" t="s">
        <v>2226</v>
      </c>
      <c r="C35" s="3276"/>
      <c r="D35" s="3276"/>
      <c r="E35" s="3276"/>
      <c r="F35" s="8">
        <f>C10</f>
        <v>0</v>
      </c>
      <c r="G35" s="2437"/>
      <c r="H35" s="2437"/>
      <c r="I35" s="2437"/>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6"/>
      <c r="T35" s="138" t="str">
        <f>IF(T34="一通",L35,IF(T34="二通",M35,IF(T34="三通",N35,IF(T34="四通",O35,IF(T34="五通",P35,IF(T34="六通",Q35,R35))))))</f>
        <v>、、、、、、</v>
      </c>
      <c r="U35" s="2242"/>
      <c r="V35" s="2242"/>
    </row>
    <row r="36" spans="1:30">
      <c r="A36" s="2180"/>
      <c r="B36" s="8" t="s">
        <v>2182</v>
      </c>
      <c r="C36" s="8" t="s">
        <v>2183</v>
      </c>
      <c r="D36" s="8" t="s">
        <v>2181</v>
      </c>
      <c r="E36" s="8" t="s">
        <v>2186</v>
      </c>
      <c r="F36" s="2796" t="s">
        <v>2576</v>
      </c>
      <c r="G36" s="2437"/>
      <c r="H36" s="2437"/>
      <c r="I36" s="2437"/>
      <c r="J36" s="2242"/>
      <c r="K36" s="2397"/>
      <c r="L36" s="2394"/>
      <c r="M36" s="2394"/>
      <c r="N36" s="2242"/>
      <c r="O36" s="1667"/>
      <c r="P36" s="2242"/>
      <c r="Q36" s="2242"/>
      <c r="R36" s="2242"/>
      <c r="S36" s="2242"/>
      <c r="T36" s="2242"/>
      <c r="U36" s="2242"/>
      <c r="V36" s="2242"/>
    </row>
    <row r="37" spans="1:30">
      <c r="A37" s="2410" t="s">
        <v>2227</v>
      </c>
      <c r="B37" s="2234"/>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5" thickBot="1">
      <c r="A38" s="2411" t="s">
        <v>2228</v>
      </c>
      <c r="B38" s="2235"/>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25" thickTop="1" thickBot="1">
      <c r="A39" s="2236" t="s">
        <v>2229</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2230</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2"/>
      <c r="T42" s="2242"/>
      <c r="U42" s="2242"/>
      <c r="V42" s="2242"/>
    </row>
    <row r="43" spans="1:30" s="1613" customFormat="1">
      <c r="A43" s="1459"/>
      <c r="B43" s="985"/>
      <c r="C43" s="985"/>
      <c r="D43" s="985"/>
      <c r="E43" s="985"/>
      <c r="F43" s="985"/>
      <c r="G43" s="985"/>
      <c r="H43" s="985"/>
      <c r="I43" s="985"/>
      <c r="J43" s="2240"/>
      <c r="K43" s="2241"/>
      <c r="L43" s="2241"/>
      <c r="M43" s="985"/>
      <c r="N43" s="985"/>
      <c r="O43" s="985"/>
      <c r="P43" s="985"/>
      <c r="Q43" s="985"/>
      <c r="R43" s="985"/>
      <c r="S43" s="2242"/>
      <c r="T43" s="2242"/>
      <c r="U43" s="2242"/>
      <c r="V43" s="2242"/>
    </row>
    <row r="44" spans="1:30" s="1613" customFormat="1">
      <c r="A44" s="1459"/>
      <c r="B44" s="1459"/>
      <c r="C44" s="985"/>
      <c r="D44" s="985"/>
      <c r="E44" s="985"/>
      <c r="F44" s="985"/>
      <c r="G44" s="985"/>
      <c r="H44" s="985"/>
      <c r="I44" s="985"/>
      <c r="J44" s="2240"/>
      <c r="K44" s="2241"/>
      <c r="L44" s="2241"/>
      <c r="M44" s="985"/>
      <c r="N44" s="985"/>
      <c r="O44" s="985"/>
      <c r="P44" s="985"/>
      <c r="Q44" s="985"/>
      <c r="R44" s="985"/>
      <c r="S44" s="2242"/>
      <c r="T44" s="2242"/>
      <c r="U44" s="2242"/>
      <c r="V44" s="2242"/>
    </row>
    <row r="45" spans="1:30" s="1613" customFormat="1">
      <c r="A45" s="1459"/>
      <c r="B45" s="1459"/>
      <c r="C45" s="985"/>
      <c r="D45" s="985"/>
      <c r="E45" s="985"/>
      <c r="F45" s="985"/>
      <c r="G45" s="985"/>
      <c r="H45" s="985"/>
      <c r="I45" s="985"/>
      <c r="J45" s="2240"/>
      <c r="K45" s="2241"/>
      <c r="L45" s="2241"/>
      <c r="M45" s="985"/>
      <c r="N45" s="985"/>
      <c r="O45" s="985"/>
      <c r="P45" s="985"/>
      <c r="Q45" s="985"/>
      <c r="R45" s="985"/>
      <c r="S45" s="2242"/>
      <c r="T45" s="2242"/>
      <c r="U45" s="2242"/>
      <c r="V45" s="2242"/>
    </row>
    <row r="46" spans="1:30" s="1613" customFormat="1">
      <c r="A46" s="1459"/>
      <c r="B46" s="1459"/>
      <c r="C46" s="985"/>
      <c r="D46" s="985"/>
      <c r="E46" s="985"/>
      <c r="F46" s="985"/>
      <c r="G46" s="985"/>
      <c r="H46" s="985"/>
      <c r="I46" s="985"/>
      <c r="J46" s="2240"/>
      <c r="K46" s="2241"/>
      <c r="L46" s="2241"/>
      <c r="M46" s="985"/>
      <c r="N46" s="985"/>
      <c r="O46" s="985"/>
      <c r="P46" s="985"/>
      <c r="Q46" s="985"/>
      <c r="R46" s="985"/>
      <c r="S46" s="2242"/>
      <c r="T46" s="2242"/>
      <c r="U46" s="2242"/>
      <c r="V46" s="2242"/>
    </row>
    <row r="47" spans="1:30" s="1613" customFormat="1">
      <c r="A47" s="1459"/>
      <c r="B47" s="1459"/>
      <c r="C47" s="985"/>
      <c r="D47" s="985"/>
      <c r="E47" s="985"/>
      <c r="F47" s="985"/>
      <c r="G47" s="985"/>
      <c r="H47" s="985"/>
      <c r="I47" s="985"/>
      <c r="J47" s="2240"/>
      <c r="K47" s="2241"/>
      <c r="L47" s="2241"/>
      <c r="M47" s="985"/>
      <c r="N47" s="985"/>
      <c r="O47" s="985"/>
      <c r="P47" s="985"/>
      <c r="Q47" s="985"/>
      <c r="R47" s="985"/>
      <c r="S47" s="2242"/>
      <c r="T47" s="2242"/>
      <c r="U47" s="2242"/>
      <c r="V47" s="2242"/>
    </row>
    <row r="48" spans="1:30" s="1613" customFormat="1">
      <c r="A48" s="1459"/>
      <c r="B48" s="1459"/>
      <c r="C48" s="985"/>
      <c r="D48" s="985"/>
      <c r="E48" s="985"/>
      <c r="F48" s="985"/>
      <c r="G48" s="985"/>
      <c r="H48" s="985"/>
      <c r="I48" s="985"/>
      <c r="J48" s="2240"/>
      <c r="K48" s="2241"/>
      <c r="L48" s="2241"/>
      <c r="M48" s="985"/>
      <c r="N48" s="985"/>
      <c r="O48" s="985"/>
      <c r="P48" s="985"/>
      <c r="Q48" s="985"/>
      <c r="R48" s="985"/>
      <c r="S48" s="2242"/>
      <c r="T48" s="2242"/>
      <c r="U48" s="2242"/>
      <c r="V48" s="2242"/>
    </row>
    <row r="49" spans="1:22" s="1613" customFormat="1">
      <c r="A49" s="1459"/>
      <c r="B49" s="1459"/>
      <c r="C49" s="985"/>
      <c r="D49" s="985"/>
      <c r="E49" s="985"/>
      <c r="F49" s="985"/>
      <c r="G49" s="985"/>
      <c r="H49" s="985"/>
      <c r="I49" s="985"/>
      <c r="J49" s="2240"/>
      <c r="K49" s="2241"/>
      <c r="L49" s="2241"/>
      <c r="M49" s="985"/>
      <c r="N49" s="985"/>
      <c r="O49" s="985"/>
      <c r="P49" s="985"/>
      <c r="Q49" s="985"/>
      <c r="R49" s="985"/>
      <c r="S49" s="2242"/>
      <c r="T49" s="2242"/>
      <c r="U49" s="2242"/>
      <c r="V49" s="2242"/>
    </row>
    <row r="50" spans="1:22" s="1613" customFormat="1">
      <c r="A50" s="1459"/>
      <c r="B50" s="1459"/>
      <c r="C50" s="985"/>
      <c r="D50" s="985"/>
      <c r="E50" s="985"/>
      <c r="F50" s="985"/>
      <c r="G50" s="985"/>
      <c r="H50" s="985"/>
      <c r="I50" s="985"/>
      <c r="J50" s="2240"/>
      <c r="K50" s="2241"/>
      <c r="L50" s="2241"/>
      <c r="M50" s="985"/>
      <c r="N50" s="985"/>
      <c r="O50" s="985"/>
      <c r="P50" s="985"/>
      <c r="Q50" s="985"/>
      <c r="R50" s="985"/>
      <c r="S50" s="2242"/>
      <c r="T50" s="2242"/>
      <c r="U50" s="2242"/>
      <c r="V50" s="2242"/>
    </row>
    <row r="51" spans="1:22" s="1613" customFormat="1">
      <c r="A51" s="1459"/>
      <c r="B51" s="1459"/>
      <c r="C51" s="985"/>
      <c r="D51" s="985"/>
      <c r="E51" s="985"/>
      <c r="F51" s="985"/>
      <c r="G51" s="985"/>
      <c r="H51" s="985"/>
      <c r="I51" s="985"/>
      <c r="J51" s="2240"/>
      <c r="K51" s="2241"/>
      <c r="L51" s="2241"/>
      <c r="M51" s="985"/>
      <c r="N51" s="985"/>
      <c r="O51" s="985"/>
      <c r="P51" s="985"/>
      <c r="Q51" s="985"/>
      <c r="R51" s="985"/>
    </row>
    <row r="52" spans="1:22" s="1613" customFormat="1">
      <c r="A52" s="1459"/>
      <c r="B52" s="1459"/>
      <c r="C52" s="1459"/>
      <c r="D52" s="1459"/>
      <c r="E52" s="1459"/>
      <c r="F52" s="985"/>
      <c r="G52" s="1459"/>
      <c r="H52" s="1459"/>
      <c r="I52" s="1459"/>
      <c r="J52" s="2243"/>
      <c r="K52" s="2241"/>
      <c r="L52" s="2241"/>
      <c r="M52" s="2241"/>
      <c r="N52" s="1459"/>
      <c r="O52" s="1459"/>
      <c r="P52" s="1459"/>
      <c r="Q52" s="1459"/>
      <c r="R52" s="1459"/>
    </row>
    <row r="53" spans="1:22" s="1613" customFormat="1">
      <c r="A53" s="1459"/>
      <c r="B53" s="1459"/>
      <c r="C53" s="1459"/>
      <c r="D53" s="1459"/>
      <c r="E53" s="1459"/>
      <c r="F53" s="985"/>
      <c r="G53" s="1459"/>
      <c r="H53" s="1459"/>
      <c r="I53" s="1459"/>
      <c r="J53" s="2243"/>
      <c r="K53" s="2241"/>
      <c r="L53" s="2241"/>
      <c r="M53" s="2241"/>
      <c r="N53" s="1459"/>
      <c r="O53" s="1459"/>
      <c r="P53" s="1459"/>
      <c r="Q53" s="1459"/>
      <c r="R53" s="1459"/>
    </row>
    <row r="54" spans="1:22" s="1613" customFormat="1">
      <c r="A54" s="1459"/>
      <c r="B54" s="1459"/>
      <c r="C54" s="1459"/>
      <c r="D54" s="1459"/>
      <c r="E54" s="1459"/>
      <c r="F54" s="985"/>
      <c r="G54" s="1459"/>
      <c r="H54" s="1459"/>
      <c r="I54" s="1459"/>
      <c r="J54" s="2243"/>
      <c r="K54" s="2241"/>
      <c r="L54" s="2241"/>
      <c r="M54" s="2241"/>
      <c r="N54" s="1459"/>
      <c r="O54" s="1459"/>
      <c r="P54" s="1459"/>
      <c r="Q54" s="1459"/>
      <c r="R54" s="1459"/>
    </row>
    <row r="55" spans="1:22" s="1613" customFormat="1">
      <c r="A55" s="1459"/>
      <c r="B55" s="1459"/>
      <c r="C55" s="1459"/>
      <c r="D55" s="1459"/>
      <c r="E55" s="1459"/>
      <c r="F55" s="985"/>
      <c r="G55" s="1459"/>
      <c r="H55" s="1459"/>
      <c r="I55" s="1459"/>
      <c r="J55" s="2243"/>
      <c r="K55" s="2241"/>
      <c r="L55" s="2241"/>
      <c r="M55" s="2241"/>
      <c r="N55" s="1459"/>
      <c r="O55" s="1459"/>
      <c r="P55" s="1459"/>
      <c r="Q55" s="1459"/>
      <c r="R55" s="1459"/>
    </row>
    <row r="56" spans="1:22" s="1613" customFormat="1">
      <c r="A56" s="1459"/>
      <c r="B56" s="1459"/>
      <c r="C56" s="1459"/>
      <c r="D56" s="1459"/>
      <c r="E56" s="1459"/>
      <c r="F56" s="985"/>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2" t="s">
        <v>1067</v>
      </c>
      <c r="AZ2" s="983"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2356.42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4"/>
      <c r="AZ3" s="98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2356.42</v>
      </c>
      <c r="H5" s="13">
        <f t="shared" ref="H5:AT5" si="0">SUM(H13:H656)</f>
        <v>2356.42</v>
      </c>
      <c r="I5" s="13">
        <f t="shared" si="0"/>
        <v>678.32999999999993</v>
      </c>
      <c r="J5" s="13">
        <f t="shared" si="0"/>
        <v>0</v>
      </c>
      <c r="K5" s="13">
        <f t="shared" si="0"/>
        <v>837.38</v>
      </c>
      <c r="L5" s="13">
        <f t="shared" si="0"/>
        <v>0</v>
      </c>
      <c r="M5" s="13">
        <f t="shared" si="0"/>
        <v>840.71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7"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3515</v>
      </c>
      <c r="J9" s="757"/>
      <c r="K9" s="1488" t="s">
        <v>3515</v>
      </c>
      <c r="L9" s="757"/>
      <c r="M9" s="1488" t="s">
        <v>3516</v>
      </c>
      <c r="N9" s="757"/>
      <c r="O9" s="1488"/>
      <c r="P9" s="757"/>
      <c r="Q9" s="1488"/>
      <c r="R9" s="757"/>
      <c r="S9" s="1488"/>
      <c r="T9" s="757"/>
      <c r="U9" s="1488"/>
      <c r="V9" s="757"/>
      <c r="W9" s="1488"/>
      <c r="X9" s="1489"/>
      <c r="Y9" s="1488"/>
      <c r="Z9" s="757"/>
      <c r="AA9" s="1488"/>
      <c r="AB9" s="757"/>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7"/>
      <c r="K10" s="1488" t="s">
        <v>21</v>
      </c>
      <c r="L10" s="757"/>
      <c r="M10" s="1488" t="s">
        <v>3333</v>
      </c>
      <c r="N10" s="757"/>
      <c r="O10" s="1494"/>
      <c r="P10" s="757"/>
      <c r="Q10" s="1494"/>
      <c r="R10" s="757"/>
      <c r="S10" s="1494"/>
      <c r="T10" s="757"/>
      <c r="U10" s="1494"/>
      <c r="V10" s="757"/>
      <c r="W10" s="1494"/>
      <c r="X10" s="757"/>
      <c r="Y10" s="1494"/>
      <c r="Z10" s="757"/>
      <c r="AA10" s="1494"/>
      <c r="AB10" s="757"/>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仓储</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985"/>
      <c r="B13" s="985"/>
      <c r="C13" s="3157" t="s">
        <v>3512</v>
      </c>
      <c r="D13" s="1510"/>
      <c r="E13" s="13">
        <f>IF($C$3="是",ROUND($A$3*G13/$B$3,2),ROUND($A$3*(G13-AT13)/$B$3,2))</f>
        <v>0</v>
      </c>
      <c r="F13" s="29"/>
      <c r="G13" s="30">
        <f>H13+AC13+AT13</f>
        <v>678.32999999999993</v>
      </c>
      <c r="H13" s="17">
        <f>SUMIF(I$12:AB$12,"总值",I13:AB13)</f>
        <v>678.32999999999993</v>
      </c>
      <c r="I13" s="1511">
        <f>明细表!F5</f>
        <v>678.32999999999993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商业</v>
      </c>
      <c r="AY13" s="1257"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985"/>
      <c r="B14" s="985"/>
      <c r="C14" s="3157" t="s">
        <v>3513</v>
      </c>
      <c r="D14" s="1510"/>
      <c r="E14" s="13">
        <f>IF($C$3="是",ROUND($A$3*G14/$B$3,2),ROUND($A$3*(G14-AT14)/$B$3,2))</f>
        <v>0</v>
      </c>
      <c r="F14" s="29"/>
      <c r="G14" s="30">
        <f>H14+AC14+AT14</f>
        <v>837.38</v>
      </c>
      <c r="H14" s="17">
        <f>SUMIF(I$12:AB$12,"总值",I14:AB14)</f>
        <v>837.38</v>
      </c>
      <c r="I14" s="1511"/>
      <c r="J14" s="1511"/>
      <c r="K14" s="1511">
        <f>明细表!F8</f>
        <v>837.38</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办公</v>
      </c>
      <c r="AY14" s="1257"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985"/>
      <c r="B15" s="985"/>
      <c r="C15" s="3157" t="s">
        <v>3514</v>
      </c>
      <c r="D15" s="1510"/>
      <c r="E15" s="13">
        <f>IF($C$3="是",ROUND($A$3*G15/$B$3,2),ROUND($A$3*(G15-AT15)/$B$3,2))</f>
        <v>0</v>
      </c>
      <c r="F15" s="29"/>
      <c r="G15" s="30">
        <f>H15+AC15+AT15</f>
        <v>840.71</v>
      </c>
      <c r="H15" s="17">
        <f>SUMIF(I$12:AB$12,"总值",I15:AB15)</f>
        <v>840.71</v>
      </c>
      <c r="I15" s="1511"/>
      <c r="J15" s="1511"/>
      <c r="K15" s="1511"/>
      <c r="L15" s="1511"/>
      <c r="M15" s="1511">
        <f>明细表!F2</f>
        <v>840.71</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仓储</v>
      </c>
      <c r="AY15" s="1257"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985"/>
      <c r="B16" s="98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985"/>
      <c r="B17" s="98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opLeftCell="B7" workbookViewId="0">
      <selection activeCell="E24" sqref="E24"/>
    </sheetView>
  </sheetViews>
  <sheetFormatPr defaultColWidth="9" defaultRowHeight="18"/>
  <cols>
    <col min="1" max="1" width="7.375" style="3194" customWidth="1"/>
    <col min="2" max="2" width="7.5" style="3194" customWidth="1"/>
    <col min="3" max="3" width="10.875" style="3194" customWidth="1"/>
    <col min="4" max="4" width="14" style="3194" customWidth="1"/>
    <col min="5" max="5" width="28" style="3194" customWidth="1"/>
    <col min="6" max="6" width="14.5" style="3197" customWidth="1"/>
    <col min="7" max="7" width="13.25" style="3197" customWidth="1"/>
    <col min="8" max="8" width="24.625" style="3194" hidden="1" customWidth="1"/>
    <col min="9" max="9" width="40.5" style="3194" hidden="1" customWidth="1"/>
    <col min="10" max="10" width="9.375" style="3194" hidden="1" customWidth="1"/>
    <col min="11" max="11" width="13.875" style="3194" customWidth="1"/>
    <col min="12" max="12" width="16.875" style="3197" customWidth="1"/>
    <col min="13" max="16384" width="9" style="3194"/>
  </cols>
  <sheetData>
    <row r="1" spans="1:12">
      <c r="A1" s="3311" t="s">
        <v>3596</v>
      </c>
      <c r="B1" s="3311"/>
      <c r="C1" s="3311"/>
      <c r="D1" s="3311"/>
      <c r="E1" s="3311"/>
      <c r="F1" s="3311"/>
      <c r="G1" s="3311"/>
      <c r="H1" s="3311"/>
      <c r="I1" s="3311"/>
      <c r="L1" s="3194"/>
    </row>
    <row r="2" spans="1:12">
      <c r="A2" s="3190" t="s">
        <v>3597</v>
      </c>
      <c r="B2" s="3190" t="s">
        <v>3598</v>
      </c>
      <c r="C2" s="3190" t="s">
        <v>3599</v>
      </c>
      <c r="D2" s="3190" t="s">
        <v>3600</v>
      </c>
      <c r="E2" s="3190" t="s">
        <v>3601</v>
      </c>
      <c r="F2" s="3190" t="s">
        <v>3602</v>
      </c>
      <c r="G2" s="3190" t="s">
        <v>3603</v>
      </c>
      <c r="H2" s="3190" t="s">
        <v>3604</v>
      </c>
      <c r="I2" s="3190" t="s">
        <v>3605</v>
      </c>
      <c r="K2" s="3190" t="s">
        <v>3640</v>
      </c>
      <c r="L2" s="3190" t="s">
        <v>3641</v>
      </c>
    </row>
    <row r="3" spans="1:12">
      <c r="A3" s="3307" t="s">
        <v>3606</v>
      </c>
      <c r="B3" s="3307" t="s">
        <v>3607</v>
      </c>
      <c r="C3" s="3311" t="s">
        <v>3608</v>
      </c>
      <c r="D3" s="3307" t="s">
        <v>3609</v>
      </c>
      <c r="E3" s="3192" t="s">
        <v>3610</v>
      </c>
      <c r="F3" s="3195">
        <f>明细表!F5+明细表!F7+明细表!F8+明细表!F9+明细表!F10+明细表!F11+明细表!F12</f>
        <v>4943.55</v>
      </c>
      <c r="G3" s="3306">
        <f>SUM(F3:F6)</f>
        <v>6617.17</v>
      </c>
      <c r="H3" s="3308" t="s">
        <v>3611</v>
      </c>
      <c r="I3" s="3192"/>
      <c r="K3" s="3198">
        <f>典型户型修正!R24</f>
        <v>1.7</v>
      </c>
      <c r="L3" s="3305">
        <f>ROUND((K3*F3+F4*K4+K6*F6)/G3,2)</f>
        <v>1.47</v>
      </c>
    </row>
    <row r="4" spans="1:12">
      <c r="A4" s="3307"/>
      <c r="B4" s="3307"/>
      <c r="C4" s="3306"/>
      <c r="D4" s="3307"/>
      <c r="E4" s="3192" t="s">
        <v>3612</v>
      </c>
      <c r="F4" s="3195">
        <f>明细表!F6</f>
        <v>159.05000000000001</v>
      </c>
      <c r="G4" s="3306"/>
      <c r="H4" s="3309"/>
      <c r="I4" s="3192" t="s">
        <v>3613</v>
      </c>
      <c r="J4" s="3194">
        <f>G3-明细表!F13</f>
        <v>0</v>
      </c>
      <c r="K4" s="3198">
        <f>K3</f>
        <v>1.7</v>
      </c>
      <c r="L4" s="3305"/>
    </row>
    <row r="5" spans="1:12">
      <c r="A5" s="3307"/>
      <c r="B5" s="3307"/>
      <c r="C5" s="3306"/>
      <c r="D5" s="3307"/>
      <c r="E5" s="3192" t="s">
        <v>3614</v>
      </c>
      <c r="F5" s="3195">
        <f>明细表!F4</f>
        <v>199.73</v>
      </c>
      <c r="G5" s="3306"/>
      <c r="H5" s="3309"/>
      <c r="I5" s="3195"/>
      <c r="K5" s="3192" t="s">
        <v>3639</v>
      </c>
      <c r="L5" s="3305"/>
    </row>
    <row r="6" spans="1:12">
      <c r="A6" s="3307"/>
      <c r="B6" s="3307"/>
      <c r="C6" s="3306"/>
      <c r="D6" s="3307"/>
      <c r="E6" s="3192" t="s">
        <v>3615</v>
      </c>
      <c r="F6" s="3195">
        <f>明细表!F2+明细表!F3</f>
        <v>1314.8400000000001</v>
      </c>
      <c r="G6" s="3306"/>
      <c r="H6" s="3310"/>
      <c r="I6" s="3195"/>
      <c r="K6" s="3192">
        <f>'比较法-仓储'!C36</f>
        <v>0.8</v>
      </c>
      <c r="L6" s="3305"/>
    </row>
    <row r="7" spans="1:12">
      <c r="A7" s="3312"/>
      <c r="B7" s="3312"/>
      <c r="C7" s="3311" t="s">
        <v>3616</v>
      </c>
      <c r="D7" s="3307" t="s">
        <v>3617</v>
      </c>
      <c r="E7" s="3192" t="s">
        <v>3618</v>
      </c>
      <c r="F7" s="3195">
        <f>明细表!F17+明细表!F19+明细表!F20+明细表!F21+明细表!F22+明细表!F23+明细表!F24</f>
        <v>4943.55</v>
      </c>
      <c r="G7" s="3306">
        <f>SUM(F7:F10)</f>
        <v>6607.31</v>
      </c>
      <c r="H7" s="3308" t="s">
        <v>3619</v>
      </c>
      <c r="I7" s="3192" t="s">
        <v>3620</v>
      </c>
      <c r="K7" s="3198">
        <f>典型户型修正!R25</f>
        <v>1.7</v>
      </c>
      <c r="L7" s="3305">
        <f>ROUND((K7*F7+F8*K8+K10*F10)/G7,2)</f>
        <v>1.47</v>
      </c>
    </row>
    <row r="8" spans="1:12">
      <c r="A8" s="3312"/>
      <c r="B8" s="3312"/>
      <c r="C8" s="3311"/>
      <c r="D8" s="3307"/>
      <c r="E8" s="3192" t="s">
        <v>3638</v>
      </c>
      <c r="F8" s="3195">
        <f>明细表!F18</f>
        <v>159.05000000000001</v>
      </c>
      <c r="G8" s="3306"/>
      <c r="H8" s="3309"/>
      <c r="I8" s="3192"/>
      <c r="J8" s="3194">
        <f>G7-明细表!F25</f>
        <v>0</v>
      </c>
      <c r="K8" s="3198">
        <f>K7</f>
        <v>1.7</v>
      </c>
      <c r="L8" s="3305"/>
    </row>
    <row r="9" spans="1:12">
      <c r="A9" s="3312"/>
      <c r="B9" s="3312"/>
      <c r="C9" s="3306"/>
      <c r="D9" s="3307"/>
      <c r="E9" s="3192" t="s">
        <v>3621</v>
      </c>
      <c r="F9" s="3195">
        <f>明细表!F16</f>
        <v>207.47</v>
      </c>
      <c r="G9" s="3306"/>
      <c r="H9" s="3309"/>
      <c r="I9" s="3195"/>
      <c r="K9" s="3199" t="s">
        <v>3639</v>
      </c>
      <c r="L9" s="3305"/>
    </row>
    <row r="10" spans="1:12">
      <c r="A10" s="3312"/>
      <c r="B10" s="3312"/>
      <c r="C10" s="3306"/>
      <c r="D10" s="3307"/>
      <c r="E10" s="3192" t="s">
        <v>3622</v>
      </c>
      <c r="F10" s="3195">
        <f>明细表!F14+明细表!F15</f>
        <v>1297.24</v>
      </c>
      <c r="G10" s="3306"/>
      <c r="H10" s="3310"/>
      <c r="I10" s="3195"/>
      <c r="K10" s="3199">
        <f>'比较法-仓储'!C36</f>
        <v>0.8</v>
      </c>
      <c r="L10" s="3305"/>
    </row>
    <row r="11" spans="1:12">
      <c r="A11" s="3312"/>
      <c r="B11" s="3312"/>
      <c r="C11" s="3311" t="s">
        <v>3608</v>
      </c>
      <c r="D11" s="3307" t="s">
        <v>3532</v>
      </c>
      <c r="E11" s="3192" t="s">
        <v>3618</v>
      </c>
      <c r="F11" s="3195">
        <f>SUM(明细表!F41:F48)</f>
        <v>5846.42</v>
      </c>
      <c r="G11" s="3306">
        <f>SUM(F11:F13)</f>
        <v>7555.23</v>
      </c>
      <c r="H11" s="3308" t="s">
        <v>3635</v>
      </c>
      <c r="I11" s="3195"/>
      <c r="K11" s="3198">
        <f>典型户型修正!R26</f>
        <v>1.6</v>
      </c>
      <c r="L11" s="3306">
        <f>ROUND((K11*F11+F13*K13)/G11,2)</f>
        <v>1.39</v>
      </c>
    </row>
    <row r="12" spans="1:12">
      <c r="A12" s="3312"/>
      <c r="B12" s="3312"/>
      <c r="C12" s="3306"/>
      <c r="D12" s="3307"/>
      <c r="E12" s="3192" t="s">
        <v>3621</v>
      </c>
      <c r="F12" s="3195">
        <f>明细表!F40</f>
        <v>260.49</v>
      </c>
      <c r="G12" s="3306"/>
      <c r="H12" s="3309"/>
      <c r="I12" s="3195"/>
      <c r="J12" s="3194">
        <f>G11-明细表!F49</f>
        <v>0</v>
      </c>
      <c r="K12" s="3199" t="s">
        <v>3639</v>
      </c>
      <c r="L12" s="3306"/>
    </row>
    <row r="13" spans="1:12">
      <c r="A13" s="3312"/>
      <c r="B13" s="3312"/>
      <c r="C13" s="3306"/>
      <c r="D13" s="3307"/>
      <c r="E13" s="3192" t="s">
        <v>3622</v>
      </c>
      <c r="F13" s="3195">
        <f>明细表!F38+明细表!F39</f>
        <v>1448.3200000000002</v>
      </c>
      <c r="G13" s="3306"/>
      <c r="H13" s="3310"/>
      <c r="I13" s="3195"/>
      <c r="K13" s="3192">
        <f>K10</f>
        <v>0.8</v>
      </c>
      <c r="L13" s="3306"/>
    </row>
    <row r="14" spans="1:12">
      <c r="A14" s="3312"/>
      <c r="B14" s="3312"/>
      <c r="C14" s="3311" t="s">
        <v>3608</v>
      </c>
      <c r="D14" s="3307" t="s">
        <v>3623</v>
      </c>
      <c r="E14" s="3192" t="s">
        <v>3618</v>
      </c>
      <c r="F14" s="3195">
        <f>SUM(明细表!F41:F48)</f>
        <v>5846.42</v>
      </c>
      <c r="G14" s="3306">
        <f>SUM(F14:F16)</f>
        <v>7555.23</v>
      </c>
      <c r="H14" s="3308" t="s">
        <v>3635</v>
      </c>
      <c r="I14" s="3195"/>
      <c r="K14" s="3198">
        <f>典型户型修正!R27</f>
        <v>1.6</v>
      </c>
      <c r="L14" s="3306">
        <f>ROUND((K14*F14+F16*K16)/G14,2)</f>
        <v>1.39</v>
      </c>
    </row>
    <row r="15" spans="1:12">
      <c r="A15" s="3312"/>
      <c r="B15" s="3312"/>
      <c r="C15" s="3306"/>
      <c r="D15" s="3307"/>
      <c r="E15" s="3192" t="s">
        <v>3621</v>
      </c>
      <c r="F15" s="3195">
        <f>明细表!F40</f>
        <v>260.49</v>
      </c>
      <c r="G15" s="3306"/>
      <c r="H15" s="3309"/>
      <c r="I15" s="3195"/>
      <c r="J15" s="3194">
        <f>G14-明细表!F49</f>
        <v>0</v>
      </c>
      <c r="K15" s="3199" t="s">
        <v>3639</v>
      </c>
      <c r="L15" s="3306"/>
    </row>
    <row r="16" spans="1:12">
      <c r="A16" s="3312"/>
      <c r="B16" s="3312"/>
      <c r="C16" s="3306"/>
      <c r="D16" s="3307"/>
      <c r="E16" s="3192" t="s">
        <v>3622</v>
      </c>
      <c r="F16" s="3195">
        <f>明细表!F38+明细表!F39</f>
        <v>1448.3200000000002</v>
      </c>
      <c r="G16" s="3306"/>
      <c r="H16" s="3310"/>
      <c r="I16" s="3195"/>
      <c r="K16" s="3192">
        <f>K13</f>
        <v>0.8</v>
      </c>
      <c r="L16" s="3306"/>
    </row>
    <row r="17" spans="1:12">
      <c r="A17" s="3312"/>
      <c r="B17" s="3312"/>
      <c r="C17" s="3311" t="s">
        <v>3608</v>
      </c>
      <c r="D17" s="3307" t="s">
        <v>3624</v>
      </c>
      <c r="E17" s="3192" t="s">
        <v>3610</v>
      </c>
      <c r="F17" s="3195">
        <f>SUM(明细表!F55:F60)+明细表!F53</f>
        <v>4952.4599999999991</v>
      </c>
      <c r="G17" s="3306">
        <f>SUM(F17:F20)</f>
        <v>6577.0199999999986</v>
      </c>
      <c r="H17" s="3308" t="s">
        <v>3611</v>
      </c>
      <c r="I17" s="3195"/>
      <c r="K17" s="3198">
        <f>典型户型修正!R28</f>
        <v>1.6</v>
      </c>
      <c r="L17" s="3305">
        <f>ROUND((K17*F17+F18*K18+K20*F20)/G17,2)</f>
        <v>1.4</v>
      </c>
    </row>
    <row r="18" spans="1:12">
      <c r="A18" s="3312"/>
      <c r="B18" s="3312"/>
      <c r="C18" s="3306"/>
      <c r="D18" s="3307"/>
      <c r="E18" s="3192" t="s">
        <v>3625</v>
      </c>
      <c r="F18" s="3195">
        <f>明细表!F54</f>
        <v>159.05000000000001</v>
      </c>
      <c r="G18" s="3306"/>
      <c r="H18" s="3309"/>
      <c r="I18" s="3192" t="s">
        <v>3626</v>
      </c>
      <c r="J18" s="3194">
        <f>G17-明细表!F61</f>
        <v>0</v>
      </c>
      <c r="K18" s="3198">
        <f>K17</f>
        <v>1.6</v>
      </c>
      <c r="L18" s="3305"/>
    </row>
    <row r="19" spans="1:12">
      <c r="A19" s="3312"/>
      <c r="B19" s="3312"/>
      <c r="C19" s="3306"/>
      <c r="D19" s="3307"/>
      <c r="E19" s="3192" t="s">
        <v>3627</v>
      </c>
      <c r="F19" s="3195">
        <f>明细表!F52</f>
        <v>219.28</v>
      </c>
      <c r="G19" s="3306"/>
      <c r="H19" s="3309"/>
      <c r="I19" s="3195"/>
      <c r="K19" s="3199" t="s">
        <v>3639</v>
      </c>
      <c r="L19" s="3305"/>
    </row>
    <row r="20" spans="1:12">
      <c r="A20" s="3312"/>
      <c r="B20" s="3312"/>
      <c r="C20" s="3306"/>
      <c r="D20" s="3307"/>
      <c r="E20" s="3192" t="s">
        <v>3628</v>
      </c>
      <c r="F20" s="3195">
        <f>明细表!F50+明细表!F51</f>
        <v>1246.23</v>
      </c>
      <c r="G20" s="3306"/>
      <c r="H20" s="3310"/>
      <c r="I20" s="3195"/>
      <c r="K20" s="3199">
        <f>K16</f>
        <v>0.8</v>
      </c>
      <c r="L20" s="3305"/>
    </row>
    <row r="21" spans="1:12">
      <c r="A21" s="3312"/>
      <c r="B21" s="3312"/>
      <c r="C21" s="3311" t="s">
        <v>3629</v>
      </c>
      <c r="D21" s="3307" t="s">
        <v>3630</v>
      </c>
      <c r="E21" s="3192" t="s">
        <v>3631</v>
      </c>
      <c r="F21" s="3195">
        <v>2889.34</v>
      </c>
      <c r="G21" s="3306">
        <f>SUM(F21:F25)</f>
        <v>9009.68</v>
      </c>
      <c r="H21" s="3308" t="s">
        <v>3636</v>
      </c>
      <c r="I21" s="3195"/>
      <c r="K21" s="3198">
        <f>典型户型修正!R29</f>
        <v>1.39</v>
      </c>
      <c r="L21" s="3305">
        <f>ROUND((K21*F21+F22*K22+F24*K24)/G21,2)</f>
        <v>1.1200000000000001</v>
      </c>
    </row>
    <row r="22" spans="1:12" ht="19.5" customHeight="1">
      <c r="A22" s="3312"/>
      <c r="B22" s="3312"/>
      <c r="C22" s="3306"/>
      <c r="D22" s="3307"/>
      <c r="E22" s="3192" t="s">
        <v>3662</v>
      </c>
      <c r="F22" s="3195">
        <f>3535.07-F23</f>
        <v>2899.4300000000003</v>
      </c>
      <c r="G22" s="3306"/>
      <c r="H22" s="3309"/>
      <c r="I22" s="3193" t="s">
        <v>3661</v>
      </c>
      <c r="J22" s="3194">
        <f>G21-明细表!F76</f>
        <v>0</v>
      </c>
      <c r="K22" s="3198">
        <f>K21</f>
        <v>1.39</v>
      </c>
      <c r="L22" s="3305"/>
    </row>
    <row r="23" spans="1:12" ht="60" customHeight="1">
      <c r="A23" s="3312"/>
      <c r="B23" s="3312"/>
      <c r="C23" s="3306"/>
      <c r="D23" s="3307"/>
      <c r="E23" s="3203" t="s">
        <v>3667</v>
      </c>
      <c r="F23" s="3204">
        <f>369.61+186.05+79.98</f>
        <v>635.6400000000001</v>
      </c>
      <c r="G23" s="3306"/>
      <c r="H23" s="3309"/>
      <c r="I23" s="3193"/>
      <c r="K23" s="3202" t="s">
        <v>2394</v>
      </c>
      <c r="L23" s="3305"/>
    </row>
    <row r="24" spans="1:12">
      <c r="A24" s="3312"/>
      <c r="B24" s="3312"/>
      <c r="C24" s="3306"/>
      <c r="D24" s="3307"/>
      <c r="E24" s="3192" t="s">
        <v>3632</v>
      </c>
      <c r="F24" s="3195">
        <v>2174.38</v>
      </c>
      <c r="G24" s="3306"/>
      <c r="H24" s="3309"/>
      <c r="I24" s="3196"/>
      <c r="K24" s="3198">
        <f>典型户型修正!R30</f>
        <v>0.92</v>
      </c>
      <c r="L24" s="3305"/>
    </row>
    <row r="25" spans="1:12">
      <c r="A25" s="3312"/>
      <c r="B25" s="3312"/>
      <c r="C25" s="3306"/>
      <c r="D25" s="3307"/>
      <c r="E25" s="3192" t="s">
        <v>3627</v>
      </c>
      <c r="F25" s="3195">
        <v>410.89</v>
      </c>
      <c r="G25" s="3306"/>
      <c r="H25" s="3310"/>
      <c r="I25" s="3195"/>
      <c r="K25" s="3199" t="s">
        <v>3660</v>
      </c>
      <c r="L25" s="3305"/>
    </row>
    <row r="26" spans="1:12" ht="54">
      <c r="A26" s="3312"/>
      <c r="B26" s="3312"/>
      <c r="C26" s="3192" t="s">
        <v>3629</v>
      </c>
      <c r="D26" s="3191" t="s">
        <v>3633</v>
      </c>
      <c r="E26" s="3203" t="s">
        <v>3668</v>
      </c>
      <c r="F26" s="3195">
        <v>1783.34</v>
      </c>
      <c r="G26" s="3195">
        <f>F26</f>
        <v>1783.34</v>
      </c>
      <c r="H26" s="3192" t="s">
        <v>3637</v>
      </c>
      <c r="I26" s="3193" t="s">
        <v>3663</v>
      </c>
      <c r="K26" s="3198" t="s">
        <v>3660</v>
      </c>
      <c r="L26" s="3201" t="str">
        <f>K26</f>
        <v>——</v>
      </c>
    </row>
    <row r="27" spans="1:12">
      <c r="A27" s="3312"/>
      <c r="B27" s="3312"/>
      <c r="C27" s="3311" t="s">
        <v>3634</v>
      </c>
      <c r="D27" s="3306"/>
      <c r="E27" s="3306"/>
      <c r="F27" s="3195">
        <f>SUM(SUM(F3:F26))</f>
        <v>45704.98000000001</v>
      </c>
      <c r="G27" s="3195">
        <f>SUM(G3:G26)</f>
        <v>45704.979999999996</v>
      </c>
      <c r="H27" s="3195" t="s">
        <v>43</v>
      </c>
      <c r="I27" s="3195"/>
      <c r="K27" s="3200"/>
      <c r="L27" s="3200">
        <f>ROUND(SUMPRODUCT(L3:L26,G3:G26)/G27,2)</f>
        <v>1.31</v>
      </c>
    </row>
  </sheetData>
  <mergeCells count="34">
    <mergeCell ref="A1:I1"/>
    <mergeCell ref="A3:A27"/>
    <mergeCell ref="B3:B27"/>
    <mergeCell ref="C3:C6"/>
    <mergeCell ref="D3:D6"/>
    <mergeCell ref="G3:G6"/>
    <mergeCell ref="H3:H6"/>
    <mergeCell ref="C7:C10"/>
    <mergeCell ref="D7:D10"/>
    <mergeCell ref="G7:G10"/>
    <mergeCell ref="H7:H10"/>
    <mergeCell ref="C11:C13"/>
    <mergeCell ref="C14:C16"/>
    <mergeCell ref="D14:D16"/>
    <mergeCell ref="G14:G16"/>
    <mergeCell ref="H14:H16"/>
    <mergeCell ref="D11:D13"/>
    <mergeCell ref="G11:G13"/>
    <mergeCell ref="H11:H13"/>
    <mergeCell ref="C27:E27"/>
    <mergeCell ref="L21:L25"/>
    <mergeCell ref="C21:C25"/>
    <mergeCell ref="D21:D25"/>
    <mergeCell ref="G21:G25"/>
    <mergeCell ref="H21:H25"/>
    <mergeCell ref="C17:C20"/>
    <mergeCell ref="D17:D20"/>
    <mergeCell ref="G17:G20"/>
    <mergeCell ref="H17:H20"/>
    <mergeCell ref="L3:L6"/>
    <mergeCell ref="L7:L10"/>
    <mergeCell ref="L11:L13"/>
    <mergeCell ref="L14:L16"/>
    <mergeCell ref="L17:L20"/>
  </mergeCells>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3"/>
  <sheetViews>
    <sheetView workbookViewId="0">
      <selection activeCell="F27" sqref="F27:F28"/>
    </sheetView>
  </sheetViews>
  <sheetFormatPr defaultRowHeight="13.5"/>
  <cols>
    <col min="1" max="1" width="5.125" style="2809" customWidth="1"/>
    <col min="2" max="2" width="7" style="2809" customWidth="1"/>
    <col min="3" max="3" width="13" style="2809" customWidth="1"/>
    <col min="4" max="4" width="11.5" style="2809" customWidth="1"/>
    <col min="5" max="5" width="11.5" style="3141" customWidth="1"/>
    <col min="6" max="6" width="16.5" style="2809" customWidth="1"/>
    <col min="7" max="7" width="16.5" style="3223" customWidth="1"/>
    <col min="8" max="9" width="15" style="2809" bestFit="1" customWidth="1"/>
  </cols>
  <sheetData>
    <row r="1" spans="1:13" ht="14.25">
      <c r="A1" s="3138" t="s">
        <v>3429</v>
      </c>
      <c r="B1" s="3138" t="s">
        <v>3379</v>
      </c>
      <c r="C1" s="3138" t="s">
        <v>3381</v>
      </c>
      <c r="D1" s="3138" t="s">
        <v>3380</v>
      </c>
      <c r="E1" s="3139" t="s">
        <v>3386</v>
      </c>
      <c r="F1" s="3138" t="s">
        <v>3382</v>
      </c>
      <c r="G1" s="3219" t="s">
        <v>3383</v>
      </c>
      <c r="H1" s="3138" t="s">
        <v>3406</v>
      </c>
      <c r="I1" s="3138" t="s">
        <v>3530</v>
      </c>
    </row>
    <row r="2" spans="1:13" s="3144" customFormat="1" ht="14.25">
      <c r="A2" s="3315">
        <v>1</v>
      </c>
      <c r="B2" s="3143">
        <v>1</v>
      </c>
      <c r="C2" s="3143" t="s">
        <v>3384</v>
      </c>
      <c r="D2" s="3143" t="s">
        <v>3385</v>
      </c>
      <c r="E2" s="3142" t="s">
        <v>3387</v>
      </c>
      <c r="F2" s="3143">
        <v>840.71</v>
      </c>
      <c r="G2" s="3220" t="s">
        <v>3396</v>
      </c>
      <c r="H2" s="3143" t="s">
        <v>3396</v>
      </c>
      <c r="I2" s="3143">
        <f>'比较法-仓储'!C36</f>
        <v>0.8</v>
      </c>
    </row>
    <row r="3" spans="1:13" ht="14.25">
      <c r="A3" s="3316"/>
      <c r="B3" s="3318">
        <v>2</v>
      </c>
      <c r="C3" s="3318" t="s">
        <v>3384</v>
      </c>
      <c r="D3" s="3318" t="s">
        <v>3385</v>
      </c>
      <c r="E3" s="3139" t="s">
        <v>3388</v>
      </c>
      <c r="F3" s="3138">
        <f>673.86-F4</f>
        <v>474.13</v>
      </c>
      <c r="G3" s="3219" t="s">
        <v>3396</v>
      </c>
      <c r="H3" s="3138" t="s">
        <v>3396</v>
      </c>
      <c r="I3" s="3138">
        <f>I2</f>
        <v>0.8</v>
      </c>
    </row>
    <row r="4" spans="1:13" ht="14.25">
      <c r="A4" s="3316"/>
      <c r="B4" s="3319"/>
      <c r="C4" s="3319"/>
      <c r="D4" s="3319"/>
      <c r="E4" s="3139" t="s">
        <v>3388</v>
      </c>
      <c r="F4" s="3138">
        <v>199.73</v>
      </c>
      <c r="G4" s="3219" t="s">
        <v>3397</v>
      </c>
      <c r="H4" s="3138" t="s">
        <v>3452</v>
      </c>
      <c r="I4" s="3138">
        <v>0</v>
      </c>
      <c r="M4" s="3172"/>
    </row>
    <row r="5" spans="1:13" s="3144" customFormat="1" ht="14.25">
      <c r="A5" s="3316"/>
      <c r="B5" s="3318">
        <v>3</v>
      </c>
      <c r="C5" s="3318" t="s">
        <v>3384</v>
      </c>
      <c r="D5" s="3318" t="s">
        <v>3385</v>
      </c>
      <c r="E5" s="3142" t="s">
        <v>3389</v>
      </c>
      <c r="F5" s="3143">
        <f>837.38-F6</f>
        <v>678.32999999999993</v>
      </c>
      <c r="G5" s="3220" t="s">
        <v>3419</v>
      </c>
      <c r="H5" s="3143" t="s">
        <v>3448</v>
      </c>
      <c r="I5" s="3167">
        <f>典型户型修正!R24</f>
        <v>1.7</v>
      </c>
    </row>
    <row r="6" spans="1:13" ht="14.25">
      <c r="A6" s="3316"/>
      <c r="B6" s="3319"/>
      <c r="C6" s="3319"/>
      <c r="D6" s="3319"/>
      <c r="E6" s="3139" t="s">
        <v>3398</v>
      </c>
      <c r="F6" s="3138">
        <v>159.05000000000001</v>
      </c>
      <c r="G6" s="3219" t="s">
        <v>3400</v>
      </c>
      <c r="H6" s="3138" t="s">
        <v>3452</v>
      </c>
      <c r="I6" s="3138">
        <v>0</v>
      </c>
    </row>
    <row r="7" spans="1:13" ht="14.25">
      <c r="A7" s="3316"/>
      <c r="B7" s="3138">
        <v>4</v>
      </c>
      <c r="C7" s="3138" t="s">
        <v>3384</v>
      </c>
      <c r="D7" s="3138" t="s">
        <v>3385</v>
      </c>
      <c r="E7" s="3139" t="s">
        <v>3390</v>
      </c>
      <c r="F7" s="3138">
        <v>837.38</v>
      </c>
      <c r="G7" s="3219" t="s">
        <v>3419</v>
      </c>
      <c r="H7" s="3138" t="s">
        <v>3448</v>
      </c>
      <c r="I7" s="3168">
        <f>典型户型修正!R25</f>
        <v>1.7</v>
      </c>
    </row>
    <row r="8" spans="1:13" s="3144" customFormat="1" ht="14.25">
      <c r="A8" s="3316"/>
      <c r="B8" s="3143">
        <v>5</v>
      </c>
      <c r="C8" s="3143" t="s">
        <v>3384</v>
      </c>
      <c r="D8" s="3143" t="s">
        <v>3385</v>
      </c>
      <c r="E8" s="3142" t="s">
        <v>3391</v>
      </c>
      <c r="F8" s="3143">
        <v>837.38</v>
      </c>
      <c r="G8" s="3220" t="s">
        <v>3419</v>
      </c>
      <c r="H8" s="3143" t="s">
        <v>3451</v>
      </c>
      <c r="I8" s="3167">
        <f>典型户型修正!R26</f>
        <v>1.6</v>
      </c>
    </row>
    <row r="9" spans="1:13" ht="14.25">
      <c r="A9" s="3316"/>
      <c r="B9" s="3138">
        <v>6</v>
      </c>
      <c r="C9" s="3138" t="s">
        <v>3384</v>
      </c>
      <c r="D9" s="3138" t="s">
        <v>3385</v>
      </c>
      <c r="E9" s="3139" t="s">
        <v>3392</v>
      </c>
      <c r="F9" s="3138">
        <v>837.38</v>
      </c>
      <c r="G9" s="3219" t="s">
        <v>3419</v>
      </c>
      <c r="H9" s="3138" t="s">
        <v>3451</v>
      </c>
      <c r="I9" s="3168">
        <f>I8</f>
        <v>1.6</v>
      </c>
    </row>
    <row r="10" spans="1:13" ht="14.25">
      <c r="A10" s="3316"/>
      <c r="B10" s="3138">
        <v>7</v>
      </c>
      <c r="C10" s="3138" t="s">
        <v>3384</v>
      </c>
      <c r="D10" s="3138" t="s">
        <v>3385</v>
      </c>
      <c r="E10" s="3139" t="s">
        <v>3393</v>
      </c>
      <c r="F10" s="3138">
        <v>837.38</v>
      </c>
      <c r="G10" s="3219" t="s">
        <v>3419</v>
      </c>
      <c r="H10" s="3138" t="s">
        <v>3451</v>
      </c>
      <c r="I10" s="3168">
        <f>I9</f>
        <v>1.6</v>
      </c>
    </row>
    <row r="11" spans="1:13" ht="14.25">
      <c r="A11" s="3316"/>
      <c r="B11" s="3138">
        <v>8</v>
      </c>
      <c r="C11" s="3138" t="s">
        <v>3384</v>
      </c>
      <c r="D11" s="3138" t="s">
        <v>3385</v>
      </c>
      <c r="E11" s="3139" t="s">
        <v>3394</v>
      </c>
      <c r="F11" s="3138">
        <v>837.38</v>
      </c>
      <c r="G11" s="3219" t="s">
        <v>3419</v>
      </c>
      <c r="H11" s="3138" t="s">
        <v>3451</v>
      </c>
      <c r="I11" s="3168">
        <f>I10</f>
        <v>1.6</v>
      </c>
    </row>
    <row r="12" spans="1:13" ht="14.25">
      <c r="A12" s="3316"/>
      <c r="B12" s="3138">
        <v>9</v>
      </c>
      <c r="C12" s="3138" t="s">
        <v>3384</v>
      </c>
      <c r="D12" s="3138" t="s">
        <v>3385</v>
      </c>
      <c r="E12" s="3139" t="s">
        <v>3395</v>
      </c>
      <c r="F12" s="3138">
        <v>78.319999999999993</v>
      </c>
      <c r="G12" s="3219" t="s">
        <v>3419</v>
      </c>
      <c r="H12" s="3138" t="s">
        <v>3451</v>
      </c>
      <c r="I12" s="3168">
        <f>I11</f>
        <v>1.6</v>
      </c>
    </row>
    <row r="13" spans="1:13" s="3176" customFormat="1" ht="14.25">
      <c r="A13" s="3317"/>
      <c r="B13" s="3326" t="s">
        <v>3437</v>
      </c>
      <c r="C13" s="3327"/>
      <c r="D13" s="3327"/>
      <c r="E13" s="3328"/>
      <c r="F13" s="3174">
        <f>SUM(F2:F12)</f>
        <v>6617.17</v>
      </c>
      <c r="G13" s="3221"/>
      <c r="H13" s="3174"/>
      <c r="I13" s="3175">
        <f>ROUND(SUMPRODUCT(I2:I12,F2:F12)/F13,2)</f>
        <v>1.38</v>
      </c>
      <c r="J13" s="3176">
        <f>I13*F13</f>
        <v>9131.6945999999989</v>
      </c>
      <c r="K13" s="3176">
        <v>4976</v>
      </c>
      <c r="L13" s="3176">
        <v>2</v>
      </c>
      <c r="M13" s="3177">
        <f>K13*L13/F13</f>
        <v>1.5039661970298481</v>
      </c>
    </row>
    <row r="14" spans="1:13" ht="14.25">
      <c r="A14" s="3315">
        <v>2</v>
      </c>
      <c r="B14" s="3138">
        <v>1</v>
      </c>
      <c r="C14" s="3138" t="s">
        <v>3384</v>
      </c>
      <c r="D14" s="3138" t="s">
        <v>3401</v>
      </c>
      <c r="E14" s="3139" t="s">
        <v>3387</v>
      </c>
      <c r="F14" s="3138">
        <v>832.27</v>
      </c>
      <c r="G14" s="3219" t="s">
        <v>3396</v>
      </c>
      <c r="H14" s="3138" t="s">
        <v>3396</v>
      </c>
      <c r="I14" s="3138">
        <f>I2</f>
        <v>0.8</v>
      </c>
    </row>
    <row r="15" spans="1:13" ht="14.25">
      <c r="A15" s="3316"/>
      <c r="B15" s="3318">
        <v>2</v>
      </c>
      <c r="C15" s="3318" t="s">
        <v>3384</v>
      </c>
      <c r="D15" s="3318" t="s">
        <v>3401</v>
      </c>
      <c r="E15" s="3139" t="s">
        <v>3388</v>
      </c>
      <c r="F15" s="3138">
        <f>672.44-F16</f>
        <v>464.97</v>
      </c>
      <c r="G15" s="3219" t="s">
        <v>3396</v>
      </c>
      <c r="H15" s="3138" t="s">
        <v>3396</v>
      </c>
      <c r="I15" s="3138">
        <f>I3</f>
        <v>0.8</v>
      </c>
    </row>
    <row r="16" spans="1:13" ht="14.25">
      <c r="A16" s="3316"/>
      <c r="B16" s="3319"/>
      <c r="C16" s="3319"/>
      <c r="D16" s="3319"/>
      <c r="E16" s="3139" t="s">
        <v>3388</v>
      </c>
      <c r="F16" s="3138">
        <v>207.47</v>
      </c>
      <c r="G16" s="3219" t="s">
        <v>3397</v>
      </c>
      <c r="H16" s="3138" t="s">
        <v>3452</v>
      </c>
      <c r="I16" s="3138">
        <v>0</v>
      </c>
    </row>
    <row r="17" spans="1:13" ht="14.25">
      <c r="A17" s="3316"/>
      <c r="B17" s="3318">
        <v>3</v>
      </c>
      <c r="C17" s="3318" t="s">
        <v>3402</v>
      </c>
      <c r="D17" s="3318" t="s">
        <v>3403</v>
      </c>
      <c r="E17" s="3139" t="s">
        <v>3389</v>
      </c>
      <c r="F17" s="3138">
        <f>837.38-F18</f>
        <v>678.32999999999993</v>
      </c>
      <c r="G17" s="3219" t="s">
        <v>3419</v>
      </c>
      <c r="H17" s="3138" t="s">
        <v>3448</v>
      </c>
      <c r="I17" s="3168">
        <f>典型户型修正!R31</f>
        <v>0</v>
      </c>
    </row>
    <row r="18" spans="1:13" ht="14.25">
      <c r="A18" s="3316"/>
      <c r="B18" s="3319"/>
      <c r="C18" s="3319"/>
      <c r="D18" s="3319"/>
      <c r="E18" s="3139" t="s">
        <v>3398</v>
      </c>
      <c r="F18" s="3138">
        <v>159.05000000000001</v>
      </c>
      <c r="G18" s="3219" t="s">
        <v>3400</v>
      </c>
      <c r="H18" s="3138" t="s">
        <v>3452</v>
      </c>
      <c r="I18" s="3138">
        <v>0</v>
      </c>
    </row>
    <row r="19" spans="1:13" ht="14.25">
      <c r="A19" s="3316"/>
      <c r="B19" s="3138">
        <v>4</v>
      </c>
      <c r="C19" s="3138" t="s">
        <v>3402</v>
      </c>
      <c r="D19" s="3138" t="s">
        <v>3403</v>
      </c>
      <c r="E19" s="3139" t="s">
        <v>3390</v>
      </c>
      <c r="F19" s="3138">
        <v>837.38</v>
      </c>
      <c r="G19" s="3219" t="s">
        <v>3419</v>
      </c>
      <c r="H19" s="3138" t="s">
        <v>3448</v>
      </c>
      <c r="I19" s="3168">
        <f>典型户型修正!R32</f>
        <v>0</v>
      </c>
    </row>
    <row r="20" spans="1:13" ht="14.25">
      <c r="A20" s="3316"/>
      <c r="B20" s="3138">
        <v>5</v>
      </c>
      <c r="C20" s="3138" t="s">
        <v>3384</v>
      </c>
      <c r="D20" s="3138" t="s">
        <v>3401</v>
      </c>
      <c r="E20" s="3139" t="s">
        <v>3391</v>
      </c>
      <c r="F20" s="3138">
        <v>837.38</v>
      </c>
      <c r="G20" s="3219" t="s">
        <v>3419</v>
      </c>
      <c r="H20" s="3138" t="s">
        <v>3451</v>
      </c>
      <c r="I20" s="3168">
        <f>典型户型修正!R33</f>
        <v>0</v>
      </c>
    </row>
    <row r="21" spans="1:13" ht="14.25">
      <c r="A21" s="3316"/>
      <c r="B21" s="3138">
        <v>6</v>
      </c>
      <c r="C21" s="3138" t="s">
        <v>3384</v>
      </c>
      <c r="D21" s="3138" t="s">
        <v>3401</v>
      </c>
      <c r="E21" s="3139" t="s">
        <v>3392</v>
      </c>
      <c r="F21" s="3138">
        <v>837.38</v>
      </c>
      <c r="G21" s="3219" t="s">
        <v>3419</v>
      </c>
      <c r="H21" s="3138" t="s">
        <v>3451</v>
      </c>
      <c r="I21" s="3168">
        <f>典型户型修正!R34</f>
        <v>0</v>
      </c>
    </row>
    <row r="22" spans="1:13" ht="14.25">
      <c r="A22" s="3316"/>
      <c r="B22" s="3138">
        <v>7</v>
      </c>
      <c r="C22" s="3138" t="s">
        <v>3384</v>
      </c>
      <c r="D22" s="3138" t="s">
        <v>3401</v>
      </c>
      <c r="E22" s="3139" t="s">
        <v>3393</v>
      </c>
      <c r="F22" s="3138">
        <v>837.38</v>
      </c>
      <c r="G22" s="3219" t="s">
        <v>3419</v>
      </c>
      <c r="H22" s="3138" t="s">
        <v>3451</v>
      </c>
      <c r="I22" s="3168">
        <f>典型户型修正!R35</f>
        <v>0</v>
      </c>
    </row>
    <row r="23" spans="1:13" ht="14.25">
      <c r="A23" s="3316"/>
      <c r="B23" s="3138">
        <v>8</v>
      </c>
      <c r="C23" s="3138" t="s">
        <v>3384</v>
      </c>
      <c r="D23" s="3138" t="s">
        <v>3401</v>
      </c>
      <c r="E23" s="3139" t="s">
        <v>3394</v>
      </c>
      <c r="F23" s="3138">
        <v>837.38</v>
      </c>
      <c r="G23" s="3219" t="s">
        <v>3419</v>
      </c>
      <c r="H23" s="3138" t="s">
        <v>3451</v>
      </c>
      <c r="I23" s="3168">
        <f>典型户型修正!R36</f>
        <v>0</v>
      </c>
    </row>
    <row r="24" spans="1:13" ht="14.25">
      <c r="A24" s="3316"/>
      <c r="B24" s="3138">
        <v>9</v>
      </c>
      <c r="C24" s="3138" t="s">
        <v>3384</v>
      </c>
      <c r="D24" s="3138" t="s">
        <v>3401</v>
      </c>
      <c r="E24" s="3139" t="s">
        <v>3395</v>
      </c>
      <c r="F24" s="3138">
        <v>78.319999999999993</v>
      </c>
      <c r="G24" s="3219" t="s">
        <v>3419</v>
      </c>
      <c r="H24" s="3138" t="s">
        <v>3451</v>
      </c>
      <c r="I24" s="3168">
        <f>典型户型修正!R37</f>
        <v>0</v>
      </c>
    </row>
    <row r="25" spans="1:13" s="3176" customFormat="1" ht="14.25">
      <c r="A25" s="3317"/>
      <c r="B25" s="3326" t="s">
        <v>3436</v>
      </c>
      <c r="C25" s="3327"/>
      <c r="D25" s="3327"/>
      <c r="E25" s="3328"/>
      <c r="F25" s="3174">
        <f>SUM(F14:F24)</f>
        <v>6607.31</v>
      </c>
      <c r="G25" s="3221"/>
      <c r="H25" s="3174"/>
      <c r="I25" s="3175">
        <f>ROUND(SUMPRODUCT(I14:I24,F14:F24)/F25,2)</f>
        <v>0.16</v>
      </c>
      <c r="J25" s="3176">
        <f>I25*F25</f>
        <v>1057.1696000000002</v>
      </c>
      <c r="K25" s="3176">
        <v>4976</v>
      </c>
      <c r="L25" s="3176">
        <v>2.5</v>
      </c>
      <c r="M25" s="3177">
        <f>K25*L25/F25</f>
        <v>1.8827631819908555</v>
      </c>
    </row>
    <row r="26" spans="1:13" ht="14.25">
      <c r="A26" s="3315">
        <v>3</v>
      </c>
      <c r="B26" s="3138">
        <v>1</v>
      </c>
      <c r="C26" s="3138" t="s">
        <v>3384</v>
      </c>
      <c r="D26" s="3138" t="s">
        <v>3404</v>
      </c>
      <c r="E26" s="3139" t="s">
        <v>3387</v>
      </c>
      <c r="F26" s="3138">
        <v>854.85</v>
      </c>
      <c r="G26" s="3219" t="s">
        <v>3396</v>
      </c>
      <c r="H26" s="3138" t="s">
        <v>3396</v>
      </c>
      <c r="I26" s="3138">
        <f>I2</f>
        <v>0.8</v>
      </c>
    </row>
    <row r="27" spans="1:13" ht="14.25">
      <c r="A27" s="3316"/>
      <c r="B27" s="3318">
        <v>2</v>
      </c>
      <c r="C27" s="3318" t="s">
        <v>3384</v>
      </c>
      <c r="D27" s="3318" t="s">
        <v>3404</v>
      </c>
      <c r="E27" s="3139" t="s">
        <v>3388</v>
      </c>
      <c r="F27" s="3138">
        <f>853.96-F28</f>
        <v>593.47</v>
      </c>
      <c r="G27" s="3219" t="s">
        <v>3396</v>
      </c>
      <c r="H27" s="3138" t="s">
        <v>3396</v>
      </c>
      <c r="I27" s="3138">
        <f>I2</f>
        <v>0.8</v>
      </c>
    </row>
    <row r="28" spans="1:13" ht="14.25">
      <c r="A28" s="3316"/>
      <c r="B28" s="3319"/>
      <c r="C28" s="3319"/>
      <c r="D28" s="3319"/>
      <c r="E28" s="3139" t="s">
        <v>3388</v>
      </c>
      <c r="F28" s="3138">
        <v>260.49</v>
      </c>
      <c r="G28" s="3219" t="s">
        <v>3397</v>
      </c>
      <c r="H28" s="3138" t="s">
        <v>3452</v>
      </c>
      <c r="I28" s="3138">
        <v>0</v>
      </c>
    </row>
    <row r="29" spans="1:13" ht="14.25">
      <c r="A29" s="3316"/>
      <c r="B29" s="3138">
        <v>3</v>
      </c>
      <c r="C29" s="3138" t="s">
        <v>3402</v>
      </c>
      <c r="D29" s="3138" t="s">
        <v>3404</v>
      </c>
      <c r="E29" s="3139" t="s">
        <v>3389</v>
      </c>
      <c r="F29" s="3138">
        <v>825.22</v>
      </c>
      <c r="G29" s="3219" t="s">
        <v>3419</v>
      </c>
      <c r="H29" s="3138" t="s">
        <v>3449</v>
      </c>
      <c r="I29" s="3168">
        <f>典型户型修正!R38</f>
        <v>0</v>
      </c>
    </row>
    <row r="30" spans="1:13" ht="14.25">
      <c r="A30" s="3316"/>
      <c r="B30" s="3138">
        <v>4</v>
      </c>
      <c r="C30" s="3138" t="s">
        <v>3402</v>
      </c>
      <c r="D30" s="3138" t="s">
        <v>3404</v>
      </c>
      <c r="E30" s="3139" t="s">
        <v>3390</v>
      </c>
      <c r="F30" s="3138">
        <v>825.22</v>
      </c>
      <c r="G30" s="3219" t="s">
        <v>3419</v>
      </c>
      <c r="H30" s="3138" t="s">
        <v>3449</v>
      </c>
      <c r="I30" s="3168">
        <f>典型户型修正!R39</f>
        <v>0</v>
      </c>
    </row>
    <row r="31" spans="1:13" ht="14.25">
      <c r="A31" s="3316"/>
      <c r="B31" s="3138">
        <v>5</v>
      </c>
      <c r="C31" s="3138" t="s">
        <v>3384</v>
      </c>
      <c r="D31" s="3138" t="s">
        <v>3404</v>
      </c>
      <c r="E31" s="3139" t="s">
        <v>3391</v>
      </c>
      <c r="F31" s="3138">
        <v>825.22</v>
      </c>
      <c r="G31" s="3219" t="s">
        <v>3419</v>
      </c>
      <c r="H31" s="3138" t="s">
        <v>3449</v>
      </c>
      <c r="I31" s="3168">
        <f>典型户型修正!R40</f>
        <v>0</v>
      </c>
    </row>
    <row r="32" spans="1:13" ht="14.25">
      <c r="A32" s="3316"/>
      <c r="B32" s="3138">
        <v>6</v>
      </c>
      <c r="C32" s="3138" t="s">
        <v>3384</v>
      </c>
      <c r="D32" s="3138" t="s">
        <v>3404</v>
      </c>
      <c r="E32" s="3139" t="s">
        <v>3392</v>
      </c>
      <c r="F32" s="3138">
        <v>825.22</v>
      </c>
      <c r="G32" s="3219" t="s">
        <v>3419</v>
      </c>
      <c r="H32" s="3138" t="s">
        <v>3449</v>
      </c>
      <c r="I32" s="3168">
        <f>典型户型修正!R41</f>
        <v>0</v>
      </c>
    </row>
    <row r="33" spans="1:13" ht="14.25">
      <c r="A33" s="3316"/>
      <c r="B33" s="3138">
        <v>7</v>
      </c>
      <c r="C33" s="3138" t="s">
        <v>3384</v>
      </c>
      <c r="D33" s="3138" t="s">
        <v>3404</v>
      </c>
      <c r="E33" s="3139" t="s">
        <v>3393</v>
      </c>
      <c r="F33" s="3138">
        <v>825.22</v>
      </c>
      <c r="G33" s="3219" t="s">
        <v>3419</v>
      </c>
      <c r="H33" s="3138" t="s">
        <v>3449</v>
      </c>
      <c r="I33" s="3168">
        <f>典型户型修正!R42</f>
        <v>0</v>
      </c>
    </row>
    <row r="34" spans="1:13" ht="14.25">
      <c r="A34" s="3316"/>
      <c r="B34" s="3138">
        <v>8</v>
      </c>
      <c r="C34" s="3138" t="s">
        <v>3384</v>
      </c>
      <c r="D34" s="3138" t="s">
        <v>3404</v>
      </c>
      <c r="E34" s="3139" t="s">
        <v>3394</v>
      </c>
      <c r="F34" s="3138">
        <v>825.22</v>
      </c>
      <c r="G34" s="3219" t="s">
        <v>3419</v>
      </c>
      <c r="H34" s="3138" t="s">
        <v>3449</v>
      </c>
      <c r="I34" s="3168">
        <f>典型户型修正!R43</f>
        <v>0</v>
      </c>
    </row>
    <row r="35" spans="1:13" ht="14.25">
      <c r="A35" s="3316"/>
      <c r="B35" s="3138">
        <v>9</v>
      </c>
      <c r="C35" s="3138" t="s">
        <v>3384</v>
      </c>
      <c r="D35" s="3138" t="s">
        <v>3404</v>
      </c>
      <c r="E35" s="3139" t="s">
        <v>3405</v>
      </c>
      <c r="F35" s="3138">
        <v>818.65</v>
      </c>
      <c r="G35" s="3219" t="s">
        <v>3419</v>
      </c>
      <c r="H35" s="3138" t="s">
        <v>3449</v>
      </c>
      <c r="I35" s="3168">
        <f>典型户型修正!R44</f>
        <v>0</v>
      </c>
    </row>
    <row r="36" spans="1:13" ht="14.25">
      <c r="A36" s="3316"/>
      <c r="B36" s="3138">
        <v>10</v>
      </c>
      <c r="C36" s="3138" t="s">
        <v>3384</v>
      </c>
      <c r="D36" s="3138" t="s">
        <v>3404</v>
      </c>
      <c r="E36" s="3139" t="s">
        <v>3395</v>
      </c>
      <c r="F36" s="3138">
        <v>76.45</v>
      </c>
      <c r="G36" s="3219" t="s">
        <v>3419</v>
      </c>
      <c r="H36" s="3138" t="s">
        <v>3449</v>
      </c>
      <c r="I36" s="3168">
        <f>典型户型修正!R45</f>
        <v>0</v>
      </c>
    </row>
    <row r="37" spans="1:13" s="3176" customFormat="1" ht="14.25">
      <c r="A37" s="3317"/>
      <c r="B37" s="3326" t="s">
        <v>3435</v>
      </c>
      <c r="C37" s="3327"/>
      <c r="D37" s="3327"/>
      <c r="E37" s="3328"/>
      <c r="F37" s="3174">
        <f>SUM(F26:F36)</f>
        <v>7555.2300000000005</v>
      </c>
      <c r="G37" s="3221"/>
      <c r="H37" s="3174"/>
      <c r="I37" s="3175">
        <f>ROUND(SUMPRODUCT(I26:I36,F26:F36)/F37,2)</f>
        <v>0.15</v>
      </c>
      <c r="J37" s="3176">
        <f>I37*F37</f>
        <v>1133.2845</v>
      </c>
      <c r="K37" s="3176">
        <v>6153</v>
      </c>
      <c r="L37" s="3176">
        <v>2</v>
      </c>
      <c r="M37" s="3177">
        <f>K37*L37/F37</f>
        <v>1.6288054764712654</v>
      </c>
    </row>
    <row r="38" spans="1:13" ht="14.25">
      <c r="A38" s="3315">
        <v>4</v>
      </c>
      <c r="B38" s="3138">
        <v>1</v>
      </c>
      <c r="C38" s="3138" t="s">
        <v>3384</v>
      </c>
      <c r="D38" s="3138" t="s">
        <v>3407</v>
      </c>
      <c r="E38" s="3139" t="s">
        <v>3387</v>
      </c>
      <c r="F38" s="3138">
        <v>854.85</v>
      </c>
      <c r="G38" s="3219" t="s">
        <v>3396</v>
      </c>
      <c r="H38" s="3138" t="s">
        <v>3396</v>
      </c>
      <c r="I38" s="3138">
        <f>I14</f>
        <v>0.8</v>
      </c>
    </row>
    <row r="39" spans="1:13" ht="14.25">
      <c r="A39" s="3316"/>
      <c r="B39" s="3318">
        <v>2</v>
      </c>
      <c r="C39" s="3318" t="s">
        <v>3384</v>
      </c>
      <c r="D39" s="3318" t="s">
        <v>3407</v>
      </c>
      <c r="E39" s="3139" t="s">
        <v>3388</v>
      </c>
      <c r="F39" s="3138">
        <f>853.96-F40</f>
        <v>593.47</v>
      </c>
      <c r="G39" s="3219" t="s">
        <v>3396</v>
      </c>
      <c r="H39" s="3138" t="s">
        <v>3396</v>
      </c>
      <c r="I39" s="3138">
        <f>I15</f>
        <v>0.8</v>
      </c>
    </row>
    <row r="40" spans="1:13" ht="14.25">
      <c r="A40" s="3316"/>
      <c r="B40" s="3319"/>
      <c r="C40" s="3319"/>
      <c r="D40" s="3319"/>
      <c r="E40" s="3139" t="s">
        <v>3388</v>
      </c>
      <c r="F40" s="3138">
        <v>260.49</v>
      </c>
      <c r="G40" s="3219" t="s">
        <v>3397</v>
      </c>
      <c r="H40" s="3138" t="s">
        <v>3452</v>
      </c>
      <c r="I40" s="3138">
        <v>0</v>
      </c>
    </row>
    <row r="41" spans="1:13" ht="14.25">
      <c r="A41" s="3316"/>
      <c r="B41" s="3138">
        <v>3</v>
      </c>
      <c r="C41" s="3138" t="s">
        <v>3402</v>
      </c>
      <c r="D41" s="3138" t="s">
        <v>3407</v>
      </c>
      <c r="E41" s="3139" t="s">
        <v>3389</v>
      </c>
      <c r="F41" s="3138">
        <v>825.22</v>
      </c>
      <c r="G41" s="3219" t="s">
        <v>3419</v>
      </c>
      <c r="H41" s="3138" t="s">
        <v>3449</v>
      </c>
      <c r="I41" s="3168">
        <f>典型户型修正!R46</f>
        <v>0</v>
      </c>
    </row>
    <row r="42" spans="1:13" ht="14.25">
      <c r="A42" s="3316"/>
      <c r="B42" s="3138">
        <v>4</v>
      </c>
      <c r="C42" s="3138" t="s">
        <v>3402</v>
      </c>
      <c r="D42" s="3138" t="s">
        <v>3407</v>
      </c>
      <c r="E42" s="3139" t="s">
        <v>3390</v>
      </c>
      <c r="F42" s="3138">
        <v>825.22</v>
      </c>
      <c r="G42" s="3219" t="s">
        <v>3419</v>
      </c>
      <c r="H42" s="3138" t="s">
        <v>3449</v>
      </c>
      <c r="I42" s="3168">
        <f>典型户型修正!R47</f>
        <v>0</v>
      </c>
    </row>
    <row r="43" spans="1:13" ht="14.25">
      <c r="A43" s="3316"/>
      <c r="B43" s="3138">
        <v>5</v>
      </c>
      <c r="C43" s="3138" t="s">
        <v>3384</v>
      </c>
      <c r="D43" s="3138" t="s">
        <v>3407</v>
      </c>
      <c r="E43" s="3139" t="s">
        <v>3391</v>
      </c>
      <c r="F43" s="3138">
        <v>825.22</v>
      </c>
      <c r="G43" s="3219" t="s">
        <v>3419</v>
      </c>
      <c r="H43" s="3138" t="s">
        <v>3449</v>
      </c>
      <c r="I43" s="3168">
        <f>典型户型修正!R48</f>
        <v>0</v>
      </c>
    </row>
    <row r="44" spans="1:13" ht="14.25">
      <c r="A44" s="3316"/>
      <c r="B44" s="3138">
        <v>6</v>
      </c>
      <c r="C44" s="3138" t="s">
        <v>3384</v>
      </c>
      <c r="D44" s="3138" t="s">
        <v>3407</v>
      </c>
      <c r="E44" s="3139" t="s">
        <v>3392</v>
      </c>
      <c r="F44" s="3138">
        <v>825.22</v>
      </c>
      <c r="G44" s="3219" t="s">
        <v>3419</v>
      </c>
      <c r="H44" s="3138" t="s">
        <v>3449</v>
      </c>
      <c r="I44" s="3168">
        <f>典型户型修正!R49</f>
        <v>0</v>
      </c>
    </row>
    <row r="45" spans="1:13" ht="14.25">
      <c r="A45" s="3316"/>
      <c r="B45" s="3138">
        <v>7</v>
      </c>
      <c r="C45" s="3138" t="s">
        <v>3384</v>
      </c>
      <c r="D45" s="3138" t="s">
        <v>3407</v>
      </c>
      <c r="E45" s="3139" t="s">
        <v>3393</v>
      </c>
      <c r="F45" s="3138">
        <v>825.22</v>
      </c>
      <c r="G45" s="3219" t="s">
        <v>3419</v>
      </c>
      <c r="H45" s="3138" t="s">
        <v>3449</v>
      </c>
      <c r="I45" s="3168">
        <f>典型户型修正!R50</f>
        <v>0</v>
      </c>
    </row>
    <row r="46" spans="1:13" ht="14.25">
      <c r="A46" s="3316"/>
      <c r="B46" s="3138">
        <v>8</v>
      </c>
      <c r="C46" s="3138" t="s">
        <v>3384</v>
      </c>
      <c r="D46" s="3138" t="s">
        <v>3407</v>
      </c>
      <c r="E46" s="3139" t="s">
        <v>3394</v>
      </c>
      <c r="F46" s="3138">
        <v>825.22</v>
      </c>
      <c r="G46" s="3219" t="s">
        <v>3419</v>
      </c>
      <c r="H46" s="3138" t="s">
        <v>3449</v>
      </c>
      <c r="I46" s="3168">
        <f>典型户型修正!R51</f>
        <v>0</v>
      </c>
    </row>
    <row r="47" spans="1:13" ht="14.25">
      <c r="A47" s="3316"/>
      <c r="B47" s="3138">
        <v>9</v>
      </c>
      <c r="C47" s="3138" t="s">
        <v>3384</v>
      </c>
      <c r="D47" s="3138" t="s">
        <v>3407</v>
      </c>
      <c r="E47" s="3139" t="s">
        <v>3405</v>
      </c>
      <c r="F47" s="3138">
        <v>818.65</v>
      </c>
      <c r="G47" s="3219" t="s">
        <v>3419</v>
      </c>
      <c r="H47" s="3138" t="s">
        <v>3449</v>
      </c>
      <c r="I47" s="3168">
        <f>典型户型修正!R52</f>
        <v>0</v>
      </c>
    </row>
    <row r="48" spans="1:13" ht="14.25">
      <c r="A48" s="3316"/>
      <c r="B48" s="3138">
        <v>10</v>
      </c>
      <c r="C48" s="3138" t="s">
        <v>3384</v>
      </c>
      <c r="D48" s="3138" t="s">
        <v>3407</v>
      </c>
      <c r="E48" s="3139" t="s">
        <v>3395</v>
      </c>
      <c r="F48" s="3138">
        <v>76.45</v>
      </c>
      <c r="G48" s="3219" t="s">
        <v>3419</v>
      </c>
      <c r="H48" s="3138" t="s">
        <v>3449</v>
      </c>
      <c r="I48" s="3168">
        <f>典型户型修正!R53</f>
        <v>0</v>
      </c>
    </row>
    <row r="49" spans="1:13" s="3176" customFormat="1" ht="14.25">
      <c r="A49" s="3317"/>
      <c r="B49" s="3326" t="s">
        <v>3434</v>
      </c>
      <c r="C49" s="3327"/>
      <c r="D49" s="3327"/>
      <c r="E49" s="3328"/>
      <c r="F49" s="3174">
        <f>SUM(F38:F48)</f>
        <v>7555.2300000000005</v>
      </c>
      <c r="G49" s="3221"/>
      <c r="H49" s="3174"/>
      <c r="I49" s="3175">
        <f>ROUND(SUMPRODUCT(I38:I48,F38:F48)/F49,2)</f>
        <v>0.15</v>
      </c>
      <c r="J49" s="3176">
        <f>I49*F49</f>
        <v>1133.2845</v>
      </c>
      <c r="K49" s="3176">
        <v>6153</v>
      </c>
      <c r="L49" s="3176">
        <v>2.5</v>
      </c>
      <c r="M49" s="3177">
        <f>K49*L49/F49</f>
        <v>2.0360068455890818</v>
      </c>
    </row>
    <row r="50" spans="1:13" ht="14.25">
      <c r="A50" s="3315">
        <v>5</v>
      </c>
      <c r="B50" s="3138">
        <v>1</v>
      </c>
      <c r="C50" s="3138" t="s">
        <v>3384</v>
      </c>
      <c r="D50" s="3138" t="s">
        <v>3408</v>
      </c>
      <c r="E50" s="3139" t="s">
        <v>3387</v>
      </c>
      <c r="F50" s="3138">
        <v>867.93</v>
      </c>
      <c r="G50" s="3219" t="s">
        <v>3396</v>
      </c>
      <c r="H50" s="3138" t="s">
        <v>3396</v>
      </c>
      <c r="I50" s="3138">
        <f>I26</f>
        <v>0.8</v>
      </c>
    </row>
    <row r="51" spans="1:13" ht="14.25">
      <c r="A51" s="3316"/>
      <c r="B51" s="3318">
        <v>2</v>
      </c>
      <c r="C51" s="3318" t="s">
        <v>3384</v>
      </c>
      <c r="D51" s="3318" t="s">
        <v>3408</v>
      </c>
      <c r="E51" s="3139" t="s">
        <v>3388</v>
      </c>
      <c r="F51" s="3138">
        <f>597.58-F52</f>
        <v>378.30000000000007</v>
      </c>
      <c r="G51" s="3219" t="s">
        <v>3396</v>
      </c>
      <c r="H51" s="3138" t="s">
        <v>3396</v>
      </c>
      <c r="I51" s="3138">
        <f>I27</f>
        <v>0.8</v>
      </c>
    </row>
    <row r="52" spans="1:13" ht="14.25">
      <c r="A52" s="3316"/>
      <c r="B52" s="3319"/>
      <c r="C52" s="3319"/>
      <c r="D52" s="3319"/>
      <c r="E52" s="3139" t="s">
        <v>3388</v>
      </c>
      <c r="F52" s="3138">
        <v>219.28</v>
      </c>
      <c r="G52" s="3219" t="s">
        <v>3397</v>
      </c>
      <c r="H52" s="3138" t="s">
        <v>3452</v>
      </c>
      <c r="I52" s="3138">
        <v>0</v>
      </c>
    </row>
    <row r="53" spans="1:13" ht="14.25">
      <c r="A53" s="3316"/>
      <c r="B53" s="3318">
        <v>3</v>
      </c>
      <c r="C53" s="3318" t="s">
        <v>3402</v>
      </c>
      <c r="D53" s="3318" t="s">
        <v>3408</v>
      </c>
      <c r="E53" s="3139" t="s">
        <v>3389</v>
      </c>
      <c r="F53" s="3138">
        <f>846.29-F54</f>
        <v>687.24</v>
      </c>
      <c r="G53" s="3219" t="s">
        <v>3419</v>
      </c>
      <c r="H53" s="3138" t="s">
        <v>3449</v>
      </c>
      <c r="I53" s="3168">
        <f>典型户型修正!R54</f>
        <v>0</v>
      </c>
    </row>
    <row r="54" spans="1:13" ht="14.25">
      <c r="A54" s="3316"/>
      <c r="B54" s="3319"/>
      <c r="C54" s="3319"/>
      <c r="D54" s="3319"/>
      <c r="E54" s="3139" t="s">
        <v>3389</v>
      </c>
      <c r="F54" s="3138">
        <v>159.05000000000001</v>
      </c>
      <c r="G54" s="3219" t="s">
        <v>3400</v>
      </c>
      <c r="H54" s="3138" t="s">
        <v>3452</v>
      </c>
      <c r="I54" s="3138">
        <v>0</v>
      </c>
    </row>
    <row r="55" spans="1:13" ht="14.25">
      <c r="A55" s="3316"/>
      <c r="B55" s="3138">
        <v>4</v>
      </c>
      <c r="C55" s="3138" t="s">
        <v>3402</v>
      </c>
      <c r="D55" s="3138" t="s">
        <v>3417</v>
      </c>
      <c r="E55" s="3139" t="s">
        <v>3418</v>
      </c>
      <c r="F55" s="3138">
        <v>837.38</v>
      </c>
      <c r="G55" s="3219" t="s">
        <v>3419</v>
      </c>
      <c r="H55" s="3138" t="s">
        <v>3449</v>
      </c>
      <c r="I55" s="3168">
        <f>典型户型修正!R55</f>
        <v>0</v>
      </c>
    </row>
    <row r="56" spans="1:13" ht="14.25">
      <c r="A56" s="3316"/>
      <c r="B56" s="3138">
        <v>5</v>
      </c>
      <c r="C56" s="3138" t="s">
        <v>3402</v>
      </c>
      <c r="D56" s="3138" t="s">
        <v>3417</v>
      </c>
      <c r="E56" s="3139" t="s">
        <v>3420</v>
      </c>
      <c r="F56" s="3138">
        <v>837.38</v>
      </c>
      <c r="G56" s="3219" t="s">
        <v>3419</v>
      </c>
      <c r="H56" s="3138" t="s">
        <v>3449</v>
      </c>
      <c r="I56" s="3168">
        <f>典型户型修正!R56</f>
        <v>0</v>
      </c>
    </row>
    <row r="57" spans="1:13" ht="14.25">
      <c r="A57" s="3316"/>
      <c r="B57" s="3138">
        <v>6</v>
      </c>
      <c r="C57" s="3138" t="s">
        <v>3402</v>
      </c>
      <c r="D57" s="3138" t="s">
        <v>3417</v>
      </c>
      <c r="E57" s="3139" t="s">
        <v>3421</v>
      </c>
      <c r="F57" s="3138">
        <v>837.38</v>
      </c>
      <c r="G57" s="3219" t="s">
        <v>3419</v>
      </c>
      <c r="H57" s="3138" t="s">
        <v>3449</v>
      </c>
      <c r="I57" s="3168">
        <f>典型户型修正!R57</f>
        <v>0</v>
      </c>
    </row>
    <row r="58" spans="1:13" ht="14.25">
      <c r="A58" s="3316"/>
      <c r="B58" s="3138">
        <v>7</v>
      </c>
      <c r="C58" s="3138" t="s">
        <v>3402</v>
      </c>
      <c r="D58" s="3138" t="s">
        <v>3417</v>
      </c>
      <c r="E58" s="3139" t="s">
        <v>3422</v>
      </c>
      <c r="F58" s="3138">
        <v>837.38</v>
      </c>
      <c r="G58" s="3219" t="s">
        <v>3419</v>
      </c>
      <c r="H58" s="3138" t="s">
        <v>3449</v>
      </c>
      <c r="I58" s="3168">
        <f>典型户型修正!R58</f>
        <v>0</v>
      </c>
    </row>
    <row r="59" spans="1:13" ht="14.25">
      <c r="A59" s="3316"/>
      <c r="B59" s="3138">
        <v>8</v>
      </c>
      <c r="C59" s="3138" t="s">
        <v>3402</v>
      </c>
      <c r="D59" s="3138" t="s">
        <v>3417</v>
      </c>
      <c r="E59" s="3139" t="s">
        <v>3423</v>
      </c>
      <c r="F59" s="3138">
        <v>837.38</v>
      </c>
      <c r="G59" s="3219" t="s">
        <v>3419</v>
      </c>
      <c r="H59" s="3138" t="s">
        <v>3449</v>
      </c>
      <c r="I59" s="3168">
        <f>典型户型修正!R59</f>
        <v>0</v>
      </c>
    </row>
    <row r="60" spans="1:13" ht="14.25">
      <c r="A60" s="3316"/>
      <c r="B60" s="3138">
        <v>9</v>
      </c>
      <c r="C60" s="3138" t="s">
        <v>3402</v>
      </c>
      <c r="D60" s="3138" t="s">
        <v>3417</v>
      </c>
      <c r="E60" s="3139" t="s">
        <v>3424</v>
      </c>
      <c r="F60" s="3138">
        <v>78.319999999999993</v>
      </c>
      <c r="G60" s="3219" t="s">
        <v>3419</v>
      </c>
      <c r="H60" s="3138" t="s">
        <v>3449</v>
      </c>
      <c r="I60" s="3168">
        <f>典型户型修正!R60</f>
        <v>0</v>
      </c>
    </row>
    <row r="61" spans="1:13" s="3176" customFormat="1" ht="14.25">
      <c r="A61" s="3317"/>
      <c r="B61" s="3326" t="s">
        <v>3433</v>
      </c>
      <c r="C61" s="3327"/>
      <c r="D61" s="3327"/>
      <c r="E61" s="3328"/>
      <c r="F61" s="3174">
        <f>SUM(F50:F60)</f>
        <v>6577.02</v>
      </c>
      <c r="G61" s="3221"/>
      <c r="H61" s="3174"/>
      <c r="I61" s="3175">
        <f>ROUND(SUMPRODUCT(I50:I60,F50:F60)/F61,2)</f>
        <v>0.15</v>
      </c>
      <c r="J61" s="3176">
        <f>I61*F61</f>
        <v>986.553</v>
      </c>
      <c r="K61" s="3176">
        <v>4976</v>
      </c>
      <c r="L61" s="3176">
        <v>2.5</v>
      </c>
      <c r="M61" s="3177">
        <f>K61*L61/F61</f>
        <v>1.891434114538195</v>
      </c>
    </row>
    <row r="62" spans="1:13" ht="14.25">
      <c r="A62" s="3315">
        <v>6</v>
      </c>
      <c r="B62" s="3318">
        <v>1</v>
      </c>
      <c r="C62" s="3318" t="s">
        <v>3384</v>
      </c>
      <c r="D62" s="3318" t="s">
        <v>3410</v>
      </c>
      <c r="E62" s="3139" t="s">
        <v>3409</v>
      </c>
      <c r="F62" s="3138">
        <f>746.22-F63</f>
        <v>497.48</v>
      </c>
      <c r="G62" s="3219" t="s">
        <v>3425</v>
      </c>
      <c r="H62" s="3138" t="s">
        <v>3450</v>
      </c>
      <c r="I62" s="3138">
        <f>I38</f>
        <v>0.8</v>
      </c>
    </row>
    <row r="63" spans="1:13" ht="14.25">
      <c r="A63" s="3316"/>
      <c r="B63" s="3319"/>
      <c r="C63" s="3319"/>
      <c r="D63" s="3319"/>
      <c r="E63" s="3139"/>
      <c r="F63" s="3138">
        <f>746.22/3</f>
        <v>248.74</v>
      </c>
      <c r="G63" s="3219" t="s">
        <v>3426</v>
      </c>
      <c r="H63" s="3138" t="s">
        <v>3452</v>
      </c>
      <c r="I63" s="3138">
        <v>0</v>
      </c>
    </row>
    <row r="64" spans="1:13" ht="14.25">
      <c r="A64" s="3316"/>
      <c r="B64" s="3318">
        <v>1</v>
      </c>
      <c r="C64" s="3318" t="s">
        <v>3384</v>
      </c>
      <c r="D64" s="3318" t="s">
        <v>3410</v>
      </c>
      <c r="E64" s="3139" t="s">
        <v>3387</v>
      </c>
      <c r="F64" s="3138">
        <f>1529.66-F65</f>
        <v>1517.5100000000002</v>
      </c>
      <c r="G64" s="3219" t="s">
        <v>3425</v>
      </c>
      <c r="H64" s="3138" t="s">
        <v>3414</v>
      </c>
      <c r="I64" s="3168">
        <f>典型户型修正!R61</f>
        <v>0</v>
      </c>
    </row>
    <row r="65" spans="1:10" ht="14.25">
      <c r="A65" s="3316"/>
      <c r="B65" s="3319"/>
      <c r="C65" s="3319"/>
      <c r="D65" s="3319"/>
      <c r="E65" s="3139"/>
      <c r="F65" s="3138">
        <f>410.89-F63-F67</f>
        <v>12.149999999999977</v>
      </c>
      <c r="G65" s="3219" t="s">
        <v>3426</v>
      </c>
      <c r="H65" s="3138" t="s">
        <v>3452</v>
      </c>
      <c r="I65" s="3138">
        <v>0</v>
      </c>
    </row>
    <row r="66" spans="1:10" ht="14.25">
      <c r="A66" s="3316"/>
      <c r="B66" s="3318">
        <v>2</v>
      </c>
      <c r="C66" s="3318" t="s">
        <v>3552</v>
      </c>
      <c r="D66" s="3318" t="s">
        <v>3410</v>
      </c>
      <c r="E66" s="3139" t="s">
        <v>3388</v>
      </c>
      <c r="F66" s="3138">
        <f>309.39-F67</f>
        <v>159.38999999999999</v>
      </c>
      <c r="G66" s="3219" t="s">
        <v>3400</v>
      </c>
      <c r="H66" s="3138" t="s">
        <v>3450</v>
      </c>
      <c r="I66" s="3138">
        <f>I62</f>
        <v>0.8</v>
      </c>
    </row>
    <row r="67" spans="1:10" ht="14.25">
      <c r="A67" s="3316"/>
      <c r="B67" s="3319"/>
      <c r="C67" s="3319"/>
      <c r="D67" s="3319"/>
      <c r="E67" s="3139" t="s">
        <v>3388</v>
      </c>
      <c r="F67" s="3138">
        <v>150</v>
      </c>
      <c r="G67" s="3219" t="s">
        <v>3426</v>
      </c>
      <c r="H67" s="3138" t="s">
        <v>3452</v>
      </c>
      <c r="I67" s="3138">
        <v>0</v>
      </c>
    </row>
    <row r="68" spans="1:10" ht="14.25">
      <c r="A68" s="3316"/>
      <c r="B68" s="3318">
        <v>3</v>
      </c>
      <c r="C68" s="3318" t="s">
        <v>3402</v>
      </c>
      <c r="D68" s="3318" t="s">
        <v>3410</v>
      </c>
      <c r="E68" s="3139" t="s">
        <v>3389</v>
      </c>
      <c r="F68" s="3138">
        <f>1351.38-F69</f>
        <v>463.44000000000005</v>
      </c>
      <c r="G68" s="3219" t="s">
        <v>3427</v>
      </c>
      <c r="H68" s="3138" t="s">
        <v>3451</v>
      </c>
      <c r="I68" s="3168">
        <f>典型户型修正!R62</f>
        <v>0</v>
      </c>
    </row>
    <row r="69" spans="1:10" ht="28.5">
      <c r="A69" s="3316"/>
      <c r="B69" s="3319"/>
      <c r="C69" s="3319"/>
      <c r="D69" s="3319"/>
      <c r="E69" s="3139" t="s">
        <v>3389</v>
      </c>
      <c r="F69" s="3138">
        <f>332.28+369.61+186.05</f>
        <v>887.94</v>
      </c>
      <c r="G69" s="3219" t="s">
        <v>3428</v>
      </c>
      <c r="H69" s="3138" t="s">
        <v>3452</v>
      </c>
      <c r="I69" s="3138">
        <v>0</v>
      </c>
    </row>
    <row r="70" spans="1:10" ht="28.5">
      <c r="A70" s="3316"/>
      <c r="B70" s="3318">
        <v>4</v>
      </c>
      <c r="C70" s="3318" t="s">
        <v>3402</v>
      </c>
      <c r="D70" s="3318" t="s">
        <v>3410</v>
      </c>
      <c r="E70" s="3139" t="s">
        <v>3390</v>
      </c>
      <c r="F70" s="3138">
        <f>1349.49-F71</f>
        <v>779.85</v>
      </c>
      <c r="G70" s="3219" t="s">
        <v>3554</v>
      </c>
      <c r="H70" s="3138" t="s">
        <v>3451</v>
      </c>
      <c r="I70" s="3168">
        <f>典型户型修正!R63</f>
        <v>0</v>
      </c>
    </row>
    <row r="71" spans="1:10" ht="28.5">
      <c r="A71" s="3316"/>
      <c r="B71" s="3319"/>
      <c r="C71" s="3319"/>
      <c r="D71" s="3319"/>
      <c r="E71" s="3139" t="s">
        <v>3390</v>
      </c>
      <c r="F71" s="3138">
        <f>79.98+489.66</f>
        <v>569.64</v>
      </c>
      <c r="G71" s="3219" t="s">
        <v>3553</v>
      </c>
      <c r="H71" s="3138" t="s">
        <v>3452</v>
      </c>
      <c r="I71" s="3138">
        <v>0</v>
      </c>
    </row>
    <row r="72" spans="1:10" ht="14.25">
      <c r="A72" s="3316"/>
      <c r="B72" s="3138">
        <v>5</v>
      </c>
      <c r="C72" s="3138" t="s">
        <v>3384</v>
      </c>
      <c r="D72" s="3138" t="s">
        <v>3410</v>
      </c>
      <c r="E72" s="3139" t="s">
        <v>3391</v>
      </c>
      <c r="F72" s="3138">
        <v>1325.8</v>
      </c>
      <c r="G72" s="3219" t="s">
        <v>3415</v>
      </c>
      <c r="H72" s="3138" t="s">
        <v>3451</v>
      </c>
      <c r="I72" s="3168">
        <f>典型户型修正!R64</f>
        <v>0</v>
      </c>
    </row>
    <row r="73" spans="1:10" ht="14.25">
      <c r="A73" s="3316"/>
      <c r="B73" s="3138">
        <v>6</v>
      </c>
      <c r="C73" s="3138" t="s">
        <v>3384</v>
      </c>
      <c r="D73" s="3138" t="s">
        <v>3410</v>
      </c>
      <c r="E73" s="3139" t="s">
        <v>3392</v>
      </c>
      <c r="F73" s="3138">
        <v>1321.31</v>
      </c>
      <c r="G73" s="3219" t="s">
        <v>3400</v>
      </c>
      <c r="H73" s="3138" t="s">
        <v>3451</v>
      </c>
      <c r="I73" s="3168">
        <f>典型户型修正!R65</f>
        <v>0</v>
      </c>
    </row>
    <row r="74" spans="1:10" ht="28.5">
      <c r="A74" s="3316"/>
      <c r="B74" s="3138">
        <v>7</v>
      </c>
      <c r="C74" s="3138" t="s">
        <v>3384</v>
      </c>
      <c r="D74" s="3138" t="s">
        <v>3410</v>
      </c>
      <c r="E74" s="3139" t="s">
        <v>3393</v>
      </c>
      <c r="F74" s="3138">
        <v>994.98</v>
      </c>
      <c r="G74" s="3219" t="s">
        <v>3416</v>
      </c>
      <c r="H74" s="3138" t="s">
        <v>3451</v>
      </c>
      <c r="I74" s="3168">
        <f>典型户型修正!R66</f>
        <v>0</v>
      </c>
    </row>
    <row r="75" spans="1:10" ht="14.25">
      <c r="A75" s="3316"/>
      <c r="B75" s="3138">
        <v>8</v>
      </c>
      <c r="C75" s="3138" t="s">
        <v>3384</v>
      </c>
      <c r="D75" s="3138" t="s">
        <v>3410</v>
      </c>
      <c r="E75" s="3139" t="s">
        <v>3424</v>
      </c>
      <c r="F75" s="3138">
        <v>81.45</v>
      </c>
      <c r="G75" s="3219" t="s">
        <v>3400</v>
      </c>
      <c r="H75" s="3138" t="s">
        <v>3451</v>
      </c>
      <c r="I75" s="3138">
        <v>0</v>
      </c>
    </row>
    <row r="76" spans="1:10" s="3176" customFormat="1" ht="14.25">
      <c r="A76" s="3317"/>
      <c r="B76" s="3326" t="s">
        <v>3432</v>
      </c>
      <c r="C76" s="3327"/>
      <c r="D76" s="3327"/>
      <c r="E76" s="3328"/>
      <c r="F76" s="3174">
        <f>SUM(F62:F75)</f>
        <v>9009.6800000000021</v>
      </c>
      <c r="G76" s="3221"/>
      <c r="H76" s="3174"/>
      <c r="I76" s="3175">
        <f>ROUND(SUMPRODUCT(I62:I75,F62:F75)/F76,2)</f>
        <v>0.06</v>
      </c>
      <c r="J76" s="3176">
        <f>I76*F76</f>
        <v>540.58080000000007</v>
      </c>
    </row>
    <row r="77" spans="1:10" ht="14.25">
      <c r="A77" s="3315">
        <v>7</v>
      </c>
      <c r="B77" s="3318">
        <v>1</v>
      </c>
      <c r="C77" s="3318" t="s">
        <v>3402</v>
      </c>
      <c r="D77" s="3318" t="s">
        <v>3430</v>
      </c>
      <c r="E77" s="3139" t="s">
        <v>3389</v>
      </c>
      <c r="F77" s="3138">
        <f>839.8-F78</f>
        <v>51.909999999999854</v>
      </c>
      <c r="G77" s="3219" t="s">
        <v>3399</v>
      </c>
      <c r="H77" s="3138"/>
      <c r="I77" s="3168">
        <f>典型户型修正!R68</f>
        <v>0</v>
      </c>
    </row>
    <row r="78" spans="1:10" ht="28.5">
      <c r="A78" s="3316"/>
      <c r="B78" s="3319"/>
      <c r="C78" s="3319"/>
      <c r="D78" s="3319"/>
      <c r="E78" s="3139" t="s">
        <v>3389</v>
      </c>
      <c r="F78" s="3138">
        <f>441.6+346.29</f>
        <v>787.8900000000001</v>
      </c>
      <c r="G78" s="3219" t="s">
        <v>3413</v>
      </c>
      <c r="H78" s="3138"/>
      <c r="I78" s="3168">
        <f>典型户型修正!R69</f>
        <v>0</v>
      </c>
    </row>
    <row r="79" spans="1:10" ht="14.25">
      <c r="A79" s="3316"/>
      <c r="B79" s="3138">
        <v>2</v>
      </c>
      <c r="C79" s="3138" t="s">
        <v>3402</v>
      </c>
      <c r="D79" s="3138" t="s">
        <v>3411</v>
      </c>
      <c r="E79" s="3139" t="s">
        <v>3390</v>
      </c>
      <c r="F79" s="3138">
        <v>943.54</v>
      </c>
      <c r="G79" s="3219" t="s">
        <v>3412</v>
      </c>
      <c r="H79" s="3138"/>
      <c r="I79" s="3168">
        <f>典型户型修正!R70</f>
        <v>0</v>
      </c>
    </row>
    <row r="80" spans="1:10" s="3176" customFormat="1" ht="14.25">
      <c r="A80" s="3317"/>
      <c r="B80" s="3326" t="s">
        <v>3431</v>
      </c>
      <c r="C80" s="3327"/>
      <c r="D80" s="3327"/>
      <c r="E80" s="3328"/>
      <c r="F80" s="3174">
        <f>SUM(F77:F79)</f>
        <v>1783.34</v>
      </c>
      <c r="G80" s="3221"/>
      <c r="H80" s="3174"/>
      <c r="I80" s="3175">
        <f>ROUND(SUMPRODUCT(I77:I79,F77:F79)/F80,2)</f>
        <v>0</v>
      </c>
      <c r="J80" s="3176">
        <f>I80*F80</f>
        <v>0</v>
      </c>
    </row>
    <row r="81" spans="1:10" s="3176" customFormat="1" ht="14.25">
      <c r="A81" s="3178"/>
      <c r="B81" s="3179"/>
      <c r="C81" s="3180"/>
      <c r="D81" s="3180"/>
      <c r="E81" s="3181"/>
      <c r="F81" s="3174">
        <f>SUM(F80,F76,F61,F49,F37,F25,F13)</f>
        <v>45704.979999999996</v>
      </c>
      <c r="G81" s="3221"/>
      <c r="H81" s="3174"/>
      <c r="I81" s="3175">
        <f>SUM(J13:J80)/F81</f>
        <v>0.30593092918977322</v>
      </c>
    </row>
    <row r="82" spans="1:10" ht="14.25">
      <c r="A82" s="3323">
        <v>8</v>
      </c>
      <c r="B82" s="3138">
        <v>1</v>
      </c>
      <c r="C82" s="3138" t="s">
        <v>3402</v>
      </c>
      <c r="D82" s="3138" t="s">
        <v>3438</v>
      </c>
      <c r="E82" s="3139" t="s">
        <v>3442</v>
      </c>
      <c r="F82" s="3138">
        <v>674.52</v>
      </c>
      <c r="G82" s="3219" t="s">
        <v>3439</v>
      </c>
      <c r="H82" s="3138" t="s">
        <v>3452</v>
      </c>
      <c r="I82" s="3138"/>
    </row>
    <row r="83" spans="1:10" ht="14.25">
      <c r="A83" s="3324"/>
      <c r="B83" s="3138">
        <v>2</v>
      </c>
      <c r="C83" s="3138" t="s">
        <v>3402</v>
      </c>
      <c r="D83" s="3138" t="s">
        <v>3438</v>
      </c>
      <c r="E83" s="3139" t="s">
        <v>3442</v>
      </c>
      <c r="F83" s="3138">
        <v>2078.5500000000002</v>
      </c>
      <c r="G83" s="3219" t="s">
        <v>3440</v>
      </c>
      <c r="H83" s="3138" t="s">
        <v>3452</v>
      </c>
      <c r="I83" s="3138"/>
    </row>
    <row r="84" spans="1:10" ht="14.25">
      <c r="A84" s="3324"/>
      <c r="B84" s="3138">
        <v>3</v>
      </c>
      <c r="C84" s="3138" t="s">
        <v>3402</v>
      </c>
      <c r="D84" s="3138" t="s">
        <v>3438</v>
      </c>
      <c r="E84" s="3139" t="s">
        <v>3442</v>
      </c>
      <c r="F84" s="3138">
        <v>788.31</v>
      </c>
      <c r="G84" s="3219" t="s">
        <v>3441</v>
      </c>
      <c r="H84" s="3138" t="s">
        <v>3452</v>
      </c>
      <c r="I84" s="3138"/>
    </row>
    <row r="85" spans="1:10" ht="14.25">
      <c r="A85" s="3324"/>
      <c r="B85" s="3140">
        <v>4</v>
      </c>
      <c r="C85" s="3138" t="s">
        <v>3402</v>
      </c>
      <c r="D85" s="3138" t="s">
        <v>3438</v>
      </c>
      <c r="E85" s="3139" t="s">
        <v>3442</v>
      </c>
      <c r="F85" s="3138">
        <f>81535.07-F86</f>
        <v>80860.55</v>
      </c>
      <c r="G85" s="3219" t="s">
        <v>3444</v>
      </c>
      <c r="H85" s="3138" t="s">
        <v>3453</v>
      </c>
      <c r="I85" s="3138"/>
      <c r="J85">
        <f>F85/D102</f>
        <v>32.910276760276759</v>
      </c>
    </row>
    <row r="86" spans="1:10" ht="14.25">
      <c r="A86" s="3324"/>
      <c r="B86" s="3140">
        <v>5</v>
      </c>
      <c r="C86" s="3138" t="s">
        <v>3402</v>
      </c>
      <c r="D86" s="3138" t="s">
        <v>3438</v>
      </c>
      <c r="E86" s="3139" t="s">
        <v>3442</v>
      </c>
      <c r="F86" s="3138">
        <f>630.34+44.18</f>
        <v>674.52</v>
      </c>
      <c r="G86" s="3219" t="s">
        <v>3445</v>
      </c>
      <c r="H86" s="3138" t="s">
        <v>3452</v>
      </c>
      <c r="I86" s="3138"/>
    </row>
    <row r="87" spans="1:10" ht="14.25">
      <c r="A87" s="3324"/>
      <c r="B87" s="3140">
        <v>6</v>
      </c>
      <c r="C87" s="3138" t="s">
        <v>3402</v>
      </c>
      <c r="D87" s="3138" t="s">
        <v>3438</v>
      </c>
      <c r="E87" s="3139" t="s">
        <v>3442</v>
      </c>
      <c r="F87" s="3138">
        <v>22605.360000000001</v>
      </c>
      <c r="G87" s="3219" t="s">
        <v>3446</v>
      </c>
      <c r="H87" s="3138" t="s">
        <v>3452</v>
      </c>
      <c r="I87" s="3138"/>
    </row>
    <row r="88" spans="1:10" ht="14.25">
      <c r="A88" s="3325"/>
      <c r="B88" s="3320" t="s">
        <v>3443</v>
      </c>
      <c r="C88" s="3321"/>
      <c r="D88" s="3321"/>
      <c r="E88" s="3322"/>
      <c r="F88" s="3138">
        <f>SUM(F82:F87)</f>
        <v>107681.81000000001</v>
      </c>
      <c r="G88" s="3219"/>
      <c r="H88" s="3138"/>
      <c r="I88" s="3138"/>
    </row>
    <row r="89" spans="1:10" ht="14.25">
      <c r="A89" s="3314">
        <v>9</v>
      </c>
      <c r="B89" s="3138">
        <v>3</v>
      </c>
      <c r="C89" s="3138" t="s">
        <v>3402</v>
      </c>
      <c r="D89" s="3138" t="s">
        <v>3447</v>
      </c>
      <c r="E89" s="3139" t="s">
        <v>3442</v>
      </c>
      <c r="F89" s="3138">
        <v>531.61</v>
      </c>
      <c r="G89" s="3219" t="s">
        <v>3439</v>
      </c>
      <c r="H89" s="3138" t="s">
        <v>3452</v>
      </c>
      <c r="I89" s="3138"/>
    </row>
    <row r="90" spans="1:10" ht="14.25">
      <c r="A90" s="3314"/>
      <c r="B90" s="3138">
        <v>4</v>
      </c>
      <c r="C90" s="3138" t="s">
        <v>3402</v>
      </c>
      <c r="D90" s="3138" t="s">
        <v>3447</v>
      </c>
      <c r="E90" s="3139" t="s">
        <v>3442</v>
      </c>
      <c r="F90" s="3138">
        <v>915.4</v>
      </c>
      <c r="G90" s="3219" t="s">
        <v>3441</v>
      </c>
      <c r="H90" s="3138" t="s">
        <v>3452</v>
      </c>
      <c r="I90" s="3138"/>
    </row>
    <row r="91" spans="1:10" ht="14.25">
      <c r="A91" s="3314"/>
      <c r="B91" s="3138">
        <v>5</v>
      </c>
      <c r="C91" s="3138" t="s">
        <v>3402</v>
      </c>
      <c r="D91" s="3138" t="s">
        <v>3447</v>
      </c>
      <c r="E91" s="3139" t="s">
        <v>3442</v>
      </c>
      <c r="F91" s="3138">
        <f>11030.93-F92</f>
        <v>10499.32</v>
      </c>
      <c r="G91" s="3219" t="s">
        <v>3444</v>
      </c>
      <c r="H91" s="3138" t="s">
        <v>3453</v>
      </c>
      <c r="I91" s="3138"/>
      <c r="J91">
        <f>F91/G102</f>
        <v>49.52509433962264</v>
      </c>
    </row>
    <row r="92" spans="1:10" ht="14.25">
      <c r="A92" s="3314"/>
      <c r="B92" s="3138">
        <v>6</v>
      </c>
      <c r="C92" s="3138" t="s">
        <v>3402</v>
      </c>
      <c r="D92" s="3138" t="s">
        <v>3447</v>
      </c>
      <c r="E92" s="3139" t="s">
        <v>3442</v>
      </c>
      <c r="F92" s="3138">
        <f>507.17+24.44</f>
        <v>531.61</v>
      </c>
      <c r="G92" s="3219" t="s">
        <v>3445</v>
      </c>
      <c r="H92" s="3138" t="s">
        <v>3452</v>
      </c>
      <c r="I92" s="3138"/>
    </row>
    <row r="93" spans="1:10" ht="14.25">
      <c r="A93" s="3314"/>
      <c r="B93" s="3313" t="s">
        <v>3443</v>
      </c>
      <c r="C93" s="3313"/>
      <c r="D93" s="3313"/>
      <c r="E93" s="3313"/>
      <c r="F93" s="3138">
        <f>SUM(F89:F92)</f>
        <v>12477.94</v>
      </c>
      <c r="G93" s="3219"/>
      <c r="H93" s="3138"/>
      <c r="I93" s="3138"/>
    </row>
    <row r="97" spans="3:9">
      <c r="C97" s="3330" t="s">
        <v>3555</v>
      </c>
      <c r="D97" s="3332" t="s">
        <v>3556</v>
      </c>
      <c r="E97" s="3333"/>
      <c r="F97" s="3334"/>
      <c r="G97" s="3332" t="s">
        <v>3557</v>
      </c>
      <c r="H97" s="3333"/>
      <c r="I97" s="3334"/>
    </row>
    <row r="98" spans="3:9">
      <c r="C98" s="3331"/>
      <c r="D98" s="3182" t="s">
        <v>3558</v>
      </c>
      <c r="E98" s="3182" t="s">
        <v>3559</v>
      </c>
      <c r="F98" s="3182" t="s">
        <v>3560</v>
      </c>
      <c r="G98" s="3222" t="s">
        <v>3558</v>
      </c>
      <c r="H98" s="3182" t="s">
        <v>3559</v>
      </c>
      <c r="I98" s="3182" t="s">
        <v>3560</v>
      </c>
    </row>
    <row r="99" spans="3:9">
      <c r="C99" s="3182" t="s">
        <v>3561</v>
      </c>
      <c r="D99" s="3182" t="s">
        <v>3562</v>
      </c>
      <c r="E99" s="3182" t="s">
        <v>3562</v>
      </c>
      <c r="F99" s="3182">
        <v>504</v>
      </c>
      <c r="G99" s="3222" t="s">
        <v>3562</v>
      </c>
      <c r="H99" s="3182" t="s">
        <v>3562</v>
      </c>
      <c r="I99" s="3182">
        <v>93</v>
      </c>
    </row>
    <row r="100" spans="3:9">
      <c r="C100" s="3182" t="s">
        <v>3563</v>
      </c>
      <c r="D100" s="3182">
        <v>715</v>
      </c>
      <c r="E100" s="3182">
        <v>898</v>
      </c>
      <c r="F100" s="3182">
        <v>340</v>
      </c>
      <c r="G100" s="3222">
        <v>46</v>
      </c>
      <c r="H100" s="3182">
        <v>73</v>
      </c>
      <c r="I100" s="3182" t="s">
        <v>3562</v>
      </c>
    </row>
    <row r="101" spans="3:9">
      <c r="C101" s="3182" t="s">
        <v>3564</v>
      </c>
      <c r="D101" s="3182">
        <f t="shared" ref="D101:H101" si="0">SUM(D99:D100)</f>
        <v>715</v>
      </c>
      <c r="E101" s="3182">
        <f t="shared" si="0"/>
        <v>898</v>
      </c>
      <c r="F101" s="3182">
        <f t="shared" si="0"/>
        <v>844</v>
      </c>
      <c r="G101" s="3222">
        <f t="shared" si="0"/>
        <v>46</v>
      </c>
      <c r="H101" s="3182">
        <f t="shared" si="0"/>
        <v>73</v>
      </c>
      <c r="I101" s="3182">
        <f>SUM(I99:I100)</f>
        <v>93</v>
      </c>
    </row>
    <row r="102" spans="3:9">
      <c r="C102" s="3182" t="s">
        <v>3565</v>
      </c>
      <c r="D102" s="3329">
        <f>SUM(D101:F101)</f>
        <v>2457</v>
      </c>
      <c r="E102" s="3329"/>
      <c r="F102" s="3329"/>
      <c r="G102" s="3329">
        <f>SUM(G101:I101)</f>
        <v>212</v>
      </c>
      <c r="H102" s="3329"/>
      <c r="I102" s="3329"/>
    </row>
    <row r="103" spans="3:9">
      <c r="C103" s="3182" t="s">
        <v>3566</v>
      </c>
      <c r="D103" s="3329">
        <f>D102+G102</f>
        <v>2669</v>
      </c>
      <c r="E103" s="3329"/>
      <c r="F103" s="3329"/>
      <c r="G103" s="3329"/>
      <c r="H103" s="3329"/>
      <c r="I103" s="3329"/>
    </row>
  </sheetData>
  <mergeCells count="66">
    <mergeCell ref="D103:I103"/>
    <mergeCell ref="C97:C98"/>
    <mergeCell ref="D97:F97"/>
    <mergeCell ref="G97:I97"/>
    <mergeCell ref="D102:F102"/>
    <mergeCell ref="G102:I102"/>
    <mergeCell ref="B17:B18"/>
    <mergeCell ref="B25:E25"/>
    <mergeCell ref="B37:E37"/>
    <mergeCell ref="D27:D28"/>
    <mergeCell ref="C27:C28"/>
    <mergeCell ref="B27:B28"/>
    <mergeCell ref="D77:D78"/>
    <mergeCell ref="D66:D67"/>
    <mergeCell ref="C66:C67"/>
    <mergeCell ref="B66:B67"/>
    <mergeCell ref="B3:B4"/>
    <mergeCell ref="B5:B6"/>
    <mergeCell ref="B15:B16"/>
    <mergeCell ref="C15:C16"/>
    <mergeCell ref="D15:D16"/>
    <mergeCell ref="B13:E13"/>
    <mergeCell ref="C5:C6"/>
    <mergeCell ref="D5:D6"/>
    <mergeCell ref="C3:C4"/>
    <mergeCell ref="D3:D4"/>
    <mergeCell ref="D17:D18"/>
    <mergeCell ref="C17:C18"/>
    <mergeCell ref="D62:D63"/>
    <mergeCell ref="C62:C63"/>
    <mergeCell ref="B62:B63"/>
    <mergeCell ref="B64:B65"/>
    <mergeCell ref="C64:C65"/>
    <mergeCell ref="D64:D65"/>
    <mergeCell ref="D68:D69"/>
    <mergeCell ref="B88:E88"/>
    <mergeCell ref="A82:A88"/>
    <mergeCell ref="C39:C40"/>
    <mergeCell ref="B39:B40"/>
    <mergeCell ref="D51:D52"/>
    <mergeCell ref="C51:C52"/>
    <mergeCell ref="B51:B52"/>
    <mergeCell ref="B49:E49"/>
    <mergeCell ref="D39:D40"/>
    <mergeCell ref="B53:B54"/>
    <mergeCell ref="C53:C54"/>
    <mergeCell ref="D53:D54"/>
    <mergeCell ref="B76:E76"/>
    <mergeCell ref="B80:E80"/>
    <mergeCell ref="B61:E61"/>
    <mergeCell ref="B93:E93"/>
    <mergeCell ref="A89:A93"/>
    <mergeCell ref="A2:A13"/>
    <mergeCell ref="A14:A25"/>
    <mergeCell ref="A26:A37"/>
    <mergeCell ref="A38:A49"/>
    <mergeCell ref="A50:A61"/>
    <mergeCell ref="A62:A76"/>
    <mergeCell ref="A77:A80"/>
    <mergeCell ref="D70:D71"/>
    <mergeCell ref="C70:C71"/>
    <mergeCell ref="B70:B71"/>
    <mergeCell ref="B77:B78"/>
    <mergeCell ref="C77:C78"/>
    <mergeCell ref="B68:B69"/>
    <mergeCell ref="C68:C69"/>
  </mergeCells>
  <phoneticPr fontId="13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44" t="s">
        <v>1131</v>
      </c>
      <c r="B2" s="3344"/>
      <c r="C2" s="3344"/>
      <c r="D2" s="744" t="s">
        <v>1107</v>
      </c>
      <c r="E2" s="1520" t="s">
        <v>1108</v>
      </c>
      <c r="F2" s="2434"/>
      <c r="G2" s="2427"/>
      <c r="H2" s="2428"/>
      <c r="I2" s="2143" t="s">
        <v>1132</v>
      </c>
      <c r="J2" s="2434"/>
      <c r="K2" s="2434"/>
      <c r="L2" s="2434"/>
      <c r="M2" s="2434"/>
      <c r="N2" s="2435"/>
      <c r="O2" s="2434"/>
      <c r="P2" s="2434"/>
    </row>
    <row r="3" spans="1:16" ht="15.75" thickBot="1">
      <c r="A3" s="3345" t="s">
        <v>1105</v>
      </c>
      <c r="B3" s="3345"/>
      <c r="C3" s="3345"/>
      <c r="D3" s="41">
        <f>'数据-基础表'!AY6</f>
        <v>0</v>
      </c>
      <c r="E3" s="41">
        <f>'数据-基础表'!AZ5</f>
        <v>0</v>
      </c>
      <c r="F3" s="2434"/>
      <c r="G3" s="42"/>
      <c r="H3" s="43" t="s">
        <v>1106</v>
      </c>
      <c r="I3" s="798" t="e">
        <f>ROUND('数据-基础表'!B3/'数据-基础表'!A3,2)</f>
        <v>#DIV/0!</v>
      </c>
      <c r="J3" s="2434"/>
      <c r="K3" s="2434"/>
      <c r="L3" s="2434"/>
      <c r="M3" s="2434"/>
      <c r="N3" s="2435"/>
      <c r="O3" s="2434"/>
      <c r="P3" s="2434"/>
    </row>
    <row r="4" spans="1:16" ht="15">
      <c r="A4" s="3346"/>
      <c r="B4" s="3347"/>
      <c r="C4" s="3348"/>
      <c r="D4" s="1521" t="s">
        <v>1107</v>
      </c>
      <c r="E4" s="1522" t="s">
        <v>1108</v>
      </c>
      <c r="F4" s="2434"/>
      <c r="G4" s="2429" t="s">
        <v>1133</v>
      </c>
      <c r="H4" s="43" t="s">
        <v>1113</v>
      </c>
      <c r="I4" s="798" t="e">
        <f>ROUND(SUMIF('数据-基础表'!I9:AS9,"地上",'数据-基础表'!I5:AS5)/'数据-基础表'!A3,2)</f>
        <v>#DIV/0!</v>
      </c>
      <c r="J4" s="2434"/>
      <c r="K4" s="2434"/>
      <c r="L4" s="2434"/>
      <c r="M4" s="2434"/>
      <c r="N4" s="2435"/>
      <c r="O4" s="2434"/>
      <c r="P4" s="2434"/>
    </row>
    <row r="5" spans="1:16">
      <c r="A5" s="42" t="s">
        <v>1109</v>
      </c>
      <c r="B5" s="3349" t="s">
        <v>1110</v>
      </c>
      <c r="C5" s="3349"/>
      <c r="D5" s="43" t="e">
        <f>ROUND($D$3*E5/$E$3,2)</f>
        <v>#DIV/0!</v>
      </c>
      <c r="E5" s="44">
        <f>SUMIF('数据-基础表'!$11:$11,"住宅",'数据-基础表'!$5:$5)</f>
        <v>0</v>
      </c>
      <c r="F5" s="2434"/>
      <c r="G5" s="42"/>
      <c r="H5" s="43" t="s">
        <v>1106</v>
      </c>
      <c r="I5" s="798" t="e">
        <f>ROUND(E31/D31,2)</f>
        <v>#DIV/0!</v>
      </c>
      <c r="J5" s="2434"/>
      <c r="K5" s="2434"/>
      <c r="L5" s="2434"/>
      <c r="M5" s="2434"/>
      <c r="N5" s="2434"/>
      <c r="O5" s="2434"/>
      <c r="P5" s="2434"/>
    </row>
    <row r="6" spans="1:16" ht="15" thickBot="1">
      <c r="A6" s="1524"/>
      <c r="B6" s="3349" t="s">
        <v>1111</v>
      </c>
      <c r="C6" s="3349"/>
      <c r="D6" s="43" t="e">
        <f>ROUND($D$3*E6/$E$3,2)</f>
        <v>#DIV/0!</v>
      </c>
      <c r="E6" s="44">
        <f>E3-E5</f>
        <v>0</v>
      </c>
      <c r="F6" s="2434"/>
      <c r="G6" s="1526" t="s">
        <v>1112</v>
      </c>
      <c r="H6" s="45" t="s">
        <v>1113</v>
      </c>
      <c r="I6" s="2430" t="e">
        <f>ROUND(F31/D31,2)</f>
        <v>#DIV/0!</v>
      </c>
      <c r="J6" s="2434"/>
      <c r="K6" s="2434"/>
      <c r="L6" s="2434"/>
      <c r="M6" s="2434"/>
      <c r="N6" s="2434"/>
      <c r="O6" s="2434"/>
      <c r="P6" s="2434"/>
    </row>
    <row r="7" spans="1:16" ht="15.75" thickBot="1">
      <c r="A7" s="3341"/>
      <c r="B7" s="3342"/>
      <c r="C7" s="3343"/>
      <c r="D7" s="1521" t="s">
        <v>1107</v>
      </c>
      <c r="E7" s="1525" t="s">
        <v>1114</v>
      </c>
      <c r="F7" s="2434"/>
      <c r="G7" s="2431" t="s">
        <v>1115</v>
      </c>
      <c r="H7" s="95"/>
      <c r="I7" s="2432"/>
      <c r="J7" s="2434"/>
      <c r="K7" s="2434"/>
      <c r="L7" s="2434"/>
      <c r="M7" s="2434"/>
      <c r="N7" s="2434"/>
      <c r="O7" s="2434"/>
      <c r="P7" s="2434"/>
    </row>
    <row r="8" spans="1:16">
      <c r="A8" s="42" t="s">
        <v>1116</v>
      </c>
      <c r="B8" s="45" t="s">
        <v>1117</v>
      </c>
      <c r="C8" s="43" t="s">
        <v>1118</v>
      </c>
      <c r="D8" s="43" t="e">
        <f t="shared" ref="D8:D15" si="0">ROUND($D$3*E8/$E$3,2)</f>
        <v>#DIV/0!</v>
      </c>
      <c r="E8" s="46">
        <f>SUMIF('数据-基础表'!BB10:BK10,"地上",'数据-基础表'!BB5:BK5)</f>
        <v>0</v>
      </c>
      <c r="F8" s="2434"/>
      <c r="G8" s="2434"/>
      <c r="H8" s="2434"/>
      <c r="I8" s="2434"/>
      <c r="J8" s="2434"/>
      <c r="K8" s="2434"/>
      <c r="L8" s="2434"/>
      <c r="M8" s="2434"/>
      <c r="N8" s="2434"/>
      <c r="O8" s="2434"/>
      <c r="P8" s="2434"/>
    </row>
    <row r="9" spans="1:16">
      <c r="A9" s="1526"/>
      <c r="B9" s="1527"/>
      <c r="C9" s="43" t="s">
        <v>1119</v>
      </c>
      <c r="D9" s="43" t="e">
        <f t="shared" si="0"/>
        <v>#DIV/0!</v>
      </c>
      <c r="E9" s="47">
        <v>0</v>
      </c>
      <c r="F9" s="2434"/>
      <c r="G9" s="2434"/>
      <c r="H9" s="2434"/>
      <c r="I9" s="2434"/>
      <c r="J9" s="2434"/>
      <c r="K9" s="2434"/>
      <c r="L9" s="2434"/>
      <c r="M9" s="2434"/>
      <c r="N9" s="2434"/>
      <c r="O9" s="2434"/>
      <c r="P9" s="2434"/>
    </row>
    <row r="10" spans="1:16">
      <c r="A10" s="1526"/>
      <c r="B10" s="1527"/>
      <c r="C10" s="43" t="s">
        <v>1128</v>
      </c>
      <c r="D10" s="43" t="e">
        <f t="shared" si="0"/>
        <v>#DIV/0!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t="e">
        <f t="shared" si="0"/>
        <v>#DIV/0!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t="e">
        <f t="shared" si="0"/>
        <v>#DIV/0!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t="e">
        <f t="shared" si="0"/>
        <v>#DIV/0!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t="e">
        <f t="shared" si="0"/>
        <v>#DIV/0!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t="e">
        <f t="shared" si="0"/>
        <v>#DIV/0!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t="e">
        <f>SUM(D8:D15)</f>
        <v>#DIV/0!</v>
      </c>
      <c r="E16" s="48">
        <f>SUM(E8:E15)</f>
        <v>0</v>
      </c>
      <c r="F16" s="2434"/>
      <c r="G16" s="2434"/>
      <c r="H16" s="1528" t="s">
        <v>1135</v>
      </c>
      <c r="I16" s="1529"/>
      <c r="J16" s="1068"/>
      <c r="K16" s="3338" t="s">
        <v>1135</v>
      </c>
      <c r="L16" s="3339"/>
      <c r="M16" s="3339"/>
      <c r="N16" s="3339"/>
      <c r="O16" s="3339"/>
      <c r="P16" s="3340"/>
    </row>
    <row r="17" spans="1:19" ht="15">
      <c r="A17" s="1530" t="s">
        <v>1136</v>
      </c>
      <c r="B17" s="1531" t="s">
        <v>1137</v>
      </c>
      <c r="C17" s="1532" t="s">
        <v>1138</v>
      </c>
      <c r="D17" s="1533" t="s">
        <v>1126</v>
      </c>
      <c r="E17" s="1534" t="s">
        <v>1127</v>
      </c>
      <c r="F17" s="1535"/>
      <c r="G17" s="1536"/>
      <c r="H17" s="1537" t="s">
        <v>1139</v>
      </c>
      <c r="I17" s="1538" t="s">
        <v>1124</v>
      </c>
      <c r="J17" s="1068"/>
      <c r="K17" s="3335" t="s">
        <v>1140</v>
      </c>
      <c r="L17" s="3336"/>
      <c r="M17" s="3337"/>
      <c r="N17" s="3335" t="s">
        <v>1141</v>
      </c>
      <c r="O17" s="3336"/>
      <c r="P17" s="3337"/>
      <c r="R17" s="765" t="s">
        <v>1142</v>
      </c>
      <c r="S17" s="54"/>
    </row>
    <row r="18" spans="1:19" ht="15">
      <c r="A18" s="1526"/>
      <c r="B18" s="1523"/>
      <c r="C18" s="1539"/>
      <c r="D18" s="1540"/>
      <c r="E18" s="1541" t="s">
        <v>1143</v>
      </c>
      <c r="F18" s="1542" t="s">
        <v>1144</v>
      </c>
      <c r="G18" s="1543" t="s">
        <v>1145</v>
      </c>
      <c r="H18" s="976" t="s">
        <v>1146</v>
      </c>
      <c r="I18" s="1544" t="s">
        <v>1147</v>
      </c>
      <c r="J18" s="1068"/>
      <c r="K18" s="976" t="s">
        <v>1148</v>
      </c>
      <c r="L18" s="1545" t="s">
        <v>1149</v>
      </c>
      <c r="M18" s="798" t="s">
        <v>1150</v>
      </c>
      <c r="N18" s="976" t="s">
        <v>1148</v>
      </c>
      <c r="O18" s="1545" t="s">
        <v>1149</v>
      </c>
      <c r="P18" s="798" t="s">
        <v>1150</v>
      </c>
      <c r="R18" s="43" t="s">
        <v>1151</v>
      </c>
      <c r="S18" s="43" t="s">
        <v>1152</v>
      </c>
    </row>
    <row r="19" spans="1:19">
      <c r="A19" s="1546"/>
      <c r="B19" s="45" t="s">
        <v>1125</v>
      </c>
      <c r="C19" s="3111"/>
      <c r="D19" s="43" t="e">
        <f>ROUND($D$3*E19/$E$3,2)</f>
        <v>#DIV/0!</v>
      </c>
      <c r="E19" s="51">
        <f t="shared" ref="E19:E26" si="1">SUM(F19:G19)</f>
        <v>0</v>
      </c>
      <c r="F19" s="2553"/>
      <c r="G19" s="1240"/>
      <c r="H19" s="633" t="e">
        <f>ROUND($D$3*I19/$E$3,2)</f>
        <v>#DIV/0!</v>
      </c>
      <c r="I19" s="46" t="e">
        <f t="shared" ref="I19:I26" si="2">IF($I$17="自定义",P19,M19)</f>
        <v>#DIV/0!</v>
      </c>
      <c r="J19" s="1068"/>
      <c r="K19" s="633" t="e">
        <f t="shared" ref="K19:K26" si="3">ROUND(E$28*E19/E$27,2)</f>
        <v>#DIV/0!</v>
      </c>
      <c r="L19" s="43">
        <f t="shared" ref="L19:L26" si="4">ROUND(IF(COUNTIF(C19,"*住宅*")&gt;0,E$29*E19/E$32,0),2)</f>
        <v>0</v>
      </c>
      <c r="M19" s="46" t="e">
        <f>K19+L19</f>
        <v>#DIV/0!</v>
      </c>
      <c r="N19" s="1547"/>
      <c r="O19" s="1548"/>
      <c r="P19" s="46">
        <f>N19+O19</f>
        <v>0</v>
      </c>
      <c r="R19" s="43" t="e">
        <f t="shared" ref="R19:S26" si="5">D19+H19</f>
        <v>#DIV/0!</v>
      </c>
      <c r="S19" s="51" t="e">
        <f t="shared" si="5"/>
        <v>#DIV/0!</v>
      </c>
    </row>
    <row r="20" spans="1:19">
      <c r="A20" s="1546"/>
      <c r="B20" s="45" t="s">
        <v>1153</v>
      </c>
      <c r="C20" s="3111"/>
      <c r="D20" s="43" t="e">
        <f t="shared" ref="D20:D26" si="6">ROUND($D$3*E20/$E$3,2)</f>
        <v>#DIV/0!</v>
      </c>
      <c r="E20" s="51">
        <f t="shared" si="1"/>
        <v>0</v>
      </c>
      <c r="F20" s="2553"/>
      <c r="G20" s="1240"/>
      <c r="H20" s="633" t="e">
        <f t="shared" ref="H20:H26" si="7">ROUND($D$3*I20/$E$3,2)</f>
        <v>#DIV/0!</v>
      </c>
      <c r="I20" s="46" t="e">
        <f t="shared" si="2"/>
        <v>#DIV/0!</v>
      </c>
      <c r="J20" s="1068"/>
      <c r="K20" s="633" t="e">
        <f t="shared" si="3"/>
        <v>#DIV/0!</v>
      </c>
      <c r="L20" s="43">
        <f t="shared" si="4"/>
        <v>0</v>
      </c>
      <c r="M20" s="46" t="e">
        <f t="shared" ref="M20:M26" si="8">K20+L20</f>
        <v>#DIV/0!</v>
      </c>
      <c r="N20" s="1547"/>
      <c r="O20" s="1548"/>
      <c r="P20" s="46">
        <f t="shared" ref="P20:P26" si="9">N20+O20</f>
        <v>0</v>
      </c>
      <c r="R20" s="43" t="e">
        <f t="shared" si="5"/>
        <v>#DIV/0!</v>
      </c>
      <c r="S20" s="51" t="e">
        <f t="shared" si="5"/>
        <v>#DIV/0!</v>
      </c>
    </row>
    <row r="21" spans="1:19">
      <c r="A21" s="1546"/>
      <c r="B21" s="45" t="s">
        <v>1153</v>
      </c>
      <c r="C21" s="3111"/>
      <c r="D21" s="43" t="e">
        <f t="shared" si="6"/>
        <v>#DIV/0!</v>
      </c>
      <c r="E21" s="51">
        <f t="shared" si="1"/>
        <v>0</v>
      </c>
      <c r="F21" s="2553"/>
      <c r="G21" s="1240"/>
      <c r="H21" s="633" t="e">
        <f t="shared" si="7"/>
        <v>#DIV/0!</v>
      </c>
      <c r="I21" s="46" t="e">
        <f t="shared" si="2"/>
        <v>#DIV/0!</v>
      </c>
      <c r="J21" s="1068"/>
      <c r="K21" s="633" t="e">
        <f t="shared" si="3"/>
        <v>#DIV/0!</v>
      </c>
      <c r="L21" s="43">
        <f t="shared" si="4"/>
        <v>0</v>
      </c>
      <c r="M21" s="46" t="e">
        <f t="shared" si="8"/>
        <v>#DIV/0!</v>
      </c>
      <c r="N21" s="1547"/>
      <c r="O21" s="1548"/>
      <c r="P21" s="46">
        <f t="shared" si="9"/>
        <v>0</v>
      </c>
      <c r="R21" s="43" t="e">
        <f t="shared" si="5"/>
        <v>#DIV/0!</v>
      </c>
      <c r="S21" s="51" t="e">
        <f t="shared" si="5"/>
        <v>#DIV/0!</v>
      </c>
    </row>
    <row r="22" spans="1:19">
      <c r="A22" s="1546"/>
      <c r="B22" s="45" t="s">
        <v>1153</v>
      </c>
      <c r="C22" s="3112"/>
      <c r="D22" s="43" t="e">
        <f t="shared" si="6"/>
        <v>#DIV/0!</v>
      </c>
      <c r="E22" s="51">
        <f t="shared" si="1"/>
        <v>0</v>
      </c>
      <c r="F22" s="2554"/>
      <c r="G22" s="2555"/>
      <c r="H22" s="633" t="e">
        <f t="shared" si="7"/>
        <v>#DIV/0!</v>
      </c>
      <c r="I22" s="46" t="e">
        <f t="shared" si="2"/>
        <v>#DIV/0!</v>
      </c>
      <c r="J22" s="1068"/>
      <c r="K22" s="633" t="e">
        <f t="shared" si="3"/>
        <v>#DIV/0!</v>
      </c>
      <c r="L22" s="43">
        <f t="shared" si="4"/>
        <v>0</v>
      </c>
      <c r="M22" s="46" t="e">
        <f t="shared" si="8"/>
        <v>#DIV/0!</v>
      </c>
      <c r="N22" s="1547"/>
      <c r="O22" s="1548"/>
      <c r="P22" s="46">
        <f t="shared" si="9"/>
        <v>0</v>
      </c>
      <c r="R22" s="43" t="e">
        <f t="shared" si="5"/>
        <v>#DIV/0!</v>
      </c>
      <c r="S22" s="51" t="e">
        <f t="shared" si="5"/>
        <v>#DIV/0!</v>
      </c>
    </row>
    <row r="23" spans="1:19">
      <c r="A23" s="1546"/>
      <c r="B23" s="45" t="s">
        <v>1153</v>
      </c>
      <c r="C23" s="3112"/>
      <c r="D23" s="43" t="e">
        <f>ROUND($D$3*E23/$E$3,2)</f>
        <v>#DIV/0!</v>
      </c>
      <c r="E23" s="51">
        <f>SUM(F23:G23)</f>
        <v>0</v>
      </c>
      <c r="F23" s="2554"/>
      <c r="G23" s="2555"/>
      <c r="H23" s="633" t="e">
        <f>ROUND($D$3*I23/$E$3,2)</f>
        <v>#DIV/0!</v>
      </c>
      <c r="I23" s="46" t="e">
        <f t="shared" si="2"/>
        <v>#DIV/0!</v>
      </c>
      <c r="J23" s="1068"/>
      <c r="K23" s="633" t="e">
        <f t="shared" si="3"/>
        <v>#DIV/0!</v>
      </c>
      <c r="L23" s="43">
        <f t="shared" si="4"/>
        <v>0</v>
      </c>
      <c r="M23" s="46" t="e">
        <f t="shared" si="8"/>
        <v>#DIV/0!</v>
      </c>
      <c r="N23" s="1547"/>
      <c r="O23" s="1548"/>
      <c r="P23" s="46">
        <f t="shared" si="9"/>
        <v>0</v>
      </c>
      <c r="R23" s="43" t="e">
        <f t="shared" si="5"/>
        <v>#DIV/0!</v>
      </c>
      <c r="S23" s="51" t="e">
        <f t="shared" si="5"/>
        <v>#DIV/0!</v>
      </c>
    </row>
    <row r="24" spans="1:19">
      <c r="A24" s="1546"/>
      <c r="B24" s="45" t="s">
        <v>1153</v>
      </c>
      <c r="C24" s="3112"/>
      <c r="D24" s="43" t="e">
        <f>ROUND($D$3*E24/$E$3,2)</f>
        <v>#DIV/0!</v>
      </c>
      <c r="E24" s="51">
        <f>SUM(F24:G24)</f>
        <v>0</v>
      </c>
      <c r="F24" s="2554"/>
      <c r="G24" s="2555"/>
      <c r="H24" s="633" t="e">
        <f>ROUND($D$3*I24/$E$3,2)</f>
        <v>#DIV/0!</v>
      </c>
      <c r="I24" s="46" t="e">
        <f t="shared" si="2"/>
        <v>#DIV/0!</v>
      </c>
      <c r="J24" s="1068"/>
      <c r="K24" s="633" t="e">
        <f t="shared" si="3"/>
        <v>#DIV/0!</v>
      </c>
      <c r="L24" s="43">
        <f t="shared" si="4"/>
        <v>0</v>
      </c>
      <c r="M24" s="46" t="e">
        <f t="shared" si="8"/>
        <v>#DIV/0!</v>
      </c>
      <c r="N24" s="1547"/>
      <c r="O24" s="1548"/>
      <c r="P24" s="46">
        <f t="shared" si="9"/>
        <v>0</v>
      </c>
      <c r="R24" s="43" t="e">
        <f t="shared" si="5"/>
        <v>#DIV/0!</v>
      </c>
      <c r="S24" s="51" t="e">
        <f t="shared" si="5"/>
        <v>#DIV/0!</v>
      </c>
    </row>
    <row r="25" spans="1:19">
      <c r="A25" s="1546"/>
      <c r="B25" s="45" t="s">
        <v>1153</v>
      </c>
      <c r="C25" s="3112"/>
      <c r="D25" s="43" t="e">
        <f t="shared" si="6"/>
        <v>#DIV/0!</v>
      </c>
      <c r="E25" s="51">
        <f t="shared" si="1"/>
        <v>0</v>
      </c>
      <c r="F25" s="2554"/>
      <c r="G25" s="2555"/>
      <c r="H25" s="42" t="e">
        <f t="shared" si="7"/>
        <v>#DIV/0!</v>
      </c>
      <c r="I25" s="46" t="e">
        <f t="shared" si="2"/>
        <v>#DIV/0!</v>
      </c>
      <c r="J25" s="1068"/>
      <c r="K25" s="633" t="e">
        <f t="shared" si="3"/>
        <v>#DIV/0!</v>
      </c>
      <c r="L25" s="43">
        <f t="shared" si="4"/>
        <v>0</v>
      </c>
      <c r="M25" s="46" t="e">
        <f t="shared" si="8"/>
        <v>#DIV/0!</v>
      </c>
      <c r="N25" s="1547"/>
      <c r="O25" s="1548"/>
      <c r="P25" s="46">
        <f t="shared" si="9"/>
        <v>0</v>
      </c>
      <c r="R25" s="43" t="e">
        <f t="shared" si="5"/>
        <v>#DIV/0!</v>
      </c>
      <c r="S25" s="51" t="e">
        <f t="shared" si="5"/>
        <v>#DIV/0!</v>
      </c>
    </row>
    <row r="26" spans="1:19">
      <c r="A26" s="1546"/>
      <c r="B26" s="45" t="s">
        <v>1153</v>
      </c>
      <c r="C26" s="53"/>
      <c r="D26" s="43" t="e">
        <f t="shared" si="6"/>
        <v>#DIV/0!</v>
      </c>
      <c r="E26" s="51">
        <f t="shared" si="1"/>
        <v>0</v>
      </c>
      <c r="F26" s="2554"/>
      <c r="G26" s="2555"/>
      <c r="H26" s="42" t="e">
        <f t="shared" si="7"/>
        <v>#DIV/0!</v>
      </c>
      <c r="I26" s="46" t="e">
        <f t="shared" si="2"/>
        <v>#DIV/0!</v>
      </c>
      <c r="J26" s="1068"/>
      <c r="K26" s="42" t="e">
        <f t="shared" si="3"/>
        <v>#DIV/0!</v>
      </c>
      <c r="L26" s="45">
        <f t="shared" si="4"/>
        <v>0</v>
      </c>
      <c r="M26" s="48" t="e">
        <f t="shared" si="8"/>
        <v>#DIV/0!</v>
      </c>
      <c r="N26" s="1549"/>
      <c r="O26" s="1550"/>
      <c r="P26" s="48">
        <f t="shared" si="9"/>
        <v>0</v>
      </c>
      <c r="R26" s="43" t="e">
        <f t="shared" si="5"/>
        <v>#DIV/0!</v>
      </c>
      <c r="S26" s="51" t="e">
        <f t="shared" si="5"/>
        <v>#DIV/0!</v>
      </c>
    </row>
    <row r="27" spans="1:19" ht="15.75" thickBot="1">
      <c r="A27" s="1546"/>
      <c r="B27" s="43"/>
      <c r="C27" s="1551" t="s">
        <v>1154</v>
      </c>
      <c r="D27" s="1069" t="e">
        <f>SUM(D19:D26)</f>
        <v>#DIV/0!</v>
      </c>
      <c r="E27" s="1070">
        <f>IF(SUM(E19:E26)='数据-基础表'!BA5,SUM(E19:E26),IF(F27="地上面积有误","面积有误","地下面积有误"))</f>
        <v>0</v>
      </c>
      <c r="F27" s="1069">
        <f>IF(SUM(F19:F26)=E8,SUM(F19:F26),"地上面积有误")</f>
        <v>0</v>
      </c>
      <c r="G27" s="1071">
        <f>SUM(G19:G26)</f>
        <v>0</v>
      </c>
      <c r="H27" s="1072" t="e">
        <f>SUM(H19:H26)</f>
        <v>#DIV/0!</v>
      </c>
      <c r="I27" s="1073" t="e">
        <f>SUM(I19:I26)</f>
        <v>#DIV/0!</v>
      </c>
      <c r="J27" s="1068"/>
      <c r="K27" s="1074" t="e">
        <f>SUM(K19:K26)</f>
        <v>#DIV/0!</v>
      </c>
      <c r="L27" s="781">
        <f>SUM(L19:L26)</f>
        <v>0</v>
      </c>
      <c r="M27" s="1075" t="e">
        <f>SUM(M19:M26)</f>
        <v>#DIV/0!</v>
      </c>
      <c r="N27" s="1074">
        <f t="shared" ref="N27:O27" si="10">SUM(N19:N26)</f>
        <v>0</v>
      </c>
      <c r="O27" s="781">
        <f t="shared" si="10"/>
        <v>0</v>
      </c>
      <c r="P27" s="94">
        <f>SUM(P19:P26)</f>
        <v>0</v>
      </c>
      <c r="R27" s="964" t="e">
        <f>IF(SUM(R19:R26)=$D$3,SUM(R19:R26),SUM(R19:R26)&amp;"误差"&amp;ROUND(SUM(R19:R26)-$D$3,2))</f>
        <v>#DIV/0!</v>
      </c>
      <c r="S27" s="43" t="e">
        <f>IF(SUM(S19:S26)=$E$3,SUM(S19:S26),SUM(S19:S26)&amp;"误差"&amp;ROUND(SUM(S19:S26)-E3,2))</f>
        <v>#DIV/0!</v>
      </c>
    </row>
    <row r="28" spans="1:19">
      <c r="A28" s="1546"/>
      <c r="B28" s="45" t="s">
        <v>1155</v>
      </c>
      <c r="C28" s="54" t="s">
        <v>1156</v>
      </c>
      <c r="D28" s="43" t="e">
        <f>ROUND($D$3*E28/$E$3,2)</f>
        <v>#DIV/0!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t="e">
        <f>ROUND($D$3*E29/$E$3,2)</f>
        <v>#DIV/0!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t="e">
        <f>SUM(D28:D29)</f>
        <v>#DIV/0!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1" t="s">
        <v>1158</v>
      </c>
      <c r="D31" s="639" t="e">
        <f>D27+D30</f>
        <v>#DIV/0!</v>
      </c>
      <c r="E31" s="639">
        <f>E27+E30</f>
        <v>0</v>
      </c>
      <c r="F31" s="640">
        <f>F27+F30</f>
        <v>0</v>
      </c>
      <c r="G31" s="641">
        <f>G27+G30</f>
        <v>0</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2"/>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0">
        <f>项目基本情况!D3</f>
        <v>45215</v>
      </c>
      <c r="C2" s="1068"/>
      <c r="D2" s="1560"/>
      <c r="E2" s="1068"/>
      <c r="F2" s="1068"/>
      <c r="G2" s="1068"/>
      <c r="H2" s="1068"/>
      <c r="I2" s="1068"/>
      <c r="J2" s="1068"/>
      <c r="K2" s="859"/>
      <c r="L2" s="859"/>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59"/>
      <c r="L3" s="859"/>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c r="O5" s="1574" t="s">
        <v>1181</v>
      </c>
      <c r="P5" s="1577" t="s">
        <v>1182</v>
      </c>
      <c r="Q5" s="58" t="s">
        <v>1183</v>
      </c>
      <c r="R5" s="1578" t="s">
        <v>1184</v>
      </c>
      <c r="S5" s="1579" t="s">
        <v>1185</v>
      </c>
      <c r="T5" s="1580" t="s">
        <v>1186</v>
      </c>
      <c r="U5" s="981" t="s">
        <v>1187</v>
      </c>
      <c r="V5" s="504" t="s">
        <v>1188</v>
      </c>
      <c r="W5" s="504" t="s">
        <v>1189</v>
      </c>
      <c r="X5" s="60"/>
      <c r="Y5" s="59" t="s">
        <v>1190</v>
      </c>
      <c r="Z5" s="1098" t="s">
        <v>1187</v>
      </c>
      <c r="AA5" s="504" t="s">
        <v>1188</v>
      </c>
      <c r="AB5" s="504" t="s">
        <v>1189</v>
      </c>
      <c r="AC5" s="60"/>
      <c r="AD5" s="60" t="s">
        <v>1190</v>
      </c>
      <c r="AE5" s="981" t="s">
        <v>1191</v>
      </c>
      <c r="AF5" s="504" t="s">
        <v>1192</v>
      </c>
      <c r="AG5" s="59" t="s">
        <v>1193</v>
      </c>
      <c r="AH5" s="981" t="s">
        <v>1194</v>
      </c>
      <c r="AI5" s="1098" t="s">
        <v>1195</v>
      </c>
      <c r="AJ5" s="1098" t="s">
        <v>1196</v>
      </c>
      <c r="AK5" s="504" t="s">
        <v>1197</v>
      </c>
      <c r="AL5" s="504" t="s">
        <v>1198</v>
      </c>
      <c r="AM5" s="59" t="s">
        <v>1199</v>
      </c>
      <c r="AN5" s="1581" t="s">
        <v>1200</v>
      </c>
      <c r="AO5" s="1451" t="s">
        <v>1201</v>
      </c>
      <c r="AP5" s="964"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f>'数据-汇总表'!C19</f>
        <v>0</v>
      </c>
      <c r="B6" s="1584" t="str">
        <f>IF(A6=0,"","经营性")</f>
        <v/>
      </c>
      <c r="C6" s="1585"/>
      <c r="D6" s="801">
        <f>SUMIF(项目基本情况!C$12:I$12,C6,项目基本情况!C$14:I$14)</f>
        <v>0</v>
      </c>
      <c r="E6" s="800" t="str">
        <f>IF(B6="","",SUMIF(项目基本情况!C$12:I$12,C6,项目基本情况!C$13:I$13))</f>
        <v/>
      </c>
      <c r="F6" s="61">
        <f>SUMIF(项目基本情况!C$12:I$12,C6,项目基本情况!C$15:I$15)</f>
        <v>0</v>
      </c>
      <c r="G6" s="62">
        <f>IF(ISERROR(ROUND(POWER(1+H6,D6-F6)*(POWER(1+H6,F6)-1)/(POWER(1+H6,D6)-1),3)),0,ROUND(POWER(1+H6,D6-F6)*(POWER(1+H6,F6)-1)/(POWER(1+H6,D6)-1),3))</f>
        <v>0</v>
      </c>
      <c r="H6" s="687"/>
      <c r="I6" s="687"/>
      <c r="J6" s="63"/>
      <c r="K6" s="966">
        <f>SUMIF('数据-汇总表'!C$19:C$33,A6,'数据-汇总表'!E$19:E$33)</f>
        <v>0</v>
      </c>
      <c r="L6" s="688"/>
      <c r="M6" s="64">
        <f t="shared" ref="M6:M14" si="0">ROUND(K6*L6/10000,0)</f>
        <v>0</v>
      </c>
      <c r="N6" s="686"/>
      <c r="O6" s="64">
        <f>IF($N$5="成新度","——",ROUND(M6*N6,0))</f>
        <v>0</v>
      </c>
      <c r="P6" s="65">
        <f>IF($N$5="成新度","——",M6-O6)</f>
        <v>0</v>
      </c>
      <c r="Q6" s="689"/>
      <c r="R6" s="66">
        <f ca="1">SUMIF('数据-汇总表'!C$19:C$33,A6,'数据-汇总表'!R$19:R$27)</f>
        <v>0</v>
      </c>
      <c r="S6" s="49">
        <f>IF('数据-汇总表'!$I$17="按面积比例",SUMIF('数据-汇总表'!C$19:C$33,A6,'数据-汇总表'!K$19:K$33),SUMIF('数据-汇总表'!C$19:C$33,A6,'数据-汇总表'!N$19:N$33))</f>
        <v>0</v>
      </c>
      <c r="T6" s="1089">
        <f>ROUND($L$14*S6/10000,0)</f>
        <v>0</v>
      </c>
      <c r="U6" s="3122"/>
      <c r="V6" s="67"/>
      <c r="W6" s="67"/>
      <c r="X6" s="975"/>
      <c r="Y6" s="68"/>
      <c r="Z6" s="69"/>
      <c r="AA6" s="63"/>
      <c r="AB6" s="63"/>
      <c r="AC6" s="975"/>
      <c r="AD6" s="70"/>
      <c r="AE6" s="976">
        <f ca="1">IF(AN6="",0,SUMIF(INDIRECT("'"&amp;AN6&amp;"'"&amp;"!E:E"),$AE$5,INDIRECT("'"&amp;AN6&amp;"'"&amp;"!F:F")))</f>
        <v>0</v>
      </c>
      <c r="AF6" s="74"/>
      <c r="AG6" s="130">
        <f>IF(AF6="",0,AE6-AF6)</f>
        <v>0</v>
      </c>
      <c r="AH6" s="71"/>
      <c r="AI6" s="73"/>
      <c r="AJ6" s="74"/>
      <c r="AK6" s="75"/>
      <c r="AL6" s="76"/>
      <c r="AM6" s="77"/>
      <c r="AN6" s="1586"/>
      <c r="AO6" s="50" t="e">
        <f ca="1">SUMIF(INDIRECT("'"&amp;AN6&amp;"'"&amp;"!A:A"),"总价",INDIRECT("'"&amp;AN6&amp;"'"&amp;"!B:B"))</f>
        <v>#REF!</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7"/>
      <c r="I7" s="687"/>
      <c r="J7" s="63"/>
      <c r="K7" s="966">
        <f>SUMIF('数据-汇总表'!C$19:C$33,A7,'数据-汇总表'!E$19:E$33)</f>
        <v>0</v>
      </c>
      <c r="L7" s="688"/>
      <c r="M7" s="64">
        <f t="shared" si="0"/>
        <v>0</v>
      </c>
      <c r="N7" s="686"/>
      <c r="O7" s="64">
        <f t="shared" ref="O7:O14" si="3">IF($N$5="成新度","——",ROUND(M7*N7,0))</f>
        <v>0</v>
      </c>
      <c r="P7" s="65">
        <f t="shared" ref="P7:P14" si="4">IF($N$5="成新度","——",M7-O7)</f>
        <v>0</v>
      </c>
      <c r="Q7" s="689"/>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2"/>
      <c r="V7" s="67"/>
      <c r="W7" s="67"/>
      <c r="X7" s="975"/>
      <c r="Y7" s="68"/>
      <c r="Z7" s="69"/>
      <c r="AA7" s="63"/>
      <c r="AB7" s="63"/>
      <c r="AC7" s="975"/>
      <c r="AD7" s="70"/>
      <c r="AE7" s="976">
        <f t="shared" ref="AE7:AE13" ca="1" si="6">IF(AN7="",0,SUMIF(INDIRECT("'"&amp;AN7&amp;"'"&amp;"!E:E"),$AE$5,INDIRECT("'"&amp;AN7&amp;"'"&amp;"!F:F")))</f>
        <v>0</v>
      </c>
      <c r="AF7" s="74"/>
      <c r="AG7" s="130">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1">
        <f>SUMIF(项目基本情况!C$12:I$12,C8,项目基本情况!C$14:I$14)</f>
        <v>0</v>
      </c>
      <c r="E8" s="800" t="str">
        <f>IF(B8="","",SUMIF(项目基本情况!C$12:I$12,C8,项目基本情况!C$13:I$13))</f>
        <v/>
      </c>
      <c r="F8" s="61">
        <f>SUMIF(项目基本情况!C$12:I$12,C8,项目基本情况!C$15:I$15)</f>
        <v>0</v>
      </c>
      <c r="G8" s="62">
        <f t="shared" si="2"/>
        <v>0</v>
      </c>
      <c r="H8" s="687"/>
      <c r="I8" s="687"/>
      <c r="J8" s="63"/>
      <c r="K8" s="966">
        <f>SUMIF('数据-汇总表'!C$19:C$33,A8,'数据-汇总表'!E$19:E$33)</f>
        <v>0</v>
      </c>
      <c r="L8" s="688"/>
      <c r="M8" s="64">
        <f>ROUND(K8*L8/10000,0)</f>
        <v>0</v>
      </c>
      <c r="N8" s="686"/>
      <c r="O8" s="64">
        <f t="shared" si="3"/>
        <v>0</v>
      </c>
      <c r="P8" s="65">
        <f t="shared" si="4"/>
        <v>0</v>
      </c>
      <c r="Q8" s="689"/>
      <c r="R8" s="66">
        <f ca="1">SUMIF('数据-汇总表'!C$19:C$33,A8,'数据-汇总表'!R$19:R$27)</f>
        <v>0</v>
      </c>
      <c r="S8" s="49">
        <f>IF('数据-汇总表'!$I$17="按面积比例",SUMIF('数据-汇总表'!C$19:C$33,A8,'数据-汇总表'!K$19:K$33),SUMIF('数据-汇总表'!C$19:C$33,A8,'数据-汇总表'!N$19:N$33))</f>
        <v>0</v>
      </c>
      <c r="T8" s="1089">
        <f t="shared" si="5"/>
        <v>0</v>
      </c>
      <c r="U8" s="3123"/>
      <c r="V8" s="690"/>
      <c r="W8" s="690"/>
      <c r="X8" s="975"/>
      <c r="Y8" s="68"/>
      <c r="Z8" s="69"/>
      <c r="AA8" s="63"/>
      <c r="AB8" s="63"/>
      <c r="AC8" s="975"/>
      <c r="AD8" s="70"/>
      <c r="AE8" s="976">
        <f t="shared" ca="1" si="6"/>
        <v>0</v>
      </c>
      <c r="AF8" s="74"/>
      <c r="AG8" s="130">
        <f t="shared" si="7"/>
        <v>0</v>
      </c>
      <c r="AH8" s="691"/>
      <c r="AI8" s="73"/>
      <c r="AJ8" s="74"/>
      <c r="AK8" s="692"/>
      <c r="AL8" s="693"/>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88"/>
      <c r="M9" s="64">
        <f t="shared" si="0"/>
        <v>0</v>
      </c>
      <c r="N9" s="686"/>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2"/>
      <c r="V9" s="67"/>
      <c r="W9" s="67"/>
      <c r="X9" s="975"/>
      <c r="Y9" s="68"/>
      <c r="Z9" s="69"/>
      <c r="AA9" s="63"/>
      <c r="AB9" s="63"/>
      <c r="AC9" s="975"/>
      <c r="AD9" s="70"/>
      <c r="AE9" s="976">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88"/>
      <c r="M10" s="64">
        <f t="shared" si="0"/>
        <v>0</v>
      </c>
      <c r="N10" s="686"/>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2"/>
      <c r="V10" s="67"/>
      <c r="W10" s="67"/>
      <c r="X10" s="975"/>
      <c r="Y10" s="68"/>
      <c r="Z10" s="69"/>
      <c r="AA10" s="63"/>
      <c r="AB10" s="63"/>
      <c r="AC10" s="975"/>
      <c r="AD10" s="70"/>
      <c r="AE10" s="976">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6"/>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2"/>
      <c r="V11" s="63"/>
      <c r="W11" s="63"/>
      <c r="X11" s="975"/>
      <c r="Y11" s="68"/>
      <c r="Z11" s="81"/>
      <c r="AA11" s="63"/>
      <c r="AB11" s="63"/>
      <c r="AC11" s="975"/>
      <c r="AD11" s="70"/>
      <c r="AE11" s="976">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6"/>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2"/>
      <c r="V12" s="63"/>
      <c r="W12" s="63"/>
      <c r="X12" s="975"/>
      <c r="Y12" s="68"/>
      <c r="Z12" s="81"/>
      <c r="AA12" s="63"/>
      <c r="AB12" s="63"/>
      <c r="AC12" s="975"/>
      <c r="AD12" s="70"/>
      <c r="AE12" s="976">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4"/>
      <c r="V13" s="67"/>
      <c r="W13" s="67"/>
      <c r="X13" s="975"/>
      <c r="Y13" s="68"/>
      <c r="Z13" s="69"/>
      <c r="AA13" s="63"/>
      <c r="AB13" s="63"/>
      <c r="AC13" s="975"/>
      <c r="AD13" s="70"/>
      <c r="AE13" s="976">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1"/>
      <c r="E14" s="800"/>
      <c r="F14" s="61"/>
      <c r="G14" s="62"/>
      <c r="H14" s="965"/>
      <c r="I14" s="965"/>
      <c r="J14" s="965"/>
      <c r="K14" s="966">
        <f>SUMIF('数据-汇总表'!C$19:C$33,A14,'数据-汇总表'!E$19:E$33)</f>
        <v>0</v>
      </c>
      <c r="L14" s="79"/>
      <c r="M14" s="64">
        <f t="shared" si="0"/>
        <v>0</v>
      </c>
      <c r="N14" s="80"/>
      <c r="O14" s="64">
        <f t="shared" si="3"/>
        <v>0</v>
      </c>
      <c r="P14" s="65">
        <f t="shared" si="4"/>
        <v>0</v>
      </c>
      <c r="Q14" s="969"/>
      <c r="R14" s="66"/>
      <c r="S14" s="49"/>
      <c r="T14" s="1089"/>
      <c r="U14" s="633"/>
      <c r="V14" s="971"/>
      <c r="W14" s="971"/>
      <c r="X14" s="972"/>
      <c r="Y14" s="973"/>
      <c r="Z14" s="54"/>
      <c r="AA14" s="974"/>
      <c r="AB14" s="974"/>
      <c r="AC14" s="975"/>
      <c r="AD14" s="972"/>
      <c r="AE14" s="976"/>
      <c r="AF14" s="50"/>
      <c r="AG14" s="130"/>
      <c r="AH14" s="976"/>
      <c r="AI14" s="1263"/>
      <c r="AJ14" s="50"/>
      <c r="AK14" s="977"/>
      <c r="AL14" s="978"/>
      <c r="AM14" s="979"/>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1"/>
      <c r="E15" s="800"/>
      <c r="F15" s="61"/>
      <c r="G15" s="62"/>
      <c r="H15" s="965"/>
      <c r="I15" s="965"/>
      <c r="J15" s="965"/>
      <c r="K15" s="966">
        <f>SUMIF('数据-汇总表'!C$19:C$33,A15,'数据-汇总表'!E$19:E$33)</f>
        <v>0</v>
      </c>
      <c r="L15" s="967"/>
      <c r="M15" s="64"/>
      <c r="N15" s="968"/>
      <c r="O15" s="64"/>
      <c r="P15" s="65"/>
      <c r="Q15" s="969"/>
      <c r="R15" s="66"/>
      <c r="S15" s="49"/>
      <c r="T15" s="1089"/>
      <c r="U15" s="633"/>
      <c r="V15" s="971"/>
      <c r="W15" s="971"/>
      <c r="X15" s="972"/>
      <c r="Y15" s="973"/>
      <c r="Z15" s="54"/>
      <c r="AA15" s="974"/>
      <c r="AB15" s="974"/>
      <c r="AC15" s="975"/>
      <c r="AD15" s="972"/>
      <c r="AE15" s="976"/>
      <c r="AF15" s="50"/>
      <c r="AG15" s="130"/>
      <c r="AH15" s="976"/>
      <c r="AI15" s="1263"/>
      <c r="AJ15" s="50"/>
      <c r="AK15" s="977"/>
      <c r="AL15" s="978"/>
      <c r="AM15" s="979"/>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79"/>
      <c r="D16" s="1591"/>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c r="C19" s="2556" t="s">
        <v>2298</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c r="C20" s="2557" t="s">
        <v>2296</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0</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0</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c r="C27" s="2558" t="s">
        <v>2300</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c r="C29" s="2559" t="s">
        <v>2287</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4"/>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5"/>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6"/>
      <c r="C33" s="2560" t="s">
        <v>2288</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c r="C34" s="2560" t="s">
        <v>2289</v>
      </c>
      <c r="D34" s="2455" t="s">
        <v>2297</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c r="C35" s="2560" t="s">
        <v>2290</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c r="C36" s="2560" t="s">
        <v>2291</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c r="C37" s="2560" t="s">
        <v>2292</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c r="C38" s="2560" t="s">
        <v>2292</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2307</v>
      </c>
      <c r="B40" s="1012" t="e">
        <f ca="1">IF(A40="利息：取LPR",存贷款利率!G1,存贷款利率!G1+C40)</f>
        <v>#VALUE!</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0</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0</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c r="C44" s="2560" t="s">
        <v>2301</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c r="C45" s="2559" t="s">
        <v>2293</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c r="C46" s="2559" t="s">
        <v>2294</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c r="C47" s="2562" t="s">
        <v>2302</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c r="C48" s="2559" t="s">
        <v>2293</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c r="C49" s="2559" t="s">
        <v>2295</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c r="C53" s="2435" t="s">
        <v>1246</v>
      </c>
      <c r="D53" s="2561" t="s">
        <v>2299</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0"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0"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0"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0"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0"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0" customFormat="1">
      <c r="A69" s="1611"/>
      <c r="D69" s="1612"/>
      <c r="K69" s="683"/>
      <c r="L69" s="683"/>
    </row>
    <row r="70" spans="1:44" s="680" customFormat="1">
      <c r="A70" s="1611"/>
      <c r="D70" s="1612"/>
      <c r="K70" s="683"/>
      <c r="L70" s="683"/>
    </row>
    <row r="71" spans="1:44" s="680" customFormat="1">
      <c r="A71" s="1611"/>
      <c r="D71" s="1612"/>
      <c r="K71" s="683"/>
      <c r="L71" s="683"/>
    </row>
    <row r="72" spans="1:44" s="680" customFormat="1">
      <c r="A72" s="1611"/>
      <c r="D72" s="1612"/>
      <c r="K72" s="683"/>
      <c r="L72" s="683"/>
    </row>
    <row r="73" spans="1:44" s="680" customFormat="1">
      <c r="A73" s="1611"/>
      <c r="D73" s="1612"/>
      <c r="K73" s="683"/>
      <c r="L73" s="683"/>
    </row>
    <row r="74" spans="1:44" s="680" customFormat="1">
      <c r="A74" s="1611"/>
      <c r="D74" s="1612"/>
      <c r="K74" s="683"/>
      <c r="L74" s="683"/>
    </row>
    <row r="75" spans="1:44" s="680" customFormat="1">
      <c r="A75" s="1611"/>
      <c r="D75" s="1612"/>
      <c r="K75" s="683"/>
      <c r="L75" s="683"/>
    </row>
    <row r="76" spans="1:44" s="680" customFormat="1">
      <c r="A76" s="1611"/>
      <c r="D76" s="1612"/>
      <c r="K76" s="683"/>
      <c r="L76" s="683"/>
    </row>
    <row r="77" spans="1:44" s="680" customFormat="1">
      <c r="A77" s="1611"/>
      <c r="D77" s="1612"/>
      <c r="K77" s="683"/>
      <c r="L77" s="683"/>
    </row>
    <row r="78" spans="1:44" s="680" customFormat="1">
      <c r="A78" s="1611"/>
      <c r="D78" s="1612"/>
      <c r="K78" s="683"/>
      <c r="L78" s="683"/>
    </row>
    <row r="79" spans="1:44" s="680" customFormat="1">
      <c r="A79" s="1611"/>
      <c r="D79" s="1612"/>
      <c r="K79" s="683"/>
      <c r="L79" s="683"/>
    </row>
    <row r="80" spans="1:44" s="680" customFormat="1">
      <c r="A80" s="1611"/>
      <c r="D80" s="1612"/>
      <c r="K80" s="683"/>
      <c r="L80" s="683"/>
    </row>
    <row r="81" spans="1:12" s="680" customFormat="1">
      <c r="A81" s="1611"/>
      <c r="D81" s="1612"/>
      <c r="K81" s="683"/>
      <c r="L81" s="683"/>
    </row>
    <row r="82" spans="1:12" s="680" customFormat="1">
      <c r="A82" s="1611"/>
      <c r="D82" s="1612"/>
      <c r="K82" s="683"/>
      <c r="L82" s="683"/>
    </row>
    <row r="83" spans="1:12" s="680" customFormat="1">
      <c r="A83" s="1611"/>
      <c r="D83" s="1612"/>
      <c r="K83" s="683"/>
      <c r="L83" s="683"/>
    </row>
    <row r="84" spans="1:12" s="680" customFormat="1">
      <c r="A84" s="1611"/>
      <c r="D84" s="1612"/>
      <c r="K84" s="683"/>
      <c r="L84" s="683"/>
    </row>
    <row r="85" spans="1:12" s="680" customFormat="1">
      <c r="A85" s="1611"/>
      <c r="D85" s="1612"/>
      <c r="K85" s="683"/>
      <c r="L85" s="683"/>
    </row>
    <row r="86" spans="1:12" s="680" customFormat="1">
      <c r="A86" s="1611"/>
      <c r="D86" s="1612"/>
      <c r="K86" s="683"/>
      <c r="L86" s="683"/>
    </row>
    <row r="87" spans="1:12" s="680" customFormat="1">
      <c r="A87" s="1611"/>
      <c r="D87" s="1612"/>
      <c r="K87" s="683"/>
      <c r="L87" s="683"/>
    </row>
    <row r="88" spans="1:12" s="680" customFormat="1">
      <c r="A88" s="1611"/>
      <c r="D88" s="1612"/>
      <c r="K88" s="683"/>
      <c r="L88" s="683"/>
    </row>
    <row r="89" spans="1:12" s="680" customFormat="1">
      <c r="A89" s="1611"/>
      <c r="D89" s="1612"/>
      <c r="K89" s="683"/>
      <c r="L89" s="683"/>
    </row>
    <row r="90" spans="1:12" s="680" customFormat="1">
      <c r="A90" s="1611"/>
      <c r="D90" s="1612"/>
      <c r="K90" s="683"/>
      <c r="L90" s="683"/>
    </row>
    <row r="91" spans="1:12" s="680" customFormat="1">
      <c r="A91" s="1611"/>
      <c r="D91" s="1612"/>
      <c r="K91" s="683"/>
      <c r="L91" s="683"/>
    </row>
    <row r="92" spans="1:12" s="680" customFormat="1">
      <c r="A92" s="1611"/>
      <c r="D92" s="1612"/>
      <c r="K92" s="683"/>
      <c r="L92" s="683"/>
    </row>
    <row r="93" spans="1:12" s="680" customFormat="1">
      <c r="A93" s="1611"/>
      <c r="D93" s="1612"/>
      <c r="K93" s="683"/>
      <c r="L93" s="683"/>
    </row>
    <row r="94" spans="1:12" s="680" customFormat="1">
      <c r="A94" s="1611"/>
      <c r="D94" s="1612"/>
      <c r="K94" s="683"/>
      <c r="L94" s="683"/>
    </row>
    <row r="95" spans="1:12" s="680" customFormat="1">
      <c r="A95" s="1611"/>
      <c r="D95" s="1612"/>
      <c r="K95" s="683"/>
      <c r="L95" s="683"/>
    </row>
    <row r="96" spans="1:12" s="680" customFormat="1">
      <c r="A96" s="1611"/>
      <c r="D96" s="1612"/>
      <c r="K96" s="683"/>
      <c r="L96" s="683"/>
    </row>
    <row r="97" spans="1:12" s="680" customFormat="1">
      <c r="A97" s="1611"/>
      <c r="D97" s="1612"/>
      <c r="K97" s="683"/>
      <c r="L97" s="683"/>
    </row>
    <row r="98" spans="1:12" s="680" customFormat="1">
      <c r="A98" s="1611"/>
      <c r="D98" s="1612"/>
      <c r="K98" s="683"/>
      <c r="L98" s="683"/>
    </row>
    <row r="99" spans="1:12" s="680" customFormat="1">
      <c r="A99" s="1611"/>
      <c r="D99" s="1612"/>
      <c r="K99" s="683"/>
      <c r="L99" s="683"/>
    </row>
    <row r="100" spans="1:12" s="680" customFormat="1">
      <c r="A100" s="1611"/>
      <c r="D100" s="1612"/>
      <c r="K100" s="683"/>
      <c r="L100" s="683"/>
    </row>
    <row r="101" spans="1:12" s="680" customFormat="1">
      <c r="A101" s="1611"/>
      <c r="D101" s="1612"/>
      <c r="K101" s="683"/>
      <c r="L101" s="683"/>
    </row>
    <row r="102" spans="1:12" s="680" customFormat="1">
      <c r="A102" s="1611"/>
      <c r="D102" s="1612"/>
      <c r="K102" s="683"/>
      <c r="L102" s="683"/>
    </row>
    <row r="103" spans="1:12" s="680" customFormat="1">
      <c r="A103" s="1611"/>
      <c r="D103" s="1612"/>
      <c r="K103" s="683"/>
      <c r="L103" s="683"/>
    </row>
    <row r="104" spans="1:12" s="680" customFormat="1">
      <c r="A104" s="1611"/>
      <c r="D104" s="1612"/>
      <c r="K104" s="683"/>
      <c r="L104" s="683"/>
    </row>
    <row r="105" spans="1:12" s="680" customFormat="1">
      <c r="A105" s="1611"/>
      <c r="D105" s="1612"/>
      <c r="K105" s="683"/>
      <c r="L105" s="683"/>
    </row>
    <row r="106" spans="1:12" s="680" customFormat="1">
      <c r="A106" s="1611"/>
      <c r="D106" s="1612"/>
      <c r="K106" s="683"/>
      <c r="L106" s="683"/>
    </row>
    <row r="107" spans="1:12" s="680" customFormat="1">
      <c r="A107" s="1611"/>
      <c r="D107" s="1612"/>
      <c r="K107" s="683"/>
      <c r="L107" s="683"/>
    </row>
    <row r="108" spans="1:12" s="680" customFormat="1">
      <c r="A108" s="1611"/>
      <c r="D108" s="1612"/>
      <c r="K108" s="683"/>
      <c r="L108" s="683"/>
    </row>
    <row r="109" spans="1:12" s="680" customFormat="1">
      <c r="A109" s="1611"/>
      <c r="D109" s="1612"/>
      <c r="K109" s="683"/>
      <c r="L109" s="683"/>
    </row>
    <row r="110" spans="1:12" s="680" customFormat="1">
      <c r="A110" s="1611"/>
      <c r="D110" s="1612"/>
      <c r="K110" s="683"/>
      <c r="L110" s="683"/>
    </row>
    <row r="111" spans="1:12" s="680" customFormat="1">
      <c r="A111" s="1611"/>
      <c r="D111" s="1612"/>
      <c r="K111" s="683"/>
      <c r="L111" s="683"/>
    </row>
    <row r="112" spans="1:12" s="680" customFormat="1">
      <c r="A112" s="1611"/>
      <c r="D112" s="1612"/>
      <c r="K112" s="683"/>
      <c r="L112" s="683"/>
    </row>
    <row r="113" spans="1:12" s="680" customFormat="1">
      <c r="A113" s="1611"/>
      <c r="D113" s="1612"/>
      <c r="K113" s="683"/>
      <c r="L113" s="683"/>
    </row>
    <row r="114" spans="1:12" s="680" customFormat="1">
      <c r="A114" s="1611"/>
      <c r="D114" s="1612"/>
      <c r="K114" s="683"/>
      <c r="L114" s="683"/>
    </row>
    <row r="115" spans="1:12" s="680" customFormat="1">
      <c r="A115" s="1611"/>
      <c r="D115" s="1612"/>
      <c r="K115" s="683"/>
      <c r="L115" s="683"/>
    </row>
    <row r="116" spans="1:12" s="680" customFormat="1">
      <c r="A116" s="1611"/>
      <c r="D116" s="1612"/>
      <c r="K116" s="683"/>
      <c r="L116" s="683"/>
    </row>
    <row r="117" spans="1:12" s="680" customFormat="1">
      <c r="A117" s="1611"/>
      <c r="D117" s="1612"/>
      <c r="K117" s="683"/>
      <c r="L117" s="683"/>
    </row>
    <row r="118" spans="1:12" s="680" customFormat="1">
      <c r="A118" s="1611"/>
      <c r="D118" s="1612"/>
      <c r="K118" s="683"/>
      <c r="L118" s="683"/>
    </row>
    <row r="119" spans="1:12" s="680" customFormat="1">
      <c r="A119" s="1611"/>
      <c r="D119" s="1612"/>
      <c r="K119" s="683"/>
      <c r="L119" s="683"/>
    </row>
    <row r="120" spans="1:12" s="680" customFormat="1">
      <c r="A120" s="1611"/>
      <c r="D120" s="1612"/>
      <c r="K120" s="683"/>
      <c r="L120" s="683"/>
    </row>
    <row r="121" spans="1:12" s="680" customFormat="1">
      <c r="A121" s="1611"/>
      <c r="D121" s="1612"/>
      <c r="K121" s="683"/>
      <c r="L121" s="683"/>
    </row>
    <row r="122" spans="1:12" s="680" customFormat="1">
      <c r="A122" s="1611"/>
      <c r="D122" s="1612"/>
      <c r="K122" s="683"/>
      <c r="L122" s="683"/>
    </row>
    <row r="123" spans="1:12" s="680" customFormat="1">
      <c r="A123" s="1611"/>
      <c r="D123" s="1612"/>
      <c r="K123" s="683"/>
      <c r="L123" s="683"/>
    </row>
    <row r="124" spans="1:12" s="680" customFormat="1">
      <c r="A124" s="1611"/>
      <c r="D124" s="1612"/>
      <c r="K124" s="683"/>
      <c r="L124" s="683"/>
    </row>
    <row r="125" spans="1:12" s="680" customFormat="1">
      <c r="A125" s="1611"/>
      <c r="D125" s="1612"/>
      <c r="K125" s="683"/>
      <c r="L125" s="683"/>
    </row>
    <row r="126" spans="1:12" s="680" customFormat="1">
      <c r="A126" s="1611"/>
      <c r="D126" s="1612"/>
      <c r="K126" s="683"/>
      <c r="L126" s="683"/>
    </row>
    <row r="127" spans="1:12" s="680" customFormat="1">
      <c r="A127" s="1611"/>
      <c r="D127" s="1612"/>
      <c r="K127" s="683"/>
      <c r="L127" s="683"/>
    </row>
    <row r="128" spans="1:12" s="680" customFormat="1">
      <c r="A128" s="1611"/>
      <c r="D128" s="1612"/>
      <c r="K128" s="683"/>
      <c r="L128" s="683"/>
    </row>
    <row r="129" spans="1:12" s="680" customFormat="1">
      <c r="A129" s="1611"/>
      <c r="D129" s="1612"/>
      <c r="K129" s="683"/>
      <c r="L129" s="683"/>
    </row>
    <row r="130" spans="1:12" s="680" customFormat="1">
      <c r="A130" s="1611"/>
      <c r="D130" s="1612"/>
      <c r="K130" s="683"/>
      <c r="L130" s="683"/>
    </row>
    <row r="131" spans="1:12" s="680" customFormat="1">
      <c r="A131" s="1611"/>
      <c r="D131" s="1612"/>
      <c r="K131" s="683"/>
      <c r="L131" s="683"/>
    </row>
    <row r="132" spans="1:12" s="680" customFormat="1">
      <c r="A132" s="1611"/>
      <c r="D132" s="1612"/>
      <c r="K132" s="683"/>
      <c r="L132" s="683"/>
    </row>
    <row r="133" spans="1:12" s="680" customFormat="1">
      <c r="A133" s="1611"/>
      <c r="D133" s="1612"/>
      <c r="K133" s="683"/>
      <c r="L133" s="683"/>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7" customWidth="1"/>
    <col min="19" max="29" width="9" style="747"/>
    <col min="30" max="16384" width="9" style="1519"/>
  </cols>
  <sheetData>
    <row r="1" spans="1:29" s="2256" customFormat="1" ht="18.75" thickBot="1">
      <c r="A1" s="3350" t="s">
        <v>2279</v>
      </c>
      <c r="B1" s="3351"/>
      <c r="C1" s="3351"/>
      <c r="D1" s="3351"/>
      <c r="E1" s="3351"/>
      <c r="F1" s="3351"/>
      <c r="G1" s="335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2275</v>
      </c>
      <c r="D2" s="1592"/>
      <c r="E2" s="2257"/>
      <c r="F2" s="2260"/>
      <c r="G2" s="2259" t="s">
        <v>2276</v>
      </c>
      <c r="H2" s="747"/>
      <c r="I2" s="747"/>
      <c r="J2" s="747"/>
      <c r="K2" s="747"/>
      <c r="L2" s="747"/>
      <c r="M2" s="747"/>
      <c r="N2" s="747"/>
      <c r="O2" s="747"/>
      <c r="P2" s="747"/>
      <c r="Q2" s="747"/>
    </row>
    <row r="3" spans="1:29" ht="15.75" customHeight="1">
      <c r="A3" s="2244" t="s">
        <v>2277</v>
      </c>
      <c r="B3" s="2261" t="s">
        <v>2249</v>
      </c>
      <c r="C3" s="2262"/>
      <c r="D3" s="2263"/>
      <c r="E3" s="2245" t="s">
        <v>2277</v>
      </c>
      <c r="F3" s="2264" t="s">
        <v>2250</v>
      </c>
      <c r="G3" s="2265" t="s">
        <v>2278</v>
      </c>
      <c r="H3" s="747"/>
      <c r="I3" s="747"/>
      <c r="J3" s="747"/>
      <c r="K3" s="747"/>
      <c r="L3" s="747"/>
      <c r="M3" s="747"/>
      <c r="N3" s="747"/>
      <c r="O3" s="747"/>
      <c r="P3" s="747"/>
      <c r="Q3" s="747"/>
    </row>
    <row r="4" spans="1:29" ht="48">
      <c r="A4" s="2245"/>
      <c r="B4" s="315" t="s">
        <v>2251</v>
      </c>
      <c r="C4" s="3153" t="s">
        <v>3695</v>
      </c>
      <c r="D4" s="2263"/>
      <c r="E4" s="2266"/>
      <c r="F4" s="1278" t="s">
        <v>2252</v>
      </c>
      <c r="G4" s="2267" t="s">
        <v>2253</v>
      </c>
      <c r="H4" s="747"/>
      <c r="I4" s="747"/>
      <c r="J4" s="747"/>
      <c r="K4" s="747"/>
      <c r="L4" s="747"/>
      <c r="M4" s="747"/>
      <c r="N4" s="747"/>
      <c r="O4" s="747"/>
      <c r="P4" s="747"/>
      <c r="Q4" s="747"/>
    </row>
    <row r="5" spans="1:29" ht="36">
      <c r="A5" s="2245"/>
      <c r="B5" s="315" t="s">
        <v>2254</v>
      </c>
      <c r="C5" s="3153" t="s">
        <v>3697</v>
      </c>
      <c r="D5" s="2263"/>
      <c r="E5" s="2266"/>
      <c r="F5" s="315" t="s">
        <v>2255</v>
      </c>
      <c r="G5" s="2267" t="s">
        <v>2256</v>
      </c>
      <c r="H5" s="747"/>
      <c r="I5" s="747"/>
      <c r="J5" s="747"/>
      <c r="K5" s="747"/>
      <c r="L5" s="747"/>
      <c r="M5" s="747"/>
      <c r="N5" s="747"/>
      <c r="O5" s="747"/>
      <c r="P5" s="747"/>
      <c r="Q5" s="747"/>
    </row>
    <row r="6" spans="1:29" ht="48">
      <c r="A6" s="2245"/>
      <c r="B6" s="315" t="s">
        <v>2257</v>
      </c>
      <c r="C6" s="3154" t="s">
        <v>3696</v>
      </c>
      <c r="D6" s="2263"/>
      <c r="E6" s="2266"/>
      <c r="F6" s="315" t="s">
        <v>2258</v>
      </c>
      <c r="G6" s="2267" t="s">
        <v>2259</v>
      </c>
      <c r="H6" s="747"/>
      <c r="I6" s="747"/>
      <c r="J6" s="747"/>
      <c r="K6" s="747"/>
      <c r="L6" s="747"/>
      <c r="M6" s="747"/>
      <c r="N6" s="747"/>
      <c r="O6" s="747"/>
      <c r="P6" s="747"/>
      <c r="Q6" s="747"/>
    </row>
    <row r="7" spans="1:29" ht="108.75" thickBot="1">
      <c r="A7" s="2245"/>
      <c r="B7" s="315" t="s">
        <v>2255</v>
      </c>
      <c r="C7" s="3154" t="s">
        <v>3699</v>
      </c>
      <c r="D7" s="2242"/>
      <c r="E7" s="2268"/>
      <c r="F7" s="2269" t="s">
        <v>2260</v>
      </c>
      <c r="G7" s="2270" t="s">
        <v>2261</v>
      </c>
      <c r="H7" s="747"/>
      <c r="I7" s="747"/>
      <c r="J7" s="747"/>
      <c r="K7" s="747"/>
      <c r="L7" s="747"/>
      <c r="M7" s="747"/>
      <c r="N7" s="747"/>
      <c r="O7" s="747"/>
      <c r="P7" s="747"/>
      <c r="Q7" s="747"/>
    </row>
    <row r="8" spans="1:29">
      <c r="A8" s="2245"/>
      <c r="B8" s="315" t="s">
        <v>2258</v>
      </c>
      <c r="C8" s="2267" t="s">
        <v>2259</v>
      </c>
      <c r="D8" s="2242"/>
      <c r="E8" s="2242"/>
      <c r="F8" s="121"/>
      <c r="G8" s="121"/>
      <c r="H8" s="747"/>
      <c r="I8" s="747"/>
      <c r="J8" s="747"/>
      <c r="K8" s="747"/>
      <c r="L8" s="747"/>
      <c r="M8" s="747"/>
      <c r="N8" s="747"/>
      <c r="O8" s="747"/>
      <c r="P8" s="747"/>
      <c r="Q8" s="747"/>
    </row>
    <row r="9" spans="1:29" ht="36">
      <c r="A9" s="2245"/>
      <c r="B9" s="315" t="s">
        <v>2262</v>
      </c>
      <c r="C9" s="3153" t="s">
        <v>3698</v>
      </c>
      <c r="D9" s="2263"/>
      <c r="E9" s="2242"/>
      <c r="F9" s="121"/>
      <c r="G9" s="121"/>
      <c r="H9" s="747"/>
      <c r="I9" s="747"/>
      <c r="J9" s="747"/>
      <c r="K9" s="747"/>
      <c r="L9" s="747"/>
      <c r="M9" s="747"/>
      <c r="N9" s="747"/>
      <c r="O9" s="747"/>
      <c r="P9" s="747"/>
      <c r="Q9" s="747"/>
    </row>
    <row r="10" spans="1:29" ht="15" thickBot="1">
      <c r="A10" s="2246"/>
      <c r="B10" s="2271" t="s">
        <v>2263</v>
      </c>
      <c r="C10" s="3155" t="s">
        <v>3504</v>
      </c>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8">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75" thickBot="1">
      <c r="A13" s="2279" t="s">
        <v>2280</v>
      </c>
      <c r="B13" s="2275"/>
      <c r="C13" s="2275"/>
      <c r="D13" s="2274"/>
      <c r="E13" s="2275"/>
      <c r="F13" s="2275"/>
      <c r="G13" s="2275"/>
    </row>
    <row r="14" spans="1:29" ht="15" thickBot="1">
      <c r="A14" s="2280"/>
      <c r="B14" s="2280"/>
      <c r="C14" s="2281" t="s">
        <v>2264</v>
      </c>
      <c r="D14" s="2263"/>
      <c r="E14" s="2282"/>
      <c r="F14" s="2282"/>
      <c r="G14" s="2259" t="s">
        <v>2265</v>
      </c>
    </row>
    <row r="15" spans="1:29" ht="25.5">
      <c r="A15" s="2247" t="s">
        <v>2266</v>
      </c>
      <c r="B15" s="2283" t="s">
        <v>2249</v>
      </c>
      <c r="C15" s="2284">
        <f>C3</f>
        <v>0</v>
      </c>
      <c r="D15" s="2263"/>
      <c r="E15" s="2248" t="s">
        <v>2267</v>
      </c>
      <c r="F15" s="2283" t="s">
        <v>2268</v>
      </c>
      <c r="G15" s="2285" t="str">
        <f>G3</f>
        <v>估价对象位于XX开发区，园区建设成熟度XX，产业集聚程度XX</v>
      </c>
    </row>
    <row r="16" spans="1:29" ht="51">
      <c r="A16" s="2249"/>
      <c r="B16" s="2286" t="s">
        <v>2251</v>
      </c>
      <c r="C16" s="2287" t="str">
        <f>C4</f>
        <v>估价对象位于丁各庄，为住宅配套项目，周边商业氛围成熟度较差，人流量较小，商业繁华度较差</v>
      </c>
      <c r="D16" s="2263"/>
      <c r="E16" s="2250"/>
      <c r="F16" s="2288" t="s">
        <v>2252</v>
      </c>
      <c r="G16" s="2289" t="str">
        <f>G4</f>
        <v>估价对象周边道路状况、公共交通通达情况、停车便捷程度，综合评价交通便捷度较好</v>
      </c>
    </row>
    <row r="17" spans="1:17" ht="38.25">
      <c r="A17" s="2249"/>
      <c r="B17" s="2286" t="s">
        <v>2254</v>
      </c>
      <c r="C17" s="2287" t="str">
        <f>C5</f>
        <v>估价对象位于丁各庄，为住宅配套项目，周边办公楼项目较少，入驻率较低，办公集聚程度较差</v>
      </c>
      <c r="D17" s="2242"/>
      <c r="E17" s="2250"/>
      <c r="F17" s="2288" t="s">
        <v>2269</v>
      </c>
      <c r="G17" s="2290"/>
    </row>
    <row r="18" spans="1:17" ht="51">
      <c r="A18" s="2249"/>
      <c r="B18" s="2288" t="s">
        <v>2257</v>
      </c>
      <c r="C18" s="2289" t="str">
        <f>C6</f>
        <v>估价对象周边道路状况、公共交通通达情况808、809等、停车便捷程度较好，综合评价交通便捷度一般</v>
      </c>
      <c r="D18" s="2242"/>
      <c r="E18" s="2250"/>
      <c r="F18" s="2288" t="s">
        <v>2260</v>
      </c>
      <c r="G18" s="2289" t="str">
        <f>G7</f>
        <v>该园区内是否有污染型企业，绿化情况，卫生条件，整体环境状况判断</v>
      </c>
    </row>
    <row r="19" spans="1:17" ht="25.5">
      <c r="A19" s="2249"/>
      <c r="B19" s="2288" t="s">
        <v>2270</v>
      </c>
      <c r="C19" s="2290"/>
      <c r="D19" s="2263"/>
      <c r="E19" s="2250"/>
      <c r="F19" s="315" t="s">
        <v>2255</v>
      </c>
      <c r="G19" s="2289" t="str">
        <f>G5</f>
        <v>估价对象所在区域公共配套设施齐备情况</v>
      </c>
    </row>
    <row r="20" spans="1:17" ht="38.25">
      <c r="A20" s="2249"/>
      <c r="B20" s="2288" t="s">
        <v>2271</v>
      </c>
      <c r="C20" s="2287" t="str">
        <f>C9</f>
        <v>区域自然环境：潞城中心公园；人文环境：工商大学嘉华学院；综合评价环境状况一般</v>
      </c>
      <c r="D20" s="2242"/>
      <c r="E20" s="2250"/>
      <c r="F20" s="315" t="s">
        <v>2258</v>
      </c>
      <c r="G20" s="2289" t="str">
        <f>G6</f>
        <v>估价对象所在区域基础设施水平</v>
      </c>
    </row>
    <row r="21" spans="1:17" ht="114.75">
      <c r="A21" s="2249"/>
      <c r="B21" s="315" t="s">
        <v>2255</v>
      </c>
      <c r="C21" s="2289" t="str">
        <f>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21" s="2263"/>
      <c r="E21" s="2250"/>
      <c r="F21" s="2288" t="s">
        <v>2272</v>
      </c>
      <c r="G21" s="2291"/>
    </row>
    <row r="22" spans="1:17" ht="13.5" customHeight="1">
      <c r="A22" s="2249"/>
      <c r="B22" s="315" t="s">
        <v>2258</v>
      </c>
      <c r="C22" s="2289" t="str">
        <f>C8</f>
        <v>估价对象所在区域基础设施水平</v>
      </c>
      <c r="D22" s="2263"/>
      <c r="E22" s="2250"/>
      <c r="F22" s="2288" t="s">
        <v>2263</v>
      </c>
      <c r="G22" s="2290"/>
    </row>
    <row r="23" spans="1:17" s="747" customFormat="1" ht="15" thickBot="1">
      <c r="A23" s="2249"/>
      <c r="B23" s="2288" t="s">
        <v>2272</v>
      </c>
      <c r="C23" s="2291"/>
      <c r="D23" s="1611"/>
      <c r="E23" s="2251"/>
      <c r="F23" s="2292" t="s">
        <v>2273</v>
      </c>
      <c r="G23" s="2293"/>
      <c r="H23" s="2272"/>
      <c r="I23" s="2272"/>
      <c r="J23" s="2272"/>
      <c r="K23" s="2272"/>
      <c r="L23" s="2272"/>
      <c r="M23" s="2272"/>
      <c r="N23" s="2272"/>
      <c r="O23" s="2272"/>
      <c r="P23" s="2272"/>
      <c r="Q23" s="2272"/>
    </row>
    <row r="24" spans="1:17" s="747" customFormat="1" ht="15" thickBot="1">
      <c r="A24" s="2252"/>
      <c r="B24" s="2292" t="s">
        <v>2274</v>
      </c>
      <c r="C24" s="2294" t="str">
        <f>C10</f>
        <v>次干道-通怀路</v>
      </c>
      <c r="D24" s="1611"/>
      <c r="E24" s="2242"/>
      <c r="F24" s="2242"/>
      <c r="G24" s="2242"/>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24" t="str">
        <f>项目基本情况!B1</f>
        <v>北京市房地产市场价值预评估</v>
      </c>
      <c r="C37" s="3224"/>
      <c r="D37" s="3224"/>
      <c r="E37" s="3224"/>
      <c r="F37" s="3224"/>
      <c r="G37" s="3224"/>
      <c r="H37" s="3224"/>
      <c r="I37" s="3224"/>
    </row>
    <row r="38" spans="1:9">
      <c r="A38" s="790"/>
      <c r="B38" s="790"/>
    </row>
    <row r="39" spans="1:9">
      <c r="A39" s="788" t="s">
        <v>371</v>
      </c>
      <c r="B39" s="788" t="s">
        <v>373</v>
      </c>
    </row>
    <row r="40" spans="1:9">
      <c r="A40" s="788"/>
      <c r="B40" s="1375">
        <f>项目基本情况!B5</f>
        <v>0</v>
      </c>
    </row>
    <row r="41" spans="1:9">
      <c r="A41" s="788"/>
      <c r="B41" s="788"/>
    </row>
    <row r="42" spans="1:9">
      <c r="A42" s="788" t="s">
        <v>371</v>
      </c>
      <c r="B42" s="788" t="s">
        <v>374</v>
      </c>
    </row>
    <row r="43" spans="1:9">
      <c r="A43" s="788"/>
      <c r="B43" s="1375" t="s">
        <v>375</v>
      </c>
    </row>
    <row r="44" spans="1:9">
      <c r="A44" s="788"/>
      <c r="B44" s="788"/>
    </row>
    <row r="45" spans="1:9">
      <c r="A45" s="788" t="s">
        <v>371</v>
      </c>
      <c r="B45" s="788" t="s">
        <v>376</v>
      </c>
    </row>
    <row r="46" spans="1:9" s="788" customFormat="1" ht="12.75">
      <c r="B46" s="1375" t="str">
        <f ca="1">项目基本情况!K4</f>
        <v>郑燚（注册号：1120070131)、吴薇（注册号：1419970001)</v>
      </c>
    </row>
    <row r="47" spans="1:9">
      <c r="A47" s="788"/>
      <c r="B47" s="788" t="str">
        <f>项目基本情况!K5</f>
        <v>（注册号：0)、（注册号：0)</v>
      </c>
    </row>
    <row r="48" spans="1:9">
      <c r="A48" s="788" t="s">
        <v>371</v>
      </c>
      <c r="B48" s="788"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20" sqref="M20"/>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45704.979999999996</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45215</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SUM(D14:D23)</f>
        <v>39734</v>
      </c>
      <c r="C5" s="2295" t="e">
        <f ca="1">IF(B5=D14,结果表!H102,ROUND(B5*10000/$B$1,0))</f>
        <v>#DIV/0!</v>
      </c>
      <c r="D5" s="2295" t="e">
        <f>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39734</v>
      </c>
      <c r="C10" s="2295" t="s">
        <v>3355</v>
      </c>
      <c r="D10" s="2295" t="s">
        <v>3356</v>
      </c>
      <c r="E10" s="3185">
        <f>Sheet1!L27</f>
        <v>1.31</v>
      </c>
      <c r="F10" s="3134" t="s">
        <v>3357</v>
      </c>
      <c r="G10" s="3186">
        <v>5.5E-2</v>
      </c>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明细表!F80+明细表!F76+明细表!F61+明细表!F49+明细表!F37+明细表!F25+明细表!F13</f>
        <v>45704.979999999996</v>
      </c>
      <c r="C14" s="2301"/>
      <c r="D14" s="3184">
        <f>B10</f>
        <v>39734</v>
      </c>
      <c r="E14" s="2301">
        <f>ROUND(D14*10000/B14,0)</f>
        <v>8694</v>
      </c>
      <c r="F14" s="2301" t="e">
        <f>ROUND(D14*10000/C14,0)</f>
        <v>#DIV/0!</v>
      </c>
      <c r="G14" s="3184"/>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3" zoomScale="80" zoomScaleNormal="100" zoomScaleSheetLayoutView="80" zoomScalePageLayoutView="80" workbookViewId="0">
      <selection activeCell="H108" sqref="H108"/>
    </sheetView>
  </sheetViews>
  <sheetFormatPr defaultColWidth="12.625" defaultRowHeight="21.75" customHeight="1"/>
  <cols>
    <col min="1" max="2" width="12.625" style="1558"/>
    <col min="3" max="4" width="12.625" style="1558" customWidth="1"/>
    <col min="5" max="9" width="12.625" style="1558"/>
    <col min="10" max="11" width="12.625" style="680" customWidth="1"/>
    <col min="12" max="12" width="12.625" style="680"/>
    <col min="13" max="13" width="14.125" style="680" bestFit="1" customWidth="1"/>
    <col min="14" max="26" width="12.625" style="680"/>
    <col min="27" max="35" width="12.625" style="1620"/>
    <col min="36" max="16384" width="12.625" style="1558"/>
  </cols>
  <sheetData>
    <row r="1" spans="1:12" ht="21.75" customHeight="1" thickBot="1">
      <c r="A1" s="1518" t="s">
        <v>1262</v>
      </c>
      <c r="B1" s="642"/>
      <c r="C1" s="1617"/>
      <c r="D1" s="642"/>
      <c r="E1" s="642"/>
      <c r="F1" s="1618" t="s">
        <v>1263</v>
      </c>
      <c r="G1" s="1450"/>
      <c r="H1" s="1618" t="str">
        <f>IF(G1="现房","——","估价对象范围")</f>
        <v>估价对象范围</v>
      </c>
      <c r="I1" s="1619"/>
    </row>
    <row r="2" spans="1:12" ht="21.75" customHeight="1" thickBot="1">
      <c r="A2" s="3386" t="str">
        <f>项目基本情况!S2</f>
        <v>北京市房地产</v>
      </c>
      <c r="B2" s="3387"/>
      <c r="C2" s="3387"/>
      <c r="D2" s="3387"/>
      <c r="E2" s="3387"/>
      <c r="F2" s="3387"/>
      <c r="G2" s="3387"/>
      <c r="H2" s="3387"/>
      <c r="I2" s="3388"/>
    </row>
    <row r="3" spans="1:12" ht="12.75">
      <c r="A3" s="3390" t="s">
        <v>1264</v>
      </c>
      <c r="B3" s="3391"/>
      <c r="C3" s="3391"/>
      <c r="D3" s="3391"/>
      <c r="E3" s="3391"/>
      <c r="F3" s="3391"/>
      <c r="G3" s="3391"/>
      <c r="H3" s="3391"/>
      <c r="I3" s="3391"/>
    </row>
    <row r="4" spans="1:12" ht="14.25">
      <c r="A4" s="1621" t="s">
        <v>1265</v>
      </c>
      <c r="B4" s="1622" t="s">
        <v>1266</v>
      </c>
      <c r="C4" s="1623"/>
      <c r="D4" s="1623"/>
      <c r="E4" s="3392" t="s">
        <v>1267</v>
      </c>
      <c r="F4" s="3393"/>
      <c r="G4" s="3393"/>
      <c r="H4" s="3393"/>
      <c r="I4" s="339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6" t="s">
        <v>1268</v>
      </c>
      <c r="B5" s="3353">
        <v>25</v>
      </c>
      <c r="C5" s="3369"/>
      <c r="D5" s="3389"/>
      <c r="E5" s="123" t="s">
        <v>1269</v>
      </c>
      <c r="F5" s="1624"/>
      <c r="G5" s="1624"/>
      <c r="H5" s="1624"/>
      <c r="I5" s="1278"/>
    </row>
    <row r="6" spans="1:12" ht="12.75">
      <c r="A6" s="3366"/>
      <c r="B6" s="3353"/>
      <c r="C6" s="3370"/>
      <c r="D6" s="3389"/>
      <c r="E6" s="123" t="s">
        <v>1270</v>
      </c>
      <c r="F6" s="1624"/>
      <c r="G6" s="1624"/>
      <c r="H6" s="1624"/>
      <c r="I6" s="1278"/>
    </row>
    <row r="7" spans="1:12" ht="12.75">
      <c r="A7" s="3366"/>
      <c r="B7" s="3353"/>
      <c r="C7" s="3371"/>
      <c r="D7" s="3389"/>
      <c r="E7" s="123" t="s">
        <v>1271</v>
      </c>
      <c r="F7" s="1624"/>
      <c r="G7" s="1624"/>
      <c r="H7" s="1624"/>
      <c r="I7" s="1278"/>
    </row>
    <row r="8" spans="1:12" ht="12.75">
      <c r="A8" s="3366" t="s">
        <v>1272</v>
      </c>
      <c r="B8" s="3353">
        <v>15</v>
      </c>
      <c r="C8" s="3369"/>
      <c r="D8" s="3389"/>
      <c r="E8" s="123" t="s">
        <v>1273</v>
      </c>
      <c r="F8" s="1624"/>
      <c r="G8" s="1624"/>
      <c r="H8" s="1624"/>
      <c r="I8" s="1278"/>
    </row>
    <row r="9" spans="1:12" ht="12.75">
      <c r="A9" s="3366"/>
      <c r="B9" s="3353"/>
      <c r="C9" s="3371"/>
      <c r="D9" s="3389"/>
      <c r="E9" s="123" t="s">
        <v>1274</v>
      </c>
      <c r="F9" s="1624"/>
      <c r="G9" s="1624"/>
      <c r="H9" s="1624"/>
      <c r="I9" s="1278"/>
    </row>
    <row r="10" spans="1:12" ht="12.75">
      <c r="A10" s="3366" t="s">
        <v>1275</v>
      </c>
      <c r="B10" s="3353">
        <v>15</v>
      </c>
      <c r="C10" s="3369"/>
      <c r="D10" s="3389"/>
      <c r="E10" s="123" t="s">
        <v>1276</v>
      </c>
      <c r="F10" s="1624"/>
      <c r="G10" s="1624"/>
      <c r="H10" s="1624"/>
      <c r="I10" s="1278"/>
    </row>
    <row r="11" spans="1:12" ht="12.75">
      <c r="A11" s="3366"/>
      <c r="B11" s="3353"/>
      <c r="C11" s="3371"/>
      <c r="D11" s="3389"/>
      <c r="E11" s="123" t="s">
        <v>1277</v>
      </c>
      <c r="F11" s="1624"/>
      <c r="G11" s="1624"/>
      <c r="H11" s="1624"/>
      <c r="I11" s="1278"/>
    </row>
    <row r="12" spans="1:12" ht="12.75">
      <c r="A12" s="3366" t="s">
        <v>1278</v>
      </c>
      <c r="B12" s="3353">
        <v>15</v>
      </c>
      <c r="C12" s="3369"/>
      <c r="D12" s="3389"/>
      <c r="E12" s="123" t="s">
        <v>1279</v>
      </c>
      <c r="F12" s="1624"/>
      <c r="G12" s="1624"/>
      <c r="H12" s="1624"/>
      <c r="I12" s="1278"/>
    </row>
    <row r="13" spans="1:12" ht="12.75">
      <c r="A13" s="3366"/>
      <c r="B13" s="3353"/>
      <c r="C13" s="3371"/>
      <c r="D13" s="3389"/>
      <c r="E13" s="123" t="s">
        <v>1280</v>
      </c>
      <c r="F13" s="1624"/>
      <c r="G13" s="1624"/>
      <c r="H13" s="1624"/>
      <c r="I13" s="1278"/>
    </row>
    <row r="14" spans="1:12" ht="12.75">
      <c r="A14" s="3366" t="s">
        <v>1281</v>
      </c>
      <c r="B14" s="3353">
        <v>30</v>
      </c>
      <c r="C14" s="3369"/>
      <c r="D14" s="3389"/>
      <c r="E14" s="123" t="s">
        <v>1282</v>
      </c>
      <c r="F14" s="1624"/>
      <c r="G14" s="1624"/>
      <c r="H14" s="1624"/>
      <c r="I14" s="1278"/>
    </row>
    <row r="15" spans="1:12" ht="12.75">
      <c r="A15" s="3366"/>
      <c r="B15" s="3353"/>
      <c r="C15" s="3370"/>
      <c r="D15" s="3389"/>
      <c r="E15" s="123" t="s">
        <v>1283</v>
      </c>
      <c r="F15" s="1624"/>
      <c r="G15" s="1624"/>
      <c r="H15" s="1624"/>
      <c r="I15" s="1278"/>
    </row>
    <row r="16" spans="1:12" ht="12.75">
      <c r="A16" s="3366"/>
      <c r="B16" s="3353"/>
      <c r="C16" s="3371"/>
      <c r="D16" s="3389"/>
      <c r="E16" s="123" t="s">
        <v>1284</v>
      </c>
      <c r="F16" s="1624"/>
      <c r="G16" s="1624"/>
      <c r="H16" s="1624"/>
      <c r="I16" s="1278"/>
    </row>
    <row r="17" spans="1:36" ht="15">
      <c r="A17" s="1625" t="s">
        <v>1285</v>
      </c>
      <c r="B17" s="54"/>
      <c r="C17" s="124">
        <f>SUM(C5:C16)</f>
        <v>0</v>
      </c>
      <c r="D17" s="124">
        <f>SUM(D5:D16)</f>
        <v>0</v>
      </c>
      <c r="E17" s="121"/>
      <c r="F17" s="121"/>
      <c r="G17" s="121"/>
      <c r="H17" s="121"/>
      <c r="I17" s="121"/>
      <c r="K17" s="294"/>
      <c r="L17" s="294" t="s">
        <v>1286</v>
      </c>
      <c r="M17" s="294" t="s">
        <v>1287</v>
      </c>
    </row>
    <row r="18" spans="1:36" ht="31.9" customHeight="1" thickBot="1">
      <c r="A18" s="1626" t="s">
        <v>1288</v>
      </c>
      <c r="B18" s="1539"/>
      <c r="C18" s="125" t="e">
        <f>ROUND(C17/SUM(C17:D17),2)</f>
        <v>#DIV/0!</v>
      </c>
      <c r="D18" s="125" t="e">
        <f>1-C18</f>
        <v>#DIV/0!</v>
      </c>
      <c r="E18" s="3376" t="s">
        <v>2128</v>
      </c>
      <c r="F18" s="3377"/>
      <c r="G18" s="3377"/>
      <c r="H18" s="3377"/>
      <c r="I18" s="3377"/>
      <c r="K18" s="294" t="s">
        <v>1289</v>
      </c>
      <c r="L18" s="294">
        <f>IF(C1="",'数据-汇总表'!E3,SUMIF(项目类型,C1,'数据-汇总表'!E17:E26)+SUMIF(项目类型,C1,'数据-汇总表'!I17:I26))</f>
        <v>0</v>
      </c>
      <c r="M18" s="294">
        <f>IF(C1="",'数据-汇总表'!E3,SUMIF(项目类型,C1,'数据-汇总表'!E17:E26))</f>
        <v>0</v>
      </c>
    </row>
    <row r="19" spans="1:36" ht="15">
      <c r="A19" s="1627" t="s">
        <v>1290</v>
      </c>
      <c r="B19" s="1628" t="s">
        <v>1291</v>
      </c>
      <c r="C19" s="126" t="e">
        <f ca="1">SUMIF(INDIRECT("'"&amp;C4&amp;"'"&amp;"!A:A"),结果表!B19,INDIRECT("'"&amp;C4&amp;"'"&amp;"!B:B"))</f>
        <v>#REF!</v>
      </c>
      <c r="D19" s="127" t="e">
        <f ca="1">SUMIF(INDIRECT("'"&amp;D4&amp;"'"&amp;"!A:A"),结果表!B19,INDIRECT("'"&amp;D4&amp;"'"&amp;"!B:B"))</f>
        <v>#REF!</v>
      </c>
      <c r="E19" s="1627" t="s">
        <v>1292</v>
      </c>
      <c r="F19" s="1628" t="s">
        <v>1291</v>
      </c>
      <c r="G19" s="128" t="e">
        <f ca="1">ROUND(C19*$C$18+D19*$D$18,0)</f>
        <v>#REF!</v>
      </c>
      <c r="H19" s="1629"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0"/>
      <c r="B20" s="43" t="s">
        <v>1295</v>
      </c>
      <c r="C20" s="129" t="e">
        <f ca="1">SUMIF(INDIRECT("'"&amp;C4&amp;"'"&amp;"!A:A"),结果表!B20,INDIRECT("'"&amp;C4&amp;"'"&amp;"!B:B"))</f>
        <v>#REF!</v>
      </c>
      <c r="D20" s="130" t="e">
        <f ca="1">SUMIF(INDIRECT("'"&amp;D4&amp;"'"&amp;"!A:A"),结果表!B20,INDIRECT("'"&amp;D4&amp;"'"&amp;"!B:B"))</f>
        <v>#REF!</v>
      </c>
      <c r="E20" s="1630"/>
      <c r="F20" s="43" t="s">
        <v>1295</v>
      </c>
      <c r="G20" s="131" t="e">
        <f ca="1">ROUND(C20*$C$18+D20*$D$18,0)</f>
        <v>#REF!</v>
      </c>
      <c r="H20" s="756" t="s">
        <v>1296</v>
      </c>
      <c r="I20" s="121"/>
    </row>
    <row r="21" spans="1:36" ht="15" customHeight="1" thickBot="1">
      <c r="A21" s="449"/>
      <c r="B21" s="93" t="s">
        <v>1297</v>
      </c>
      <c r="C21" s="674" t="e">
        <f ca="1">ROUND(C19*10000/L19,0)</f>
        <v>#REF!</v>
      </c>
      <c r="D21" s="675" t="e">
        <f ca="1">ROUND(D19*10000/L19,0)</f>
        <v>#REF!</v>
      </c>
      <c r="E21" s="449"/>
      <c r="F21" s="93" t="s">
        <v>1297</v>
      </c>
      <c r="G21" s="132" t="e">
        <f ca="1">ROUND(G19*10000/L19,0)</f>
        <v>#REF!</v>
      </c>
      <c r="H21" s="1631" t="s">
        <v>1296</v>
      </c>
      <c r="I21" s="121"/>
    </row>
    <row r="22" spans="1:36" ht="15" thickBot="1">
      <c r="A22" s="1561" t="s">
        <v>1298</v>
      </c>
      <c r="B22" s="1632"/>
      <c r="C22" s="1633"/>
      <c r="D22" s="676" t="e">
        <f ca="1">IF(C19&lt;D19,D19/C19-1,C19/D19-1)</f>
        <v>#REF!</v>
      </c>
      <c r="E22" s="121"/>
      <c r="F22" s="121"/>
      <c r="G22" s="121"/>
      <c r="H22" s="121"/>
      <c r="I22" s="121"/>
    </row>
    <row r="23" spans="1:36" ht="13.5" thickBot="1">
      <c r="A23" s="642"/>
      <c r="B23" s="642"/>
      <c r="C23" s="642"/>
      <c r="D23" s="642"/>
      <c r="E23" s="121"/>
      <c r="F23" s="121"/>
      <c r="G23" s="121"/>
      <c r="H23" s="121"/>
      <c r="I23" s="121"/>
    </row>
    <row r="24" spans="1:36" ht="14.25">
      <c r="A24" s="3360" t="s">
        <v>1299</v>
      </c>
      <c r="B24" s="1628" t="s">
        <v>1291</v>
      </c>
      <c r="C24" s="128">
        <f>IF(B30=0,0,D30)</f>
        <v>0</v>
      </c>
      <c r="D24" s="1634"/>
      <c r="E24" s="121"/>
      <c r="F24" s="121"/>
      <c r="G24" s="121"/>
      <c r="H24" s="121"/>
      <c r="I24" s="121"/>
    </row>
    <row r="25" spans="1:36" ht="14.25">
      <c r="A25" s="3361"/>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4" t="s">
        <v>2129</v>
      </c>
      <c r="F30" s="121"/>
      <c r="G30" s="121"/>
      <c r="H30" s="121"/>
      <c r="I30" s="121"/>
    </row>
    <row r="31" spans="1:36" s="2130" customFormat="1" ht="26.45" customHeight="1" thickTop="1" thickBot="1">
      <c r="A31" s="2125"/>
      <c r="B31" s="2126"/>
      <c r="C31" s="2126"/>
      <c r="D31" s="2126"/>
      <c r="E31" s="2126"/>
      <c r="F31" s="2126"/>
      <c r="G31" s="2126"/>
      <c r="H31" s="2126"/>
      <c r="I31" s="2127" t="s">
        <v>2130</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6" t="e">
        <f ca="1">IF(D32="总价",G19-C24,G20-C25)</f>
        <v>#REF!</v>
      </c>
      <c r="D32" s="1638"/>
      <c r="E32" s="121"/>
      <c r="F32" s="121"/>
      <c r="G32" s="121"/>
      <c r="H32" s="121"/>
      <c r="I32" s="121"/>
    </row>
    <row r="33" spans="1:15" ht="15">
      <c r="A33" s="736"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#REF!</v>
      </c>
      <c r="D34" s="804"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380" t="s">
        <v>1312</v>
      </c>
      <c r="B36" s="1649" t="s">
        <v>1313</v>
      </c>
      <c r="C36" s="137"/>
      <c r="D36" s="1650"/>
      <c r="E36" s="1564"/>
      <c r="F36" s="1651"/>
      <c r="G36" s="121"/>
      <c r="H36" s="121"/>
      <c r="I36" s="121"/>
    </row>
    <row r="37" spans="1:15" ht="15.75" thickBot="1">
      <c r="A37" s="3381"/>
      <c r="B37" s="1552" t="s">
        <v>1314</v>
      </c>
      <c r="C37" s="139"/>
      <c r="D37" s="1068"/>
      <c r="E37" s="1068"/>
      <c r="F37" s="1651"/>
      <c r="G37" s="121"/>
      <c r="H37" s="121"/>
      <c r="I37" s="121"/>
    </row>
    <row r="38" spans="1:15" ht="15.75" thickBot="1">
      <c r="A38" s="3382"/>
      <c r="B38" s="1652" t="s">
        <v>1315</v>
      </c>
      <c r="C38" s="637"/>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7" t="s">
        <v>1326</v>
      </c>
      <c r="B45" s="3358"/>
      <c r="C45" s="3359"/>
      <c r="D45" s="147" t="e">
        <f ca="1">ROUND(H101*F45,0)</f>
        <v>#REF!</v>
      </c>
      <c r="E45" s="148" t="s">
        <v>1327</v>
      </c>
      <c r="F45" s="149">
        <v>1</v>
      </c>
      <c r="G45" s="150" t="s">
        <v>1328</v>
      </c>
      <c r="H45" s="121"/>
      <c r="I45" s="121"/>
      <c r="J45" s="3435" t="s">
        <v>1329</v>
      </c>
      <c r="K45" s="3435"/>
      <c r="L45" s="3435"/>
      <c r="M45" s="3435"/>
      <c r="N45" s="3435"/>
      <c r="O45" s="3435"/>
    </row>
    <row r="46" spans="1:15" ht="14.25" customHeight="1">
      <c r="A46" s="3354" t="s">
        <v>1330</v>
      </c>
      <c r="B46" s="3355"/>
      <c r="C46" s="3355"/>
      <c r="D46" s="3355"/>
      <c r="E46" s="3355"/>
      <c r="F46" s="3355"/>
      <c r="G46" s="3356"/>
      <c r="H46" s="1665"/>
      <c r="I46" s="151"/>
      <c r="J46" s="2305">
        <v>1</v>
      </c>
      <c r="K46" s="3416" t="s">
        <v>1331</v>
      </c>
      <c r="L46" s="3416"/>
      <c r="M46" s="3436"/>
      <c r="N46" s="3436"/>
      <c r="O46" s="3436"/>
    </row>
    <row r="47" spans="1:15" ht="12" customHeight="1">
      <c r="A47" s="152" t="s">
        <v>1332</v>
      </c>
      <c r="B47" s="153"/>
      <c r="C47" s="154"/>
      <c r="D47" s="1021" t="s">
        <v>1333</v>
      </c>
      <c r="E47" s="294" t="s">
        <v>1334</v>
      </c>
      <c r="F47" s="155" t="s">
        <v>1335</v>
      </c>
      <c r="G47" s="2328" t="s">
        <v>1336</v>
      </c>
      <c r="H47" s="2329"/>
      <c r="I47" s="151"/>
      <c r="J47" s="2305">
        <v>2</v>
      </c>
      <c r="K47" s="3416" t="s">
        <v>1337</v>
      </c>
      <c r="L47" s="3416"/>
      <c r="M47" s="3437">
        <f>'数据-取费表'!B2</f>
        <v>45215</v>
      </c>
      <c r="N47" s="3437"/>
      <c r="O47" s="3437"/>
    </row>
    <row r="48" spans="1:15" ht="25.5">
      <c r="A48" s="3385" t="s">
        <v>1338</v>
      </c>
      <c r="B48" s="3368"/>
      <c r="C48" s="3368"/>
      <c r="D48" s="12" t="b">
        <f>IF(H48="情况1",0,IF(H48="情况2",D52,IF(H48="情况3",D53,IF(H48="情况4",D54))))</f>
        <v>0</v>
      </c>
      <c r="E48" s="1253" t="str">
        <f>IF(H48="情况4","(销售额-原购置价)×税（费）率","销售额×税（费）率")</f>
        <v>销售额×税（费）率</v>
      </c>
      <c r="F48" s="2330">
        <f>IF(H48="情况1","免征",'数据-取费表'!B41)</f>
        <v>0</v>
      </c>
      <c r="G48" s="2331" t="s">
        <v>1339</v>
      </c>
      <c r="H48" s="2332"/>
      <c r="I48" s="1665"/>
      <c r="J48" s="2305">
        <v>3</v>
      </c>
      <c r="K48" s="3416" t="s">
        <v>1340</v>
      </c>
      <c r="L48" s="3416"/>
      <c r="M48" s="3438" t="e">
        <f ca="1">H101</f>
        <v>#REF!</v>
      </c>
      <c r="N48" s="3438"/>
      <c r="O48" s="3438"/>
    </row>
    <row r="49" spans="1:35" ht="25.5" customHeight="1">
      <c r="A49" s="2149" t="s">
        <v>1341</v>
      </c>
      <c r="B49" s="3352" t="s">
        <v>1342</v>
      </c>
      <c r="C49" s="3352"/>
      <c r="D49" s="1475">
        <v>0</v>
      </c>
      <c r="E49" s="316" t="s">
        <v>1343</v>
      </c>
      <c r="F49" s="2230" t="s">
        <v>28</v>
      </c>
      <c r="G49" s="3422"/>
      <c r="H49" s="2131" t="s">
        <v>2131</v>
      </c>
      <c r="I49" s="2132"/>
      <c r="J49" s="2305">
        <v>4</v>
      </c>
      <c r="K49" s="3416" t="str">
        <f>IF(项目基本情况!E8="房地产抵押价值","房地产抵押价值","抵押担保权已注销时的房地产抵押价值")</f>
        <v>房地产抵押价值</v>
      </c>
      <c r="L49" s="3416"/>
      <c r="M49" s="3438" t="str">
        <f ca="1">IF(项目基本情况!E8="房地产抵押价值",H107,H109)</f>
        <v>——</v>
      </c>
      <c r="N49" s="3438"/>
      <c r="O49" s="3438"/>
    </row>
    <row r="50" spans="1:35" ht="25.5" customHeight="1">
      <c r="A50" s="2333"/>
      <c r="B50" s="3352" t="s">
        <v>1344</v>
      </c>
      <c r="C50" s="3352"/>
      <c r="D50" s="2186"/>
      <c r="E50" s="323"/>
      <c r="F50" s="2230"/>
      <c r="G50" s="3423"/>
      <c r="H50" s="2133" t="s">
        <v>2132</v>
      </c>
      <c r="I50" s="2132"/>
      <c r="J50" s="3435" t="s">
        <v>1345</v>
      </c>
      <c r="K50" s="3435"/>
      <c r="L50" s="3435"/>
      <c r="M50" s="3435"/>
      <c r="N50" s="3435"/>
      <c r="O50" s="3435"/>
    </row>
    <row r="51" spans="1:35" ht="20.45" customHeight="1">
      <c r="A51" s="2334"/>
      <c r="B51" s="3352" t="s">
        <v>1346</v>
      </c>
      <c r="C51" s="3352"/>
      <c r="D51" s="1021"/>
      <c r="E51" s="319"/>
      <c r="F51" s="2230"/>
      <c r="G51" s="3424"/>
      <c r="H51" s="2133" t="s">
        <v>2133</v>
      </c>
      <c r="I51" s="2132"/>
      <c r="J51" s="2306" t="s">
        <v>1347</v>
      </c>
      <c r="K51" s="3416" t="s">
        <v>1348</v>
      </c>
      <c r="L51" s="3416"/>
      <c r="M51" s="2306" t="s">
        <v>1349</v>
      </c>
      <c r="N51" s="2306" t="s">
        <v>1350</v>
      </c>
      <c r="O51" s="2306" t="s">
        <v>1351</v>
      </c>
    </row>
    <row r="52" spans="1:35" ht="24" customHeight="1">
      <c r="A52" s="2150" t="s">
        <v>1352</v>
      </c>
      <c r="B52" s="3352" t="s">
        <v>1353</v>
      </c>
      <c r="C52" s="3352"/>
      <c r="D52" s="1021" t="e">
        <f ca="1">ROUND(D45*'数据-取费表'!B41/(1+'数据-取费表'!C42),0)</f>
        <v>#REF!</v>
      </c>
      <c r="E52" s="1253" t="s">
        <v>1354</v>
      </c>
      <c r="F52" s="2335">
        <f>'数据-取费表'!B41</f>
        <v>0</v>
      </c>
      <c r="G52" s="2336"/>
      <c r="H52" s="2326"/>
      <c r="I52" s="1666"/>
      <c r="J52" s="2305">
        <v>1</v>
      </c>
      <c r="K52" s="3417" t="s">
        <v>1355</v>
      </c>
      <c r="L52" s="3417"/>
      <c r="M52" s="2307" t="b">
        <f>D48</f>
        <v>0</v>
      </c>
      <c r="N52" s="2305" t="str">
        <f>E48</f>
        <v>销售额×税（费）率</v>
      </c>
      <c r="O52" s="2308">
        <f>F48</f>
        <v>0</v>
      </c>
    </row>
    <row r="53" spans="1:35" ht="12" customHeight="1">
      <c r="A53" s="2150" t="s">
        <v>1356</v>
      </c>
      <c r="B53" s="3378" t="s">
        <v>2284</v>
      </c>
      <c r="C53" s="3379"/>
      <c r="D53" s="1021" t="e">
        <f ca="1">ROUND(D45*'数据-取费表'!B41/(1+'数据-取费表'!C42),0)</f>
        <v>#REF!</v>
      </c>
      <c r="E53" s="1253" t="s">
        <v>1354</v>
      </c>
      <c r="F53" s="2335">
        <f>'数据-取费表'!B41</f>
        <v>0</v>
      </c>
      <c r="G53" s="2336"/>
      <c r="H53" s="2326"/>
      <c r="I53" s="1666"/>
      <c r="J53" s="2305">
        <v>2</v>
      </c>
      <c r="K53" s="3417" t="s">
        <v>1357</v>
      </c>
      <c r="L53" s="3417"/>
      <c r="M53" s="2307" t="e">
        <f t="shared" ref="M53:O54" ca="1" si="0">D55</f>
        <v>#REF!</v>
      </c>
      <c r="N53" s="2305" t="str">
        <f t="shared" si="0"/>
        <v>销售额×税（费）率</v>
      </c>
      <c r="O53" s="2308" t="str">
        <f t="shared" si="0"/>
        <v>免征</v>
      </c>
    </row>
    <row r="54" spans="1:35" ht="12" customHeight="1">
      <c r="A54" s="2150" t="s">
        <v>1358</v>
      </c>
      <c r="B54" s="3378" t="s">
        <v>2285</v>
      </c>
      <c r="C54" s="3379"/>
      <c r="D54" s="1021" t="e">
        <f ca="1">C68</f>
        <v>#REF!</v>
      </c>
      <c r="E54" s="319" t="s">
        <v>1359</v>
      </c>
      <c r="F54" s="2335">
        <f>'数据-取费表'!B41</f>
        <v>0</v>
      </c>
      <c r="G54" s="2336"/>
      <c r="H54" s="2337"/>
      <c r="I54" s="1666"/>
      <c r="J54" s="2305">
        <v>3</v>
      </c>
      <c r="K54" s="3417" t="s">
        <v>1360</v>
      </c>
      <c r="L54" s="3417"/>
      <c r="M54" s="2307" t="e">
        <f t="shared" ca="1" si="0"/>
        <v>#REF!</v>
      </c>
      <c r="N54" s="2305" t="str">
        <f t="shared" si="0"/>
        <v>增值额×税（费）率</v>
      </c>
      <c r="O54" s="2309" t="str">
        <f t="shared" si="0"/>
        <v>免征</v>
      </c>
    </row>
    <row r="55" spans="1:35" ht="24" customHeight="1">
      <c r="A55" s="3367" t="s">
        <v>1361</v>
      </c>
      <c r="B55" s="3368"/>
      <c r="C55" s="3368"/>
      <c r="D55" s="12" t="e">
        <f ca="1">IF(H55="个人住宅",0,ROUND(D45*I55,0))</f>
        <v>#REF!</v>
      </c>
      <c r="E55" s="1253" t="s">
        <v>1362</v>
      </c>
      <c r="F55" s="2335" t="str">
        <f>IF(H55="正常",I55,"免征")</f>
        <v>免征</v>
      </c>
      <c r="G55" s="2336"/>
      <c r="H55" s="2332"/>
      <c r="I55" s="157">
        <f>'数据-取费表'!B49</f>
        <v>0</v>
      </c>
      <c r="J55" s="2305">
        <f>IF(H59="非个人房产","",4)</f>
        <v>4</v>
      </c>
      <c r="K55" s="3417" t="str">
        <f>IF(H59="非个人房产","——","个人所得税")</f>
        <v>个人所得税</v>
      </c>
      <c r="L55" s="3417"/>
      <c r="M55" s="2310" t="e">
        <f ca="1">D59</f>
        <v>#REF!</v>
      </c>
      <c r="N55" s="1880" t="str">
        <f>E59</f>
        <v>差额计税</v>
      </c>
      <c r="O55" s="2311">
        <f>F59</f>
        <v>0.01</v>
      </c>
    </row>
    <row r="56" spans="1:35" ht="24.75">
      <c r="A56" s="3367" t="s">
        <v>1363</v>
      </c>
      <c r="B56" s="3368"/>
      <c r="C56" s="3368"/>
      <c r="D56" s="12" t="e">
        <f ca="1">IF(H56="个人住宅",D57,D58)</f>
        <v>#REF!</v>
      </c>
      <c r="E56" s="1253" t="s">
        <v>1364</v>
      </c>
      <c r="F56" s="2335" t="str">
        <f>IF(H56="正常",F58,"免征")</f>
        <v>免征</v>
      </c>
      <c r="G56" s="2338" t="s">
        <v>1365</v>
      </c>
      <c r="H56" s="2339"/>
      <c r="I56" s="1667"/>
      <c r="J56" s="2305" t="str">
        <f>IF(项目基本情况!K6="上海银行",IF(J55="",4,J55+1),"")</f>
        <v/>
      </c>
      <c r="K56" s="3440" t="str">
        <f>IF(项目基本情况!K6="上海银行","其他处置费用","")</f>
        <v/>
      </c>
      <c r="L56" s="3441"/>
      <c r="M56" s="2307" t="str">
        <f>IF(项目基本情况!K6="上海银行",M69,"")</f>
        <v/>
      </c>
      <c r="N56" s="3440" t="str">
        <f>IF(项目基本情况!K6="上海银行","包含处置中涉及的律师、诉讼、拍卖、评估等费用","")</f>
        <v/>
      </c>
      <c r="O56" s="3443"/>
    </row>
    <row r="57" spans="1:35" ht="12.75">
      <c r="A57" s="2150" t="s">
        <v>1341</v>
      </c>
      <c r="B57" s="3378" t="s">
        <v>1366</v>
      </c>
      <c r="C57" s="3379"/>
      <c r="D57" s="1475">
        <v>0</v>
      </c>
      <c r="E57" s="316" t="s">
        <v>1343</v>
      </c>
      <c r="F57" s="294"/>
      <c r="G57" s="2336"/>
      <c r="H57" s="2340"/>
      <c r="I57" s="1667"/>
      <c r="J57" s="3417">
        <f>IF(AND(J55="",J56=""),4,IF(项目基本情况!K6="上海银行",结果表!J56+1,结果表!J55+1))</f>
        <v>5</v>
      </c>
      <c r="K57" s="3417" t="s">
        <v>1367</v>
      </c>
      <c r="L57" s="2312" t="s">
        <v>1368</v>
      </c>
      <c r="M57" s="2313"/>
      <c r="N57" s="2314">
        <f ca="1">SUMIF(M52:M56,"&lt;9e307")</f>
        <v>0</v>
      </c>
      <c r="O57" s="2315"/>
      <c r="P57" s="2460" t="e">
        <f ca="1">N57/M49</f>
        <v>#VALUE!</v>
      </c>
    </row>
    <row r="58" spans="1:35" ht="24.75">
      <c r="A58" s="2150" t="s">
        <v>1352</v>
      </c>
      <c r="B58" s="3378" t="s">
        <v>1369</v>
      </c>
      <c r="C58" s="3352"/>
      <c r="D58" s="12" t="e">
        <f ca="1">IF(H58="转让取得",C81,C97)</f>
        <v>#REF!</v>
      </c>
      <c r="E58" s="1253" t="s">
        <v>1364</v>
      </c>
      <c r="F58" s="294" t="s">
        <v>28</v>
      </c>
      <c r="G58" s="2336"/>
      <c r="H58" s="2339"/>
      <c r="I58" s="1667"/>
      <c r="J58" s="3417"/>
      <c r="K58" s="3417"/>
      <c r="L58" s="2312" t="s">
        <v>1370</v>
      </c>
      <c r="M58" s="2316"/>
      <c r="N58" s="2317" t="str">
        <f ca="1">NUMBERSTRING(INT(N57*10000),2)&amp;"元整"</f>
        <v>零元整</v>
      </c>
      <c r="O58" s="2318"/>
    </row>
    <row r="59" spans="1:35" ht="24.75" thickBot="1">
      <c r="A59" s="3420" t="s">
        <v>1371</v>
      </c>
      <c r="B59" s="3421"/>
      <c r="C59" s="3421"/>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2134</v>
      </c>
      <c r="J59" s="3418">
        <f>J57+1</f>
        <v>6</v>
      </c>
      <c r="K59" s="3417" t="s">
        <v>1372</v>
      </c>
      <c r="L59" s="2305" t="s">
        <v>1368</v>
      </c>
      <c r="M59" s="2319"/>
      <c r="N59" s="2320" t="e">
        <f ca="1">M49-N57</f>
        <v>#VALUE!</v>
      </c>
      <c r="O59" s="2321"/>
    </row>
    <row r="60" spans="1:35" ht="12" customHeight="1">
      <c r="A60" s="1668"/>
      <c r="B60" s="642"/>
      <c r="C60" s="642"/>
      <c r="D60" s="642"/>
      <c r="E60" s="1463"/>
      <c r="F60" s="1667"/>
      <c r="G60" s="1667"/>
      <c r="H60" s="151"/>
      <c r="I60" s="121"/>
      <c r="J60" s="3419"/>
      <c r="K60" s="3417"/>
      <c r="L60" s="2312" t="s">
        <v>1370</v>
      </c>
      <c r="M60" s="2316"/>
      <c r="N60" s="2317" t="e">
        <f ca="1">NUMBERSTRING(INT(N59*10000),2)&amp;"元整"</f>
        <v>#VALUE!</v>
      </c>
      <c r="O60" s="2318"/>
    </row>
    <row r="61" spans="1:35" ht="13.5" thickBot="1">
      <c r="A61" s="3365" t="s">
        <v>1373</v>
      </c>
      <c r="B61" s="3365"/>
      <c r="C61" s="3365"/>
      <c r="D61" s="3365"/>
      <c r="E61" s="3365"/>
      <c r="F61" s="1667"/>
      <c r="G61" s="1667"/>
      <c r="H61" s="151"/>
      <c r="I61" s="121"/>
      <c r="J61" s="2305">
        <f>J59+1</f>
        <v>7</v>
      </c>
      <c r="K61" s="3417" t="s">
        <v>1374</v>
      </c>
      <c r="L61" s="3417"/>
      <c r="M61" s="2322"/>
      <c r="N61" s="2323" t="e">
        <f ca="1">ROUND(N59*10000/'数据-汇总表'!E3,0)</f>
        <v>#VALUE!</v>
      </c>
      <c r="O61" s="2324"/>
    </row>
    <row r="62" spans="1:35" ht="12.75">
      <c r="A62" s="3383" t="s">
        <v>1375</v>
      </c>
      <c r="B62" s="3384"/>
      <c r="C62" s="1862"/>
      <c r="D62" s="1862" t="s">
        <v>1376</v>
      </c>
      <c r="E62" s="158" t="s">
        <v>1377</v>
      </c>
      <c r="F62" s="1667"/>
      <c r="G62" s="1667"/>
      <c r="H62" s="151"/>
      <c r="I62" s="121"/>
    </row>
    <row r="63" spans="1:35" ht="12.75">
      <c r="A63" s="165" t="s">
        <v>330</v>
      </c>
      <c r="B63" s="159" t="s">
        <v>1378</v>
      </c>
      <c r="C63" s="2345" t="e">
        <f ca="1">ROUND((C64+C65)/(1+'数据-取费表'!C42),0)</f>
        <v>#REF!</v>
      </c>
      <c r="D63" s="159"/>
      <c r="E63" s="160"/>
      <c r="F63" s="1667"/>
      <c r="G63" s="1667"/>
      <c r="H63" s="151"/>
      <c r="I63" s="121"/>
      <c r="J63" s="3442" t="s">
        <v>1379</v>
      </c>
      <c r="K63" s="1242" t="s">
        <v>1380</v>
      </c>
      <c r="L63" s="1242" t="e">
        <f ca="1">IF(M49&gt;10000,M49*0.5%,IF(AND(M49&gt;1000,M49&lt;=10000),M49*1%,IF(AND(M49&gt;100,M49&lt;=1000),M49*3%,IF(AND(M49&gt;10,M49&lt;=100),M49*5%,M49*8%))))</f>
        <v>#VALUE!</v>
      </c>
      <c r="M63" s="294" t="e">
        <f ca="1">ROUND(L63,1)</f>
        <v>#VALUE!</v>
      </c>
      <c r="N63" s="2325"/>
      <c r="Z63" s="1620"/>
      <c r="AI63" s="1558"/>
    </row>
    <row r="64" spans="1:35" ht="14.25" customHeight="1">
      <c r="A64" s="161" t="s">
        <v>325</v>
      </c>
      <c r="B64" s="162" t="s">
        <v>1381</v>
      </c>
      <c r="C64" s="2346" t="e">
        <f ca="1">D45</f>
        <v>#REF!</v>
      </c>
      <c r="D64" s="162" t="s">
        <v>26</v>
      </c>
      <c r="E64" s="164"/>
      <c r="F64" s="1667"/>
      <c r="G64" s="1667"/>
      <c r="H64" s="151"/>
      <c r="I64" s="121"/>
      <c r="J64" s="3442"/>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6" t="s">
        <v>1383</v>
      </c>
      <c r="Z64" s="1620"/>
      <c r="AI64" s="1558"/>
    </row>
    <row r="65" spans="1:35" ht="14.25" customHeight="1">
      <c r="A65" s="161" t="s">
        <v>326</v>
      </c>
      <c r="B65" s="162" t="s">
        <v>1384</v>
      </c>
      <c r="C65" s="2347"/>
      <c r="D65" s="162"/>
      <c r="E65" s="164"/>
      <c r="F65" s="1667"/>
      <c r="G65" s="1667"/>
      <c r="H65" s="151"/>
      <c r="I65" s="121"/>
      <c r="J65" s="3442"/>
      <c r="K65" s="1242" t="s">
        <v>1385</v>
      </c>
      <c r="L65" s="1242" t="e">
        <f ca="1">IF(M49&gt;1000,M49*0.1%,IF(AND(M49&gt;500,M49&lt;=1000),M49*0.5%,IF(AND(M49&gt;50,M49&lt;=500),M49*1%,IF(AND(M49&gt;1,M49&lt;=50),M49*1.5%))))</f>
        <v>#VALUE!</v>
      </c>
      <c r="M65" s="294" t="e">
        <f t="shared" ca="1" si="1"/>
        <v>#VALUE!</v>
      </c>
      <c r="N65" s="2326" t="s">
        <v>1383</v>
      </c>
      <c r="Z65" s="1620"/>
      <c r="AI65" s="1558"/>
    </row>
    <row r="66" spans="1:35" ht="14.25" customHeight="1">
      <c r="A66" s="165" t="s">
        <v>327</v>
      </c>
      <c r="B66" s="166" t="s">
        <v>1386</v>
      </c>
      <c r="C66" s="2348"/>
      <c r="D66" s="166" t="s">
        <v>26</v>
      </c>
      <c r="E66" s="1248" t="s">
        <v>671</v>
      </c>
      <c r="F66" s="1667"/>
      <c r="G66" s="1667"/>
      <c r="H66" s="151"/>
      <c r="I66" s="121"/>
      <c r="J66" s="3442"/>
      <c r="K66" s="1242" t="s">
        <v>1387</v>
      </c>
      <c r="L66" s="1242" t="e">
        <f ca="1">M49*0.5%</f>
        <v>#VALUE!</v>
      </c>
      <c r="M66" s="294" t="e">
        <f ca="1">IF(L66&gt;0.5,0.5,ROUND(L66,0))</f>
        <v>#VALUE!</v>
      </c>
      <c r="N66" s="2326" t="s">
        <v>1388</v>
      </c>
      <c r="Z66" s="1620"/>
      <c r="AI66" s="1558"/>
    </row>
    <row r="67" spans="1:35" ht="14.25" customHeight="1">
      <c r="A67" s="165" t="s">
        <v>328</v>
      </c>
      <c r="B67" s="166" t="s">
        <v>1389</v>
      </c>
      <c r="C67" s="2349" t="e">
        <f ca="1">C63-C66</f>
        <v>#REF!</v>
      </c>
      <c r="D67" s="162" t="s">
        <v>26</v>
      </c>
      <c r="E67" s="164"/>
      <c r="F67" s="1667"/>
      <c r="G67" s="1667"/>
      <c r="H67" s="151"/>
      <c r="I67" s="121"/>
      <c r="J67" s="3442"/>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5"/>
      <c r="Z67" s="1620"/>
      <c r="AI67" s="1558"/>
    </row>
    <row r="68" spans="1:35" ht="14.25" customHeight="1" thickBot="1">
      <c r="A68" s="168" t="s">
        <v>329</v>
      </c>
      <c r="B68" s="169" t="s">
        <v>1391</v>
      </c>
      <c r="C68" s="2350" t="e">
        <f ca="1">IF(C67&lt;=0,0,ROUND(C67*D68,0))</f>
        <v>#REF!</v>
      </c>
      <c r="D68" s="2351">
        <f>'数据-取费表'!B41</f>
        <v>0</v>
      </c>
      <c r="E68" s="170"/>
      <c r="F68" s="1667"/>
      <c r="G68" s="1667"/>
      <c r="H68" s="151"/>
      <c r="I68" s="121"/>
      <c r="J68" s="3442"/>
      <c r="K68" s="1242" t="s">
        <v>1392</v>
      </c>
      <c r="L68" s="1242" t="e">
        <f ca="1">IF(M49&gt;10000,M49*0.5%,IF(AND(M49&gt;5000,M49&lt;=10000),M49*1%,IF(AND(M49&gt;1000,M49&lt;=5000),M49*2%,IF(AND(M49&gt;200,M49&lt;=1000),M49*3%,M49*5%))))</f>
        <v>#VALUE!</v>
      </c>
      <c r="M68" s="294" t="e">
        <f ca="1">ROUND(L68,1)</f>
        <v>#VALUE!</v>
      </c>
      <c r="N68" s="2325"/>
      <c r="Z68" s="1620"/>
      <c r="AI68" s="1558"/>
    </row>
    <row r="69" spans="1:35" ht="16.5" customHeight="1">
      <c r="A69" s="1669"/>
      <c r="B69" s="1670"/>
      <c r="C69" s="1671"/>
      <c r="D69" s="1672"/>
      <c r="E69" s="1673"/>
      <c r="F69" s="1463"/>
      <c r="G69" s="1463"/>
      <c r="H69" s="1464"/>
      <c r="I69" s="642"/>
      <c r="J69" s="3442"/>
      <c r="K69" s="1242" t="s">
        <v>1393</v>
      </c>
      <c r="L69" s="1242"/>
      <c r="M69" s="294" t="e">
        <f ca="1">ROUND(SUM(M63:M68),0)</f>
        <v>#VALUE!</v>
      </c>
      <c r="N69" s="2327" t="e">
        <f ca="1">M69/M49</f>
        <v>#VALUE!</v>
      </c>
      <c r="Z69" s="1620"/>
      <c r="AI69" s="1558"/>
    </row>
    <row r="70" spans="1:35" s="638" customFormat="1" ht="15" thickBot="1">
      <c r="A70" s="3404" t="s">
        <v>1394</v>
      </c>
      <c r="B70" s="3405"/>
      <c r="C70" s="3405"/>
      <c r="D70" s="3405"/>
      <c r="E70" s="3405"/>
      <c r="F70" s="3405"/>
      <c r="G70" s="3405"/>
      <c r="H70" s="3405"/>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38" customFormat="1" ht="14.25">
      <c r="A71" s="3383" t="s">
        <v>1375</v>
      </c>
      <c r="B71" s="3384"/>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38" customFormat="1" ht="14.25">
      <c r="A72" s="165" t="s">
        <v>330</v>
      </c>
      <c r="B72" s="166" t="s">
        <v>1395</v>
      </c>
      <c r="C72" s="2349"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38" customFormat="1" ht="14.25">
      <c r="A73" s="165" t="s">
        <v>327</v>
      </c>
      <c r="B73" s="155" t="s">
        <v>1396</v>
      </c>
      <c r="C73" s="2349"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38"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38"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38" customFormat="1" ht="24.75" customHeight="1">
      <c r="A76" s="161" t="s">
        <v>332</v>
      </c>
      <c r="B76" s="177" t="s">
        <v>1401</v>
      </c>
      <c r="C76" s="162">
        <f>IF(F75="购房发票",ROUND(C75*H75*D76,0),0)</f>
        <v>0</v>
      </c>
      <c r="D76" s="2355">
        <v>0.05</v>
      </c>
      <c r="E76" s="3378" t="s">
        <v>1402</v>
      </c>
      <c r="F76" s="3352"/>
      <c r="G76" s="3352"/>
      <c r="H76" s="340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38" customFormat="1" ht="24.75" customHeight="1">
      <c r="A77" s="161" t="s">
        <v>333</v>
      </c>
      <c r="B77" s="162" t="s">
        <v>1403</v>
      </c>
      <c r="C77" s="162">
        <f>ROUND(IF(G77="个人住宅",0,IF(G77="2016年5月1日前购买",C75*D77,C75*D77/(1+'数据-取费表'!C42))),0)</f>
        <v>0</v>
      </c>
      <c r="D77" s="2356">
        <f>'数据-取费表'!B48+'数据-取费表'!B49</f>
        <v>0</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38" customFormat="1" ht="24.75" customHeight="1">
      <c r="A78" s="161" t="s">
        <v>326</v>
      </c>
      <c r="B78" s="162" t="s">
        <v>1405</v>
      </c>
      <c r="C78" s="2357" t="e">
        <f ca="1">ROUND(D45*D78/(1+'数据-取费表'!C42),0)</f>
        <v>#REF!</v>
      </c>
      <c r="D78" s="2358">
        <f>'数据-取费表'!B43</f>
        <v>0</v>
      </c>
      <c r="E78" s="3362" t="s">
        <v>1406</v>
      </c>
      <c r="F78" s="3363"/>
      <c r="G78" s="3363"/>
      <c r="H78" s="337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38" customFormat="1" ht="14.25">
      <c r="A79" s="165" t="s">
        <v>334</v>
      </c>
      <c r="B79" s="166" t="s">
        <v>1407</v>
      </c>
      <c r="C79" s="2349"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38"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38"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38" customFormat="1" ht="7.5" customHeight="1">
      <c r="A82" s="4"/>
      <c r="B82" s="643"/>
      <c r="C82" s="4"/>
      <c r="D82" s="4"/>
      <c r="E82" s="643"/>
      <c r="F82" s="643"/>
      <c r="G82" s="643"/>
      <c r="H82" s="644"/>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38" customFormat="1" ht="15" thickBot="1">
      <c r="A83" s="3404" t="s">
        <v>1410</v>
      </c>
      <c r="B83" s="3405"/>
      <c r="C83" s="3405"/>
      <c r="D83" s="3405"/>
      <c r="E83" s="3405"/>
      <c r="F83" s="3405"/>
      <c r="G83" s="3405"/>
      <c r="H83" s="340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38" customFormat="1" ht="14.25">
      <c r="A84" s="3383" t="s">
        <v>1375</v>
      </c>
      <c r="B84" s="3384"/>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38" customFormat="1" ht="14.25">
      <c r="A85" s="165" t="s">
        <v>330</v>
      </c>
      <c r="B85" s="166" t="s">
        <v>1395</v>
      </c>
      <c r="C85" s="2349"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38" customFormat="1" ht="14.25">
      <c r="A86" s="165" t="s">
        <v>327</v>
      </c>
      <c r="B86" s="155" t="s">
        <v>1396</v>
      </c>
      <c r="C86" s="2349" t="e">
        <f ca="1">IF(H88="仅含出让金",C87+C90+C91+C92+C93+C94,C87+C91+C92+C93+C94)</f>
        <v>#REF!</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38" customFormat="1" ht="14.25">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38" customFormat="1" ht="14.25">
      <c r="A88" s="161" t="s">
        <v>331</v>
      </c>
      <c r="B88" s="162" t="s">
        <v>1412</v>
      </c>
      <c r="C88" s="2363"/>
      <c r="D88" s="2358"/>
      <c r="E88" s="185" t="s">
        <v>1413</v>
      </c>
      <c r="F88" s="2145"/>
      <c r="G88" s="186" t="s">
        <v>1414</v>
      </c>
      <c r="H88" s="1681"/>
      <c r="I88" s="1678"/>
      <c r="J88" s="2303" t="s">
        <v>2281</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38" customFormat="1" ht="14.25">
      <c r="A89" s="161" t="s">
        <v>332</v>
      </c>
      <c r="B89" s="162" t="s">
        <v>1403</v>
      </c>
      <c r="C89" s="2357">
        <f>ROUND(C88*D89,0)</f>
        <v>0</v>
      </c>
      <c r="D89" s="2358">
        <f>'数据-取费表'!B48+'数据-取费表'!B49</f>
        <v>0</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38" customFormat="1" ht="14.25">
      <c r="A90" s="161" t="s">
        <v>326</v>
      </c>
      <c r="B90" s="162" t="s">
        <v>1416</v>
      </c>
      <c r="C90" s="2363"/>
      <c r="D90" s="2358"/>
      <c r="E90" s="185" t="str">
        <f>IF(H88="-","土地取得成本中已包含该笔费用"," ")</f>
        <v xml:space="preserve"> </v>
      </c>
      <c r="F90" s="2145"/>
      <c r="G90" s="3444" t="s">
        <v>2126</v>
      </c>
      <c r="H90" s="3445"/>
      <c r="I90" s="1678"/>
      <c r="J90" s="2303" t="s">
        <v>2282</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38" customFormat="1" ht="27.75" customHeight="1">
      <c r="A91" s="161" t="s">
        <v>1417</v>
      </c>
      <c r="B91" s="162" t="s">
        <v>1418</v>
      </c>
      <c r="C91" s="2357">
        <f>IF(H91="——",成本法!C33,I91)</f>
        <v>0</v>
      </c>
      <c r="D91" s="2358"/>
      <c r="E91" s="3362" t="s">
        <v>1419</v>
      </c>
      <c r="F91" s="3363"/>
      <c r="G91" s="336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38" customFormat="1" ht="25.5" customHeight="1">
      <c r="A92" s="161" t="s">
        <v>1420</v>
      </c>
      <c r="B92" s="162" t="s">
        <v>1421</v>
      </c>
      <c r="C92" s="2357">
        <f>ROUND((C87+C90+C91)*D92,0)</f>
        <v>0</v>
      </c>
      <c r="D92" s="2364"/>
      <c r="E92" s="3362" t="s">
        <v>1422</v>
      </c>
      <c r="F92" s="3363"/>
      <c r="G92" s="3363"/>
      <c r="H92" s="3372"/>
      <c r="I92" s="1678"/>
      <c r="J92" s="2304" t="s">
        <v>2283</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38" customFormat="1" ht="25.5" customHeight="1">
      <c r="A93" s="161" t="s">
        <v>1423</v>
      </c>
      <c r="B93" s="162" t="s">
        <v>1405</v>
      </c>
      <c r="C93" s="2357" t="e">
        <f ca="1">ROUND(D45*D93/(1+'数据-取费表'!C42),0)</f>
        <v>#REF!</v>
      </c>
      <c r="D93" s="2358">
        <f>'数据-取费表'!B43</f>
        <v>0</v>
      </c>
      <c r="E93" s="3362" t="s">
        <v>1406</v>
      </c>
      <c r="F93" s="3363"/>
      <c r="G93" s="3363"/>
      <c r="H93" s="337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38" customFormat="1" ht="36.75" customHeight="1">
      <c r="A94" s="161" t="s">
        <v>1424</v>
      </c>
      <c r="B94" s="162" t="s">
        <v>1425</v>
      </c>
      <c r="C94" s="2363">
        <f>ROUND((C87+C90+C91)*D94,0)</f>
        <v>0</v>
      </c>
      <c r="D94" s="2358">
        <v>0.2</v>
      </c>
      <c r="E94" s="3373" t="s">
        <v>1426</v>
      </c>
      <c r="F94" s="3374"/>
      <c r="G94" s="3374"/>
      <c r="H94" s="337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38" customFormat="1" ht="14.25">
      <c r="A95" s="165" t="s">
        <v>334</v>
      </c>
      <c r="B95" s="166" t="s">
        <v>1407</v>
      </c>
      <c r="C95" s="2349"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38"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38"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2"/>
      <c r="C98" s="642"/>
      <c r="D98" s="642"/>
      <c r="E98" s="1463"/>
      <c r="F98" s="1463"/>
      <c r="G98" s="1463"/>
      <c r="H98" s="1464"/>
      <c r="I98" s="121"/>
    </row>
    <row r="99" spans="1:35" ht="21.75" customHeight="1" thickBot="1">
      <c r="A99" s="1461" t="s">
        <v>1427</v>
      </c>
      <c r="B99" s="642"/>
      <c r="C99" s="642"/>
      <c r="D99" s="642"/>
      <c r="E99" s="1463"/>
      <c r="F99" s="1463"/>
      <c r="G99" s="1463"/>
      <c r="H99" s="1464"/>
      <c r="I99" s="121"/>
    </row>
    <row r="100" spans="1:35" ht="18.75" customHeight="1">
      <c r="A100" s="3346" t="s">
        <v>1428</v>
      </c>
      <c r="B100" s="3347"/>
      <c r="C100" s="3347"/>
      <c r="D100" s="3364"/>
      <c r="E100" s="3347" t="s">
        <v>1429</v>
      </c>
      <c r="F100" s="3347"/>
      <c r="G100" s="3347"/>
      <c r="H100" s="3364"/>
      <c r="I100" s="121"/>
    </row>
    <row r="101" spans="1:35" ht="18.75" customHeight="1">
      <c r="A101" s="3425" t="s">
        <v>1430</v>
      </c>
      <c r="B101" s="3426"/>
      <c r="C101" s="2366">
        <f>C4</f>
        <v>0</v>
      </c>
      <c r="D101" s="2367">
        <f>D4</f>
        <v>0</v>
      </c>
      <c r="E101" s="3439" t="s">
        <v>1431</v>
      </c>
      <c r="F101" s="3396"/>
      <c r="G101" s="1684" t="s">
        <v>1432</v>
      </c>
      <c r="H101" s="2376" t="e">
        <f ca="1">H118</f>
        <v>#REF!</v>
      </c>
      <c r="I101" s="121"/>
    </row>
    <row r="102" spans="1:35" ht="18.75" customHeight="1">
      <c r="A102" s="3398" t="s">
        <v>1433</v>
      </c>
      <c r="B102" s="2365" t="s">
        <v>1432</v>
      </c>
      <c r="C102" s="2366" t="e">
        <f ca="1">IF(D32="楼面单价",ROUND(C19,0),C19)</f>
        <v>#REF!</v>
      </c>
      <c r="D102" s="2367" t="e">
        <f ca="1">IF(D32="楼面单价",ROUND(D19,0),D19)</f>
        <v>#REF!</v>
      </c>
      <c r="E102" s="3439"/>
      <c r="F102" s="3396"/>
      <c r="G102" s="1684" t="s">
        <v>1434</v>
      </c>
      <c r="H102" s="2336" t="e">
        <f ca="1">I118</f>
        <v>#REF!</v>
      </c>
      <c r="I102" s="121"/>
    </row>
    <row r="103" spans="1:35" ht="42.75" customHeight="1">
      <c r="A103" s="3398"/>
      <c r="B103" s="2365" t="s">
        <v>1434</v>
      </c>
      <c r="C103" s="2368" t="e">
        <f ca="1">C20</f>
        <v>#REF!</v>
      </c>
      <c r="D103" s="2369" t="e">
        <f ca="1">D20</f>
        <v>#REF!</v>
      </c>
      <c r="E103" s="3433" t="s">
        <v>1435</v>
      </c>
      <c r="F103" s="3434"/>
      <c r="G103" s="1685" t="s">
        <v>1436</v>
      </c>
      <c r="H103" s="2376">
        <f>IF(D36="正常操作",H104+H105+H106,H105+H106)</f>
        <v>0</v>
      </c>
      <c r="I103" s="121"/>
    </row>
    <row r="104" spans="1:35" ht="18.75" customHeight="1">
      <c r="A104" s="3398" t="s">
        <v>1437</v>
      </c>
      <c r="B104" s="2370" t="s">
        <v>1432</v>
      </c>
      <c r="C104" s="2371" t="e">
        <f ca="1">H118</f>
        <v>#REF!</v>
      </c>
      <c r="D104" s="2372"/>
      <c r="E104" s="1552" t="s">
        <v>1438</v>
      </c>
      <c r="F104" s="1545"/>
      <c r="G104" s="1685" t="s">
        <v>1436</v>
      </c>
      <c r="H104" s="2377">
        <f>IF(D36="同一抵押权人同一抵押物续贷",C36&amp;"（续贷，未扣减，详见特别提示）",C36)</f>
        <v>0</v>
      </c>
      <c r="I104" s="121"/>
    </row>
    <row r="105" spans="1:35" ht="18.75" customHeight="1" thickBot="1">
      <c r="A105" s="3399"/>
      <c r="B105" s="2373" t="s">
        <v>1434</v>
      </c>
      <c r="C105" s="2374" t="e">
        <f ca="1">I118</f>
        <v>#REF!</v>
      </c>
      <c r="D105" s="2375"/>
      <c r="E105" s="1552" t="s">
        <v>1439</v>
      </c>
      <c r="F105" s="1545"/>
      <c r="G105" s="1685" t="s">
        <v>1436</v>
      </c>
      <c r="H105" s="2378">
        <f>C37</f>
        <v>0</v>
      </c>
      <c r="I105" s="121"/>
    </row>
    <row r="106" spans="1:35" ht="18.75" customHeight="1">
      <c r="A106" s="642" t="s">
        <v>1440</v>
      </c>
      <c r="B106" s="642"/>
      <c r="C106" s="642"/>
      <c r="D106" s="642"/>
      <c r="E106" s="1686" t="s">
        <v>1441</v>
      </c>
      <c r="F106" s="1545"/>
      <c r="G106" s="1685" t="s">
        <v>1436</v>
      </c>
      <c r="H106" s="2378">
        <f>C38</f>
        <v>0</v>
      </c>
      <c r="I106" s="121"/>
    </row>
    <row r="107" spans="1:35" ht="18.75" customHeight="1">
      <c r="A107" s="121"/>
      <c r="B107" s="121"/>
      <c r="C107" s="121"/>
      <c r="D107" s="121"/>
      <c r="E107" s="3395" t="str">
        <f>IF(项目基本情况!E8="已注销","——","3.房地产抵押价值")</f>
        <v>3.房地产抵押价值</v>
      </c>
      <c r="F107" s="3396"/>
      <c r="G107" s="1684" t="s">
        <v>1432</v>
      </c>
      <c r="H107" s="2376" t="e">
        <f ca="1">IF(E107="——","——",H101-H103)</f>
        <v>#REF!</v>
      </c>
      <c r="I107" s="121"/>
    </row>
    <row r="108" spans="1:35" ht="18.75" customHeight="1">
      <c r="A108" s="121"/>
      <c r="B108" s="121"/>
      <c r="C108" s="121"/>
      <c r="D108" s="121"/>
      <c r="E108" s="3395"/>
      <c r="F108" s="3396"/>
      <c r="G108" s="1684" t="s">
        <v>1434</v>
      </c>
      <c r="H108" s="2336">
        <f ca="1">IF(H107=H101,H102,ROUND(H107*10000/'数据-汇总表'!E3,0))</f>
        <v>0</v>
      </c>
      <c r="I108" s="121"/>
    </row>
    <row r="109" spans="1:35" ht="18.75" customHeight="1">
      <c r="A109" s="121"/>
      <c r="B109" s="121"/>
      <c r="C109" s="121"/>
      <c r="D109" s="121"/>
      <c r="E109" s="3395" t="str">
        <f>IF(项目基本情况!E8="已注销及未注销","4.抵押担保权已注销时的房地产抵押价值",IF(项目基本情况!E8="已注销","3.抵押担保权已注销时的房地产抵押价值","——"))</f>
        <v>——</v>
      </c>
      <c r="F109" s="3396"/>
      <c r="G109" s="1684" t="s">
        <v>1432</v>
      </c>
      <c r="H109" s="2379" t="str">
        <f>IF(E109="——","——",H101-H105-H106)</f>
        <v>——</v>
      </c>
      <c r="I109" s="121"/>
    </row>
    <row r="110" spans="1:35" ht="18.75" customHeight="1">
      <c r="A110" s="121"/>
      <c r="B110" s="121"/>
      <c r="C110" s="121"/>
      <c r="D110" s="121"/>
      <c r="E110" s="3395"/>
      <c r="F110" s="3396"/>
      <c r="G110" s="1684" t="s">
        <v>1434</v>
      </c>
      <c r="H110" s="2336" t="str">
        <f>IF(H109="——","——",ROUND(H109*10000/'数据-汇总表'!E3,0))</f>
        <v>——</v>
      </c>
      <c r="I110" s="121"/>
    </row>
    <row r="111" spans="1:35" ht="18.75" customHeight="1">
      <c r="A111" s="121"/>
      <c r="B111" s="121"/>
      <c r="C111" s="121"/>
      <c r="D111" s="121"/>
      <c r="E111" s="3427" t="str">
        <f>IF(项目基本情况!E9="抵押净值",IF(OR(项目基本情况!E8="已注销",项目基本情况!E8="房地产抵押价值"),"4.抵押净值","5.抵押净值"),"——")</f>
        <v>——</v>
      </c>
      <c r="F111" s="3397"/>
      <c r="G111" s="1684" t="s">
        <v>1432</v>
      </c>
      <c r="H111" s="2376" t="str">
        <f>IF(E111="——","——",N59)</f>
        <v>——</v>
      </c>
      <c r="I111" s="121"/>
    </row>
    <row r="112" spans="1:35" ht="18.75" customHeight="1" thickBot="1">
      <c r="A112" s="121"/>
      <c r="B112" s="121"/>
      <c r="C112" s="121"/>
      <c r="D112" s="121"/>
      <c r="E112" s="3428"/>
      <c r="F112" s="3429"/>
      <c r="G112" s="1687" t="s">
        <v>1434</v>
      </c>
      <c r="H112" s="2380" t="str">
        <f>IF(E111="——","——",N61)</f>
        <v>——</v>
      </c>
      <c r="I112" s="121"/>
    </row>
    <row r="113" spans="1:27" ht="18.75" customHeight="1">
      <c r="A113" s="121"/>
      <c r="B113" s="121"/>
      <c r="C113" s="121"/>
      <c r="D113" s="121"/>
      <c r="E113" s="3400" t="s">
        <v>1440</v>
      </c>
      <c r="F113" s="3400"/>
      <c r="G113" s="3400"/>
      <c r="H113" s="3400"/>
      <c r="I113" s="121"/>
    </row>
    <row r="114" spans="1:27" ht="3.75" customHeight="1">
      <c r="A114" s="642"/>
      <c r="B114" s="642"/>
      <c r="C114" s="642"/>
      <c r="D114" s="642"/>
      <c r="E114" s="1668"/>
      <c r="F114" s="1668"/>
      <c r="G114" s="1668"/>
      <c r="H114" s="1668"/>
      <c r="I114" s="642"/>
    </row>
    <row r="115" spans="1:27" ht="18.75" customHeight="1">
      <c r="A115" s="3410" t="s">
        <v>1442</v>
      </c>
      <c r="B115" s="3411"/>
      <c r="C115" s="3411"/>
      <c r="D115" s="3411"/>
      <c r="E115" s="3411"/>
      <c r="F115" s="3411"/>
      <c r="G115" s="3411"/>
      <c r="H115" s="3411"/>
      <c r="I115" s="3412"/>
    </row>
    <row r="116" spans="1:27" ht="27" customHeight="1">
      <c r="A116" s="3366" t="s">
        <v>1443</v>
      </c>
      <c r="B116" s="3401" t="s">
        <v>1444</v>
      </c>
      <c r="C116" s="3401" t="s">
        <v>1445</v>
      </c>
      <c r="D116" s="3414" t="s">
        <v>1446</v>
      </c>
      <c r="E116" s="3415"/>
      <c r="F116" s="3409" t="s">
        <v>1447</v>
      </c>
      <c r="G116" s="3409"/>
      <c r="H116" s="3366" t="s">
        <v>1448</v>
      </c>
      <c r="I116" s="3366"/>
    </row>
    <row r="117" spans="1:27" ht="18.75" customHeight="1">
      <c r="A117" s="3366"/>
      <c r="B117" s="3402"/>
      <c r="C117" s="3402"/>
      <c r="D117" s="2147" t="s">
        <v>1449</v>
      </c>
      <c r="E117" s="2147" t="s">
        <v>1450</v>
      </c>
      <c r="F117" s="2147" t="s">
        <v>1449</v>
      </c>
      <c r="G117" s="2147" t="s">
        <v>1451</v>
      </c>
      <c r="H117" s="2147" t="s">
        <v>1449</v>
      </c>
      <c r="I117" s="2147" t="s">
        <v>1451</v>
      </c>
    </row>
    <row r="118" spans="1:27" ht="24.75" customHeight="1">
      <c r="A118" s="2381" t="str">
        <f>项目基本情况!S2</f>
        <v>北京市房地产</v>
      </c>
      <c r="B118" s="2147">
        <f>M18</f>
        <v>0</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66" t="s">
        <v>1452</v>
      </c>
      <c r="B119" s="3366"/>
      <c r="C119" s="3366"/>
      <c r="D119" s="3406" t="e">
        <f ca="1">NUMBERSTRING(INT(D118*10000),2)&amp;"元整"</f>
        <v>#REF!</v>
      </c>
      <c r="E119" s="3408"/>
      <c r="F119" s="3406" t="e">
        <f ca="1">NUMBERSTRING(INT(F118*10000),2)&amp;"元整"</f>
        <v>#REF!</v>
      </c>
      <c r="G119" s="3408"/>
      <c r="H119" s="3406" t="e">
        <f ca="1">NUMBERSTRING(INT(H118*10000),2)&amp;"元整"</f>
        <v>#REF!</v>
      </c>
      <c r="I119" s="3408"/>
    </row>
    <row r="120" spans="1:27" ht="18.75" customHeight="1">
      <c r="A120" s="3430" t="str">
        <f>IF(项目基本情况!B9="房地产市场价值","",MID(E103,3,LEN(E103)-2))</f>
        <v/>
      </c>
      <c r="B120" s="3431"/>
      <c r="C120" s="3432"/>
      <c r="D120" s="3430">
        <f>H103</f>
        <v>0</v>
      </c>
      <c r="E120" s="3431"/>
      <c r="F120" s="3431"/>
      <c r="G120" s="3431"/>
      <c r="H120" s="3431"/>
      <c r="I120" s="3432"/>
      <c r="J120" s="1620"/>
      <c r="K120" s="1620" t="str">
        <f>IF(D120=0,"故，本次评估不存在"&amp;A120,"故，本次评估"&amp;A120&amp;"为人民币"&amp;D120&amp;"万元整。")</f>
        <v>故，本次评估不存在</v>
      </c>
      <c r="L120" s="1620"/>
      <c r="M120" s="1620"/>
      <c r="N120" s="1620"/>
      <c r="O120" s="1620"/>
      <c r="P120" s="1620"/>
      <c r="Q120" s="1620"/>
      <c r="R120" s="1620"/>
      <c r="S120" s="1620"/>
    </row>
    <row r="121" spans="1:27" ht="18.75" customHeight="1">
      <c r="A121" s="3406" t="s">
        <v>1452</v>
      </c>
      <c r="B121" s="3407"/>
      <c r="C121" s="3408"/>
      <c r="D121" s="3406" t="str">
        <f>IF(D120=0,"零元整",NUMBERSTRING(INT(D120*10000),2)&amp;"元整")</f>
        <v>零元整</v>
      </c>
      <c r="E121" s="3407"/>
      <c r="F121" s="3407"/>
      <c r="G121" s="3407"/>
      <c r="H121" s="3407"/>
      <c r="I121" s="3408"/>
      <c r="AA121" s="680"/>
    </row>
    <row r="122" spans="1:27" ht="18.75" customHeight="1">
      <c r="A122" s="3397" t="str">
        <f>IF(项目基本情况!B9="房地产市场价值","",MID(E107,3,LEN(E107)-2))</f>
        <v/>
      </c>
      <c r="B122" s="3397"/>
      <c r="C122" s="3397"/>
      <c r="D122" s="3430" t="e">
        <f ca="1">H107</f>
        <v>#REF!</v>
      </c>
      <c r="E122" s="3431"/>
      <c r="F122" s="3431"/>
      <c r="G122" s="3431"/>
      <c r="H122" s="3431"/>
      <c r="I122" s="3432"/>
      <c r="AA122" s="680"/>
    </row>
    <row r="123" spans="1:27" ht="18.75" customHeight="1">
      <c r="A123" s="3366" t="s">
        <v>1452</v>
      </c>
      <c r="B123" s="3366"/>
      <c r="C123" s="3366"/>
      <c r="D123" s="3406" t="e">
        <f ca="1">NUMBERSTRING(INT(D122*10000),2)&amp;"元整"</f>
        <v>#REF!</v>
      </c>
      <c r="E123" s="3407"/>
      <c r="F123" s="3407"/>
      <c r="G123" s="3407"/>
      <c r="H123" s="3407"/>
      <c r="I123" s="3408"/>
      <c r="AA123" s="680"/>
    </row>
    <row r="124" spans="1:27" ht="18.75" customHeight="1">
      <c r="A124" s="3397" t="str">
        <f>IF(项目基本情况!B9="房地产市场价值","",MID(E109,3,LEN(E109)-2))</f>
        <v/>
      </c>
      <c r="B124" s="3397"/>
      <c r="C124" s="3397"/>
      <c r="D124" s="3430" t="str">
        <f>H109</f>
        <v>——</v>
      </c>
      <c r="E124" s="3431"/>
      <c r="F124" s="3431"/>
      <c r="G124" s="3431"/>
      <c r="H124" s="3431"/>
      <c r="I124" s="3432"/>
      <c r="AA124" s="680"/>
    </row>
    <row r="125" spans="1:27" ht="18.75" customHeight="1">
      <c r="A125" s="3366" t="s">
        <v>1452</v>
      </c>
      <c r="B125" s="3366"/>
      <c r="C125" s="3366"/>
      <c r="D125" s="3406" t="e">
        <f>NUMBERSTRING(INT(D124*10000),2)&amp;"元整"</f>
        <v>#VALUE!</v>
      </c>
      <c r="E125" s="3407"/>
      <c r="F125" s="3407"/>
      <c r="G125" s="3407"/>
      <c r="H125" s="3407"/>
      <c r="I125" s="3408"/>
      <c r="AA125" s="680"/>
    </row>
    <row r="126" spans="1:27" ht="18.75" customHeight="1">
      <c r="A126" s="3397" t="str">
        <f>IF(项目基本情况!B9="房地产市场价值","",MID(E111,3,LEN(E111)-2))</f>
        <v/>
      </c>
      <c r="B126" s="3397"/>
      <c r="C126" s="3397"/>
      <c r="D126" s="3430" t="str">
        <f>H111</f>
        <v>——</v>
      </c>
      <c r="E126" s="3431"/>
      <c r="F126" s="3431"/>
      <c r="G126" s="3431"/>
      <c r="H126" s="3431"/>
      <c r="I126" s="3432"/>
      <c r="AA126" s="680"/>
    </row>
    <row r="127" spans="1:27" ht="18.75" customHeight="1">
      <c r="A127" s="3366" t="s">
        <v>1452</v>
      </c>
      <c r="B127" s="3366"/>
      <c r="C127" s="3366"/>
      <c r="D127" s="3406" t="e">
        <f>NUMBERSTRING(INT(D126*10000),2)&amp;"元整"</f>
        <v>#VALUE!</v>
      </c>
      <c r="E127" s="3407"/>
      <c r="F127" s="3407"/>
      <c r="G127" s="3407"/>
      <c r="H127" s="3407"/>
      <c r="I127" s="3408"/>
      <c r="AA127" s="680"/>
    </row>
    <row r="128" spans="1:27" ht="21.75" customHeight="1">
      <c r="A128" s="3413" t="s">
        <v>1453</v>
      </c>
      <c r="B128" s="3413"/>
      <c r="C128" s="3413"/>
      <c r="D128" s="3413"/>
      <c r="E128" s="3413"/>
      <c r="F128" s="3413"/>
      <c r="G128" s="3413"/>
      <c r="H128" s="3413"/>
      <c r="I128" s="3413"/>
      <c r="AA128" s="680"/>
    </row>
    <row r="129" spans="1:35" ht="21.75" customHeight="1">
      <c r="A129" s="1688" t="s">
        <v>1454</v>
      </c>
      <c r="B129" s="1689"/>
      <c r="C129" s="1690" t="s">
        <v>1455</v>
      </c>
      <c r="D129" s="1691"/>
      <c r="E129" s="1691"/>
      <c r="F129" s="1691"/>
      <c r="G129" s="1691"/>
      <c r="H129" s="1692"/>
      <c r="I129" s="1693"/>
      <c r="AA129" s="680"/>
    </row>
    <row r="130" spans="1:35" ht="21.75" customHeight="1">
      <c r="A130" s="1694">
        <v>1</v>
      </c>
      <c r="B130" s="1695"/>
      <c r="C130" s="1695"/>
      <c r="D130" s="684"/>
      <c r="E130" s="684"/>
      <c r="F130" s="684"/>
      <c r="G130" s="684"/>
      <c r="H130" s="683"/>
      <c r="I130" s="1696"/>
      <c r="AA130" s="680"/>
    </row>
    <row r="131" spans="1:35" ht="21.75" customHeight="1">
      <c r="A131" s="1694">
        <v>2</v>
      </c>
      <c r="B131" s="1695"/>
      <c r="C131" s="1695"/>
      <c r="D131" s="684"/>
      <c r="E131" s="684"/>
      <c r="F131" s="684"/>
      <c r="G131" s="684"/>
      <c r="H131" s="683"/>
      <c r="I131" s="1696"/>
      <c r="AA131" s="680"/>
    </row>
    <row r="132" spans="1:35" ht="21.75" customHeight="1">
      <c r="A132" s="1694">
        <v>3</v>
      </c>
      <c r="B132" s="1695"/>
      <c r="C132" s="1695"/>
      <c r="D132" s="684"/>
      <c r="E132" s="684"/>
      <c r="F132" s="684"/>
      <c r="G132" s="684"/>
      <c r="H132" s="683"/>
      <c r="I132" s="1696"/>
      <c r="AA132" s="680"/>
    </row>
    <row r="133" spans="1:35" ht="21.75" customHeight="1">
      <c r="A133" s="1697"/>
      <c r="B133" s="1698"/>
      <c r="C133" s="1698"/>
      <c r="D133" s="1699"/>
      <c r="E133" s="1699"/>
      <c r="F133" s="1699"/>
      <c r="G133" s="1699"/>
      <c r="H133" s="1700"/>
      <c r="I133" s="1701"/>
    </row>
    <row r="134" spans="1:35" ht="21.75" customHeight="1">
      <c r="A134" s="1695"/>
      <c r="B134" s="1695"/>
      <c r="C134" s="1695"/>
      <c r="D134" s="684"/>
      <c r="E134" s="684"/>
      <c r="F134" s="684"/>
      <c r="G134" s="684"/>
      <c r="H134" s="683"/>
      <c r="I134" s="680"/>
    </row>
    <row r="135" spans="1:35" ht="21.75" customHeight="1">
      <c r="A135" s="680"/>
      <c r="B135" s="680"/>
      <c r="C135" s="680"/>
      <c r="D135" s="680"/>
      <c r="E135" s="680"/>
      <c r="F135" s="1702" t="s">
        <v>1456</v>
      </c>
      <c r="G135" s="1703"/>
      <c r="H135" s="1703"/>
      <c r="I135" s="1704" t="s">
        <v>1457</v>
      </c>
    </row>
    <row r="136" spans="1:35" ht="21.75" customHeight="1">
      <c r="A136" s="680"/>
      <c r="B136" s="1705"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3"/>
      <c r="C138" s="1703"/>
      <c r="D138" s="1703"/>
      <c r="E138" s="1703"/>
      <c r="F138" s="1703"/>
      <c r="G138" s="1703"/>
      <c r="H138" s="1703"/>
      <c r="I138" s="1704" t="s">
        <v>1459</v>
      </c>
    </row>
    <row r="139" spans="1:35" ht="21.75" customHeight="1">
      <c r="A139" s="680"/>
      <c r="B139" s="1705" t="s">
        <v>1460</v>
      </c>
      <c r="C139" s="680"/>
      <c r="D139" s="680"/>
      <c r="E139" s="680"/>
      <c r="F139" s="680"/>
      <c r="G139" s="680"/>
      <c r="H139" s="680"/>
      <c r="I139" s="680"/>
    </row>
    <row r="140" spans="1:35" ht="21.75" customHeight="1">
      <c r="A140" s="680"/>
      <c r="B140" s="1705"/>
      <c r="C140" s="680"/>
      <c r="D140" s="680"/>
      <c r="E140" s="680"/>
      <c r="F140" s="680"/>
      <c r="G140" s="680"/>
      <c r="H140" s="680"/>
      <c r="I140" s="680"/>
    </row>
    <row r="141" spans="1:35" ht="21.75" customHeight="1">
      <c r="A141" s="680"/>
      <c r="B141" s="1703"/>
      <c r="C141" s="1703"/>
      <c r="D141" s="1703"/>
      <c r="E141" s="1703"/>
      <c r="F141" s="1703"/>
      <c r="G141" s="1703"/>
      <c r="H141" s="1703"/>
      <c r="I141" s="1704" t="s">
        <v>1459</v>
      </c>
    </row>
    <row r="142" spans="1:35" ht="21.75" customHeight="1">
      <c r="A142" s="680"/>
      <c r="B142" s="1705"/>
      <c r="C142" s="1706"/>
      <c r="D142" s="1707"/>
      <c r="E142" s="1707"/>
      <c r="F142" s="1611"/>
      <c r="G142" s="680"/>
      <c r="H142" s="680"/>
      <c r="I142" s="680"/>
    </row>
    <row r="143" spans="1:35" s="122" customFormat="1" ht="21.75" customHeight="1">
      <c r="A143" s="680"/>
      <c r="B143" s="1705"/>
      <c r="C143" s="1706"/>
      <c r="D143" s="1707"/>
      <c r="E143" s="1707"/>
      <c r="F143" s="1611"/>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2"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2"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20"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20"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20"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20"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20"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20"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20"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20"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20"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20"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20"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20"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20"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20"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20"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20"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20"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20"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20"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20"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20"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20"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20"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20"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20"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20"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20"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20"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20"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20"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20"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20"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20"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20"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20"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20"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20"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20"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20"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20"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20"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20"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20"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20"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20"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20"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20"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20"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20"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20"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20"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20"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20"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20"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20"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20"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20"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20"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20"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20"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20"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20"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20"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20"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20"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20"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20"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20"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20"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20"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20"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20"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20"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20"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20"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20"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20"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20"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20"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20"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20"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20"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20"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20"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20"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20"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20"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20"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20"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20"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20"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20"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20"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20"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20"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20"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20"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20"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20"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20"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20"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20"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20"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20"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zoomScaleSheetLayoutView="70" workbookViewId="0">
      <selection activeCell="Q45" sqref="Q4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6</v>
      </c>
    </row>
    <row r="2" spans="1:9" s="192" customFormat="1" ht="18" customHeight="1">
      <c r="A2" s="193" t="s">
        <v>1462</v>
      </c>
      <c r="B2" s="194" t="e">
        <f ca="1">IF(D2="——",C52,C52-E2)</f>
        <v>#VALUE!</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28" t="s">
        <v>1472</v>
      </c>
      <c r="B6" s="207" t="s">
        <v>1473</v>
      </c>
      <c r="C6" s="208"/>
      <c r="D6" s="209"/>
      <c r="E6" s="210"/>
      <c r="F6" s="210"/>
      <c r="G6" s="211"/>
    </row>
    <row r="7" spans="1:9" s="206" customFormat="1" ht="13.5" customHeight="1">
      <c r="A7" s="728" t="s">
        <v>1474</v>
      </c>
      <c r="B7" s="207" t="s">
        <v>1475</v>
      </c>
      <c r="C7" s="212">
        <f>ROUND(C6*F7,0)</f>
        <v>0</v>
      </c>
      <c r="D7" s="212"/>
      <c r="E7" s="210"/>
      <c r="F7" s="213">
        <f>IF(项目基本情况!B8="出让",0,'数据-取费表'!B48+'数据-取费表'!B49)</f>
        <v>0</v>
      </c>
      <c r="G7" s="211"/>
    </row>
    <row r="8" spans="1:9" s="215" customFormat="1">
      <c r="A8" s="728" t="s">
        <v>1476</v>
      </c>
      <c r="B8" s="207" t="s">
        <v>1477</v>
      </c>
      <c r="C8" s="212">
        <f>IF(G8="已包含在土地购买价格中","0",IF(B1="",'数据-取费表'!B29,IF(G9="全部缴纳",C9+C10,H9)))</f>
        <v>0</v>
      </c>
      <c r="D8" s="214"/>
      <c r="E8" s="212"/>
      <c r="F8" s="213"/>
      <c r="G8" s="1711"/>
    </row>
    <row r="9" spans="1:9" s="206" customFormat="1" ht="13.5" customHeight="1">
      <c r="A9" s="729" t="s">
        <v>355</v>
      </c>
      <c r="B9" s="216" t="s">
        <v>1478</v>
      </c>
      <c r="C9" s="217">
        <f ca="1">ROUND(D9*E9/10000,0)</f>
        <v>0</v>
      </c>
      <c r="D9" s="791">
        <f ca="1">IF(B1="",'数据-汇总表'!E5,IF(INDIRECT("'数据-取费表'!c"&amp;$G$1)="住宅",INDIRECT("'数据-取费表'!k"&amp;$G$1),0))</f>
        <v>0</v>
      </c>
      <c r="E9" s="217">
        <f>'数据-取费表'!B27</f>
        <v>0</v>
      </c>
      <c r="F9" s="213"/>
      <c r="G9" s="1712"/>
      <c r="H9" s="1067"/>
      <c r="I9" s="1713" t="s">
        <v>1479</v>
      </c>
    </row>
    <row r="10" spans="1:9" s="206" customFormat="1" ht="13.5" customHeight="1">
      <c r="A10" s="729" t="s">
        <v>356</v>
      </c>
      <c r="B10" s="216" t="s">
        <v>1480</v>
      </c>
      <c r="C10" s="217">
        <f ca="1">ROUND(D10*E10/10000,0)</f>
        <v>0</v>
      </c>
      <c r="D10" s="791">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1"/>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38"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0" t="s">
        <v>1502</v>
      </c>
      <c r="B23" s="207" t="s">
        <v>1503</v>
      </c>
      <c r="C23" s="1039" t="e">
        <f ca="1">ROUND(IF('数据-取费表'!B22&lt;=1,C5*F22*'数据-取费表'!B23,C5*(POWER((1+F22),'数据-取费表'!B23)-1)),0)</f>
        <v>#VALUE!</v>
      </c>
      <c r="D23" s="230"/>
      <c r="E23" s="230"/>
      <c r="F23" s="231"/>
      <c r="G23" s="232" t="s">
        <v>1504</v>
      </c>
    </row>
    <row r="24" spans="1:7" s="206" customFormat="1" ht="13.5" customHeight="1">
      <c r="A24" s="730" t="s">
        <v>1505</v>
      </c>
      <c r="B24" s="207" t="s">
        <v>1506</v>
      </c>
      <c r="C24" s="1039" t="e">
        <f ca="1">ROUND(IF('数据-取费表'!B22&lt;=1,C19*F22*('数据-取费表'!B19/2+'数据-取费表'!B21),C19*(POWER((1+F22),('数据-取费表'!B19/2+'数据-取费表'!B21))-1)),0)</f>
        <v>#VALUE!</v>
      </c>
      <c r="D24" s="230"/>
      <c r="E24" s="230"/>
      <c r="F24" s="231"/>
      <c r="G24" s="232" t="s">
        <v>1507</v>
      </c>
    </row>
    <row r="25" spans="1:7" s="206" customFormat="1" ht="24">
      <c r="A25" s="730" t="s">
        <v>1508</v>
      </c>
      <c r="B25" s="207" t="s">
        <v>1509</v>
      </c>
      <c r="C25" s="1039" t="e">
        <f ca="1">ROUND(IF('数据-取费表'!B22&lt;=1,C20*F22*'数据-取费表'!B23/2,C20*(POWER((1+F22),'数据-取费表'!B23/2)-1)),0)</f>
        <v>#VALUE!</v>
      </c>
      <c r="D25" s="230"/>
      <c r="E25" s="233"/>
      <c r="F25" s="231"/>
      <c r="G25" s="234" t="s">
        <v>1510</v>
      </c>
    </row>
    <row r="26" spans="1:7" s="206" customFormat="1">
      <c r="A26" s="730"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0"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0" t="s">
        <v>351</v>
      </c>
      <c r="B35" s="207" t="s">
        <v>1527</v>
      </c>
      <c r="C35" s="212">
        <f ca="1">ROUND(C34*F35,0)</f>
        <v>0</v>
      </c>
      <c r="D35" s="212"/>
      <c r="E35" s="212"/>
      <c r="F35" s="251">
        <f>'数据-取费表'!B33</f>
        <v>0</v>
      </c>
      <c r="G35" s="211" t="s">
        <v>1528</v>
      </c>
    </row>
    <row r="36" spans="1:7" ht="24">
      <c r="A36" s="730"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0" t="s">
        <v>353</v>
      </c>
      <c r="B37" s="207" t="s">
        <v>1531</v>
      </c>
      <c r="C37" s="241">
        <f ca="1">ROUND(E37*D37*F34/10000,0)</f>
        <v>0</v>
      </c>
      <c r="D37" s="209">
        <f ca="1">D19</f>
        <v>0</v>
      </c>
      <c r="E37" s="241">
        <f>'数据-取费表'!B35</f>
        <v>0</v>
      </c>
      <c r="F37" s="251"/>
      <c r="G37" s="253" t="s">
        <v>1532</v>
      </c>
    </row>
    <row r="38" spans="1:7" ht="13.5" customHeight="1">
      <c r="A38" s="730"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0" t="s">
        <v>346</v>
      </c>
      <c r="B42" s="207" t="s">
        <v>1543</v>
      </c>
      <c r="C42" s="230" t="e">
        <f ca="1">ROUND(IF('数据-取费表'!B22&lt;=1,C33*F22*'数据-取费表'!B21/2,C33*(POWER((1+F22),'数据-取费表'!B21/2)-1)),0)</f>
        <v>#VALUE!</v>
      </c>
      <c r="D42" s="230"/>
      <c r="E42" s="230"/>
      <c r="F42" s="231"/>
      <c r="G42" s="3446" t="s">
        <v>1544</v>
      </c>
    </row>
    <row r="43" spans="1:7" ht="13.5" customHeight="1">
      <c r="A43" s="730" t="s">
        <v>347</v>
      </c>
      <c r="B43" s="207" t="s">
        <v>1545</v>
      </c>
      <c r="C43" s="230" t="e">
        <f ca="1">ROUND(IF('数据-取费表'!B22&lt;=1,C39*F22*'数据-取费表'!B21/2,C39*(POWER((1+F22),'数据-取费表'!B21/2)-1)),0)</f>
        <v>#VALUE!</v>
      </c>
      <c r="D43" s="230"/>
      <c r="E43" s="230"/>
      <c r="F43" s="231"/>
      <c r="G43" s="3447"/>
    </row>
    <row r="44" spans="1:7" ht="13.5" customHeight="1">
      <c r="A44" s="730" t="s">
        <v>348</v>
      </c>
      <c r="B44" s="207" t="s">
        <v>1546</v>
      </c>
      <c r="C44" s="230" t="e">
        <f ca="1">ROUND(IF('数据-取费表'!B22&lt;=1,C40*F22*'数据-取费表'!B21/2,C40*(POWER((1+F22),'数据-取费表'!B21/2)-1)),4)</f>
        <v>#VALUE!</v>
      </c>
      <c r="D44" s="230"/>
      <c r="E44" s="230"/>
      <c r="F44" s="231"/>
      <c r="G44" s="34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0" t="s">
        <v>346</v>
      </c>
      <c r="B46" s="240" t="s">
        <v>1549</v>
      </c>
      <c r="C46" s="241" t="e">
        <f ca="1">ROUND((C33+C39)*F27,0)</f>
        <v>#DIV/0!</v>
      </c>
      <c r="D46" s="255"/>
      <c r="E46" s="228"/>
      <c r="F46" s="238"/>
      <c r="G46" s="239"/>
    </row>
    <row r="47" spans="1:7" s="206" customFormat="1" ht="13.5" customHeight="1">
      <c r="A47" s="730"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Q45" sqref="Q4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6</v>
      </c>
      <c r="H1" s="995" t="str">
        <f>IF(ISERROR(FIND("住宅",B1)),"非住宅","住宅")</f>
        <v>非住宅</v>
      </c>
    </row>
    <row r="2" spans="1:8" s="192" customFormat="1" ht="18" customHeight="1">
      <c r="A2" s="193" t="s">
        <v>1462</v>
      </c>
      <c r="B2" s="3118" t="e">
        <f ca="1">ROUND(IF(D2="——",C52/10000,C52/10000-E2),4)</f>
        <v>#VALUE!</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28" t="s">
        <v>1472</v>
      </c>
      <c r="B6" s="207" t="s">
        <v>1473</v>
      </c>
      <c r="C6" s="208"/>
      <c r="D6" s="209"/>
      <c r="E6" s="210"/>
      <c r="F6" s="210"/>
      <c r="G6" s="211"/>
    </row>
    <row r="7" spans="1:8" s="206" customFormat="1" ht="13.5" customHeight="1">
      <c r="A7" s="728" t="s">
        <v>1474</v>
      </c>
      <c r="B7" s="207" t="s">
        <v>1475</v>
      </c>
      <c r="C7" s="212">
        <f>ROUND(C6*F7,0)</f>
        <v>0</v>
      </c>
      <c r="D7" s="212"/>
      <c r="E7" s="210"/>
      <c r="F7" s="213">
        <f>IF(项目基本情况!B8="出让",0,'数据-取费表'!B48+'数据-取费表'!B49)</f>
        <v>0</v>
      </c>
      <c r="G7" s="211"/>
    </row>
    <row r="8" spans="1:8" s="215" customFormat="1">
      <c r="A8" s="728" t="s">
        <v>1476</v>
      </c>
      <c r="B8" s="207" t="s">
        <v>1477</v>
      </c>
      <c r="C8" s="212">
        <f ca="1">IF(G8="已包含在土地购买价格中",0,C9+C10)</f>
        <v>0</v>
      </c>
      <c r="D8" s="214"/>
      <c r="E8" s="212"/>
      <c r="F8" s="213"/>
      <c r="G8" s="1711"/>
    </row>
    <row r="9" spans="1:8" s="206" customFormat="1" ht="13.5" customHeight="1">
      <c r="A9" s="729" t="s">
        <v>355</v>
      </c>
      <c r="B9" s="216" t="s">
        <v>1478</v>
      </c>
      <c r="C9" s="217">
        <f ca="1">ROUND(D9*E9,0)</f>
        <v>0</v>
      </c>
      <c r="D9" s="791">
        <f ca="1">IF(B1="",'数据-汇总表'!E5,IF(INDIRECT("'数据-取费表'!c"&amp;$G$1)="住宅",INDIRECT("'数据-取费表'!k"&amp;$G$1),0))</f>
        <v>0</v>
      </c>
      <c r="E9" s="217">
        <f>'数据-取费表'!B27</f>
        <v>0</v>
      </c>
      <c r="F9" s="213"/>
      <c r="G9" s="218"/>
    </row>
    <row r="10" spans="1:8" s="206" customFormat="1" ht="13.5" customHeight="1">
      <c r="A10" s="729" t="s">
        <v>356</v>
      </c>
      <c r="B10" s="216" t="s">
        <v>1480</v>
      </c>
      <c r="C10" s="217">
        <f ca="1">ROUND(D10*E10,0)</f>
        <v>0</v>
      </c>
      <c r="D10" s="791">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1"/>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0"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0"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0" t="s">
        <v>1476</v>
      </c>
      <c r="B25" s="207" t="s">
        <v>1587</v>
      </c>
      <c r="C25" s="230" t="e">
        <f ca="1">ROUND(IF('数据-取费表'!B22&lt;=1,C20*F22*'数据-取费表'!B22/2,C20*(POWER((1+F22),'数据-取费表'!B22/2)-1)),0)</f>
        <v>#VALUE!</v>
      </c>
      <c r="D25" s="230"/>
      <c r="E25" s="233"/>
      <c r="F25" s="231"/>
      <c r="G25" s="234" t="s">
        <v>1588</v>
      </c>
    </row>
    <row r="26" spans="1:7" s="206" customFormat="1">
      <c r="A26" s="730"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0"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0" t="s">
        <v>351</v>
      </c>
      <c r="B35" s="207" t="s">
        <v>1527</v>
      </c>
      <c r="C35" s="212">
        <f ca="1">ROUND(C34*F35,0)</f>
        <v>0</v>
      </c>
      <c r="D35" s="212"/>
      <c r="E35" s="212"/>
      <c r="F35" s="251">
        <f>'数据-取费表'!B33</f>
        <v>0</v>
      </c>
      <c r="G35" s="211" t="s">
        <v>1528</v>
      </c>
    </row>
    <row r="36" spans="1:7" ht="24">
      <c r="A36" s="730"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0" t="s">
        <v>353</v>
      </c>
      <c r="B37" s="207" t="s">
        <v>1531</v>
      </c>
      <c r="C37" s="241">
        <f ca="1">ROUND(E37*D37,0)</f>
        <v>0</v>
      </c>
      <c r="D37" s="209">
        <f ca="1">D19</f>
        <v>0</v>
      </c>
      <c r="E37" s="241">
        <f>'数据-取费表'!B35</f>
        <v>0</v>
      </c>
      <c r="F37" s="251"/>
      <c r="G37" s="253"/>
    </row>
    <row r="38" spans="1:7" ht="13.5" customHeight="1">
      <c r="A38" s="730"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0" t="s">
        <v>346</v>
      </c>
      <c r="B42" s="207" t="s">
        <v>1543</v>
      </c>
      <c r="C42" s="230" t="e">
        <f ca="1">ROUND(IF('数据-取费表'!B22&lt;=1,C33*F22*'数据-取费表'!B20/2,C33*(POWER((1+F22),'数据-取费表'!B20/2)-1)),0)</f>
        <v>#VALUE!</v>
      </c>
      <c r="D42" s="230"/>
      <c r="E42" s="230"/>
      <c r="F42" s="231"/>
      <c r="G42" s="3446" t="s">
        <v>1591</v>
      </c>
    </row>
    <row r="43" spans="1:7" ht="13.5" customHeight="1">
      <c r="A43" s="730" t="s">
        <v>347</v>
      </c>
      <c r="B43" s="207" t="s">
        <v>1545</v>
      </c>
      <c r="C43" s="230" t="e">
        <f ca="1">ROUND(IF('数据-取费表'!B22&lt;=1,C39*F22*'数据-取费表'!B20/2,C39*(POWER((1+F22),'数据-取费表'!B20/2)-1)),0)</f>
        <v>#VALUE!</v>
      </c>
      <c r="D43" s="230"/>
      <c r="E43" s="230"/>
      <c r="F43" s="231"/>
      <c r="G43" s="3447"/>
    </row>
    <row r="44" spans="1:7" ht="13.5" customHeight="1">
      <c r="A44" s="730" t="s">
        <v>348</v>
      </c>
      <c r="B44" s="207" t="s">
        <v>1546</v>
      </c>
      <c r="C44" s="230" t="e">
        <f ca="1">ROUND(IF('数据-取费表'!B22&lt;=1,C40*F22*'数据-取费表'!B20/2,C40*(POWER((1+F22),'数据-取费表'!B20/2)-1)),4)</f>
        <v>#VALUE!</v>
      </c>
      <c r="D44" s="230"/>
      <c r="E44" s="230"/>
      <c r="F44" s="231"/>
      <c r="G44" s="34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0" t="s">
        <v>346</v>
      </c>
      <c r="B46" s="240" t="s">
        <v>1549</v>
      </c>
      <c r="C46" s="241" t="e">
        <f ca="1">ROUND((C33+C39)*F27,0)</f>
        <v>#DIV/0!</v>
      </c>
      <c r="D46" s="255"/>
      <c r="E46" s="228"/>
      <c r="F46" s="238"/>
      <c r="G46" s="239"/>
    </row>
    <row r="47" spans="1:7" s="206" customFormat="1" ht="13.5" customHeight="1">
      <c r="A47" s="730"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Q45" sqref="Q45"/>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1594</v>
      </c>
      <c r="B1" s="121"/>
      <c r="C1" s="1107"/>
      <c r="D1" s="1106"/>
      <c r="E1" s="2563"/>
      <c r="F1" s="2563"/>
      <c r="G1" s="2444"/>
      <c r="H1" s="2563"/>
      <c r="I1" s="2563"/>
      <c r="J1" s="2563"/>
      <c r="K1" s="2564">
        <f>MATCH(C1,'数据-取费表'!A6:A16,0)+5</f>
        <v>6</v>
      </c>
    </row>
    <row r="2" spans="1:33" ht="18" customHeight="1">
      <c r="A2" s="193" t="s">
        <v>1462</v>
      </c>
      <c r="B2" s="196" t="e">
        <f ca="1">C32</f>
        <v>#VALUE!</v>
      </c>
      <c r="C2" s="268" t="s">
        <v>1595</v>
      </c>
      <c r="D2" s="268"/>
      <c r="E2" s="2563"/>
      <c r="F2" s="2563"/>
      <c r="G2" s="2563"/>
      <c r="H2" s="2563"/>
      <c r="I2" s="2563"/>
      <c r="J2" s="2563"/>
      <c r="K2" s="2563"/>
    </row>
    <row r="3" spans="1:33" ht="18" customHeight="1" thickBot="1">
      <c r="A3" s="195" t="s">
        <v>1464</v>
      </c>
      <c r="B3" s="196" t="e">
        <f ca="1">ROUND(B2*10000/IF(C1="",'数据-汇总表'!E3,INDIRECT("'数据-取费表'!K"&amp;$K$1)),0)</f>
        <v>#VALUE!</v>
      </c>
      <c r="C3" s="268" t="s">
        <v>1596</v>
      </c>
      <c r="D3" s="268"/>
      <c r="E3" s="2563"/>
      <c r="F3" s="2563"/>
      <c r="G3" s="2563"/>
      <c r="H3" s="2563"/>
      <c r="I3" s="2563"/>
      <c r="J3" s="2563"/>
      <c r="K3" s="2563"/>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5"/>
      <c r="D5" s="1715"/>
      <c r="E5" s="1715"/>
      <c r="F5" s="1715"/>
      <c r="G5" s="1715"/>
      <c r="H5" s="1715"/>
      <c r="I5" s="1715"/>
      <c r="J5" s="1715"/>
      <c r="K5" s="1715"/>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2" customFormat="1" ht="13.5" customHeight="1">
      <c r="A7" s="740"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2" customFormat="1" ht="13.5" customHeight="1" thickBot="1">
      <c r="A8" s="1716" t="s">
        <v>1603</v>
      </c>
      <c r="B8" s="156"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8"/>
      <c r="F12" s="760">
        <f>'数据-取费表'!B33</f>
        <v>0</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8"/>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0</v>
      </c>
      <c r="E14" s="21">
        <f>'数据-取费表'!B35</f>
        <v>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0</v>
      </c>
      <c r="G15" s="123"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3"/>
      <c r="H16" s="1104"/>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0</v>
      </c>
      <c r="E17" s="21">
        <f>'数据-取费表'!B32</f>
        <v>0</v>
      </c>
      <c r="F17" s="754"/>
      <c r="G17" s="123" t="s">
        <v>1623</v>
      </c>
      <c r="H17" s="1104"/>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0</v>
      </c>
      <c r="D18" s="792"/>
      <c r="E18" s="21"/>
      <c r="F18" s="752"/>
      <c r="G18" s="1717"/>
      <c r="H18" s="1103"/>
      <c r="I18" s="1718"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0</v>
      </c>
      <c r="F19" s="752"/>
      <c r="G19" s="12"/>
      <c r="H19" s="1105"/>
      <c r="I19" s="757"/>
      <c r="J19" s="757"/>
      <c r="K19" s="758"/>
    </row>
    <row r="20" spans="1:33" s="751" customFormat="1" ht="13.5" customHeight="1">
      <c r="A20" s="748" t="s">
        <v>361</v>
      </c>
      <c r="B20" s="749" t="s">
        <v>1627</v>
      </c>
      <c r="C20" s="21">
        <f ca="1">ROUND(D20*E20/10000,0)</f>
        <v>0</v>
      </c>
      <c r="D20" s="792">
        <f ca="1">IF(C1="",'数据-汇总表'!E6,IF(INDIRECT("'数据-取费表'!c"&amp;$K$1)="住宅",INDIRECT("'数据-取费表'!s"&amp;$K$1),INDIRECT("'数据-取费表'!k"&amp;$K$1)+INDIRECT("'数据-取费表'!s"&amp;$K$1)))</f>
        <v>0</v>
      </c>
      <c r="E20" s="21">
        <f>'数据-取费表'!B28</f>
        <v>0</v>
      </c>
      <c r="F20" s="752"/>
      <c r="G20" s="12"/>
      <c r="H20" s="757"/>
      <c r="I20" s="757"/>
      <c r="J20" s="757"/>
      <c r="K20" s="758"/>
    </row>
    <row r="21" spans="1:33" s="751" customFormat="1" ht="13.5" customHeight="1">
      <c r="A21" s="740" t="s">
        <v>357</v>
      </c>
      <c r="B21" s="761" t="s">
        <v>1628</v>
      </c>
      <c r="C21" s="762">
        <f ca="1">C16+C17+C18</f>
        <v>0</v>
      </c>
      <c r="D21" s="763"/>
      <c r="E21" s="273"/>
      <c r="F21" s="273"/>
      <c r="G21" s="123" t="s">
        <v>1629</v>
      </c>
      <c r="H21" s="755"/>
      <c r="I21" s="755"/>
      <c r="J21" s="755"/>
      <c r="K21" s="756"/>
    </row>
    <row r="22" spans="1:33" s="751" customFormat="1" ht="13.5" customHeight="1">
      <c r="A22" s="740" t="s">
        <v>1601</v>
      </c>
      <c r="B22" s="761" t="s">
        <v>1630</v>
      </c>
      <c r="C22" s="762">
        <f ca="1">ROUND(C21*F22,0)</f>
        <v>0</v>
      </c>
      <c r="D22" s="273"/>
      <c r="E22" s="273"/>
      <c r="F22" s="764">
        <f>'数据-取费表'!B37</f>
        <v>0</v>
      </c>
      <c r="G22" s="5" t="s">
        <v>1631</v>
      </c>
      <c r="H22" s="745"/>
      <c r="I22" s="745"/>
      <c r="J22" s="745"/>
      <c r="K22" s="746"/>
    </row>
    <row r="23" spans="1:33" s="751" customFormat="1" ht="13.5" customHeight="1">
      <c r="A23" s="740" t="s">
        <v>1603</v>
      </c>
      <c r="B23" s="761" t="s">
        <v>1632</v>
      </c>
      <c r="C23" s="762">
        <f ca="1">ROUND(C4*F23*F11,0)</f>
        <v>0</v>
      </c>
      <c r="D23" s="273"/>
      <c r="E23" s="273"/>
      <c r="F23" s="764">
        <f>'数据-取费表'!B38</f>
        <v>0</v>
      </c>
      <c r="G23" s="5" t="s">
        <v>1633</v>
      </c>
      <c r="H23" s="745"/>
      <c r="I23" s="745"/>
      <c r="J23" s="745"/>
      <c r="K23" s="746"/>
    </row>
    <row r="24" spans="1:33" s="751" customFormat="1" ht="13.5" customHeight="1">
      <c r="A24" s="740" t="s">
        <v>1634</v>
      </c>
      <c r="B24" s="761" t="s">
        <v>1635</v>
      </c>
      <c r="C24" s="272">
        <f>ROUND(F24/(1+'数据-取费表'!C42),4)</f>
        <v>0</v>
      </c>
      <c r="D24" s="273" t="s">
        <v>12</v>
      </c>
      <c r="E24" s="273"/>
      <c r="F24" s="764">
        <f>IF(项目基本情况!B8="出让",0,'数据-取费表'!B48+'数据-取费表'!B49)</f>
        <v>0</v>
      </c>
      <c r="G24" s="5" t="s">
        <v>1636</v>
      </c>
      <c r="H24" s="766"/>
      <c r="I24" s="766"/>
      <c r="J24" s="766"/>
      <c r="K24" s="55"/>
    </row>
    <row r="25" spans="1:33" s="751" customFormat="1" ht="13.5" customHeight="1">
      <c r="A25" s="740" t="s">
        <v>1637</v>
      </c>
      <c r="B25" s="763" t="s">
        <v>1638</v>
      </c>
      <c r="C25" s="1040"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6"/>
      <c r="I25" s="766"/>
      <c r="J25" s="766"/>
      <c r="K25" s="55"/>
    </row>
    <row r="26" spans="1:33" s="768" customFormat="1" ht="13.5" customHeight="1">
      <c r="A26" s="748" t="s">
        <v>358</v>
      </c>
      <c r="B26" s="767" t="s">
        <v>1639</v>
      </c>
      <c r="C26" s="1041" t="e">
        <f ca="1">ROUND(IF('数据-取费表'!B22&lt;=1,(1+C24)*F25*'数据-取费表'!B24,(1+C24)*(POWER((1+F25),'数据-取费表'!B24)-1)),4)</f>
        <v>#VALUE!</v>
      </c>
      <c r="D26" s="276"/>
      <c r="E26" s="277"/>
      <c r="F26" s="278"/>
      <c r="G26" s="1719" t="str">
        <f>IF('数据-取费表'!B22&lt;=1,"（(1)+取得税费率/(1+5%)）×年利率×建设期","（(1)+取得税费率）/(1+5%)×((1+年利率)^建设期-1)")</f>
        <v>（(1)+取得税费率/(1+5%)）×年利率×建设期</v>
      </c>
      <c r="H26" s="755"/>
      <c r="I26" s="755"/>
      <c r="J26" s="755"/>
      <c r="K26" s="756"/>
    </row>
    <row r="27" spans="1:33" s="768" customFormat="1" ht="13.5" customHeight="1">
      <c r="A27" s="748" t="s">
        <v>359</v>
      </c>
      <c r="B27" s="767" t="s">
        <v>1640</v>
      </c>
      <c r="C27" s="1042" t="e">
        <f ca="1">ROUND(IF('数据-取费表'!B22&lt;=1,(C21+C22+C23)*F25*'数据-取费表'!B24/2,(C21+C22+C23)*(POWER((1+F25),'数据-取费表'!B24/2)-1)),0)</f>
        <v>#VALUE!</v>
      </c>
      <c r="D27" s="276"/>
      <c r="E27" s="277"/>
      <c r="F27" s="278"/>
      <c r="G27" s="1719" t="str">
        <f>IF('数据-取费表'!B22&lt;=1,"（1）-（3）项×年利率×建设期÷2","（1）-（3）项×((1+年利率)^(建设期÷2)-1)")</f>
        <v>（1）-（3）项×年利率×建设期÷2</v>
      </c>
      <c r="H27" s="755"/>
      <c r="I27" s="755"/>
      <c r="J27" s="755"/>
      <c r="K27" s="756"/>
    </row>
    <row r="28" spans="1:33" s="281" customFormat="1" ht="13.5" customHeight="1">
      <c r="A28" s="740" t="s">
        <v>1641</v>
      </c>
      <c r="B28" s="1720" t="s">
        <v>1642</v>
      </c>
      <c r="C28" s="279" t="e">
        <f ca="1">C30</f>
        <v>#DIV/0!</v>
      </c>
      <c r="D28" s="272" t="e">
        <f ca="1">C29</f>
        <v>#DIV/0!</v>
      </c>
      <c r="E28" s="274" t="s">
        <v>12</v>
      </c>
      <c r="F28" s="280" t="e">
        <f ca="1">IF(C1="",'数据-取费表'!Q16,INDIRECT("'数据-取费表'!q"&amp;$K$1))</f>
        <v>#DIV/0!</v>
      </c>
      <c r="G28" s="765"/>
      <c r="H28" s="766"/>
      <c r="I28" s="766"/>
      <c r="J28" s="766"/>
      <c r="K28" s="55"/>
    </row>
    <row r="29" spans="1:33" s="283" customFormat="1" ht="13.5" customHeight="1">
      <c r="A29" s="748" t="s">
        <v>358</v>
      </c>
      <c r="B29" s="769" t="s">
        <v>1643</v>
      </c>
      <c r="C29" s="276" t="e">
        <f ca="1">ROUND((1+C24)*F28*'数据-取费表'!B24/'数据-取费表'!B20,4)</f>
        <v>#DIV/0!</v>
      </c>
      <c r="D29" s="276"/>
      <c r="E29" s="277"/>
      <c r="F29" s="282"/>
      <c r="G29" s="123" t="s">
        <v>1644</v>
      </c>
      <c r="H29" s="755"/>
      <c r="I29" s="755"/>
      <c r="J29" s="755"/>
      <c r="K29" s="756"/>
    </row>
    <row r="30" spans="1:33" s="283" customFormat="1" ht="13.5" customHeight="1">
      <c r="A30" s="748" t="s">
        <v>359</v>
      </c>
      <c r="B30" s="769" t="s">
        <v>1645</v>
      </c>
      <c r="C30" s="284" t="e">
        <f ca="1">ROUND((C21+C22+C23)*F28,0)</f>
        <v>#DIV/0!</v>
      </c>
      <c r="D30" s="276"/>
      <c r="E30" s="277"/>
      <c r="F30" s="282"/>
      <c r="G30" s="123"/>
      <c r="H30" s="755"/>
      <c r="I30" s="755"/>
      <c r="J30" s="755"/>
      <c r="K30" s="756"/>
    </row>
    <row r="31" spans="1:33" s="751" customFormat="1" ht="13.5" customHeight="1" thickBot="1">
      <c r="A31" s="1721" t="s">
        <v>1646</v>
      </c>
      <c r="B31" s="779" t="s">
        <v>1647</v>
      </c>
      <c r="C31" s="780">
        <f>ROUND(C4*F31/(1+'数据-取费表'!C42),0)</f>
        <v>0</v>
      </c>
      <c r="D31" s="781"/>
      <c r="E31" s="782"/>
      <c r="F31" s="783">
        <f>'数据-取费表'!B41</f>
        <v>0</v>
      </c>
      <c r="G31" s="784" t="s">
        <v>1648</v>
      </c>
      <c r="H31" s="785"/>
      <c r="I31" s="785"/>
      <c r="J31" s="785"/>
      <c r="K31" s="786"/>
    </row>
    <row r="32" spans="1:33" s="747" customFormat="1" ht="13.5" customHeight="1" thickBot="1">
      <c r="A32" s="449" t="s">
        <v>1649</v>
      </c>
      <c r="B32" s="775"/>
      <c r="C32" s="776" t="e">
        <f ca="1">ROUND((C4-C21-C22-C23-C25-C28-C31)/(1+C24+D25+D28),0)</f>
        <v>#VALUE!</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70" workbookViewId="0">
      <selection activeCell="Q45" sqref="Q45"/>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59"/>
      <c r="C1" s="1284"/>
      <c r="D1" s="1268" t="s">
        <v>43</v>
      </c>
      <c r="E1" s="1269" t="s">
        <v>678</v>
      </c>
      <c r="F1" s="996">
        <f ca="1">J53</f>
        <v>0</v>
      </c>
      <c r="G1" s="1283">
        <f>MATCH(C1,'数据-取费表'!A6:A16,0)+5</f>
        <v>6</v>
      </c>
      <c r="H1" s="2461"/>
      <c r="I1" s="2462"/>
      <c r="J1" s="2462"/>
      <c r="K1" s="2463"/>
      <c r="L1" s="2462"/>
      <c r="M1" s="2462"/>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90" t="s">
        <v>804</v>
      </c>
      <c r="B2" s="1291" t="e">
        <f ca="1">C40+J29+L46</f>
        <v>#VALUE!</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5"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51" t="s">
        <v>694</v>
      </c>
      <c r="C6" s="1008">
        <f ca="1">ROUND(F6*F8*F7*(1-F9)/10000,0)</f>
        <v>0</v>
      </c>
      <c r="D6" s="147" t="s">
        <v>2106</v>
      </c>
      <c r="E6" s="294" t="s">
        <v>696</v>
      </c>
      <c r="F6" s="295">
        <f ca="1">INDIRECT("'数据-取费表'!u"&amp;$G$1)</f>
        <v>0</v>
      </c>
      <c r="G6" s="1289"/>
      <c r="H6" s="1003" t="s">
        <v>398</v>
      </c>
      <c r="I6" s="3451" t="s">
        <v>694</v>
      </c>
      <c r="J6" s="293">
        <f ca="1">ROUND(M6*M8*M7*(1-M9)/10000,0)</f>
        <v>0</v>
      </c>
      <c r="K6" s="147" t="s">
        <v>2105</v>
      </c>
      <c r="L6" s="294" t="s">
        <v>696</v>
      </c>
      <c r="M6" s="295">
        <f ca="1">INDIRECT("'数据-取费表'!z"&amp;$G$1)</f>
        <v>0</v>
      </c>
    </row>
    <row r="7" spans="1:37" ht="18" customHeight="1">
      <c r="A7" s="1007"/>
      <c r="B7" s="3452"/>
      <c r="C7" s="1009"/>
      <c r="D7" s="299"/>
      <c r="E7" s="1010" t="s">
        <v>697</v>
      </c>
      <c r="F7" s="295">
        <f ca="1">IF(INDIRECT("'数据-取费表'!ah"&amp;$G$1)="",INDIRECT("'数据-取费表'!k"&amp;$G$1),INDIRECT("'数据-取费表'!ah"&amp;$G$1))</f>
        <v>0</v>
      </c>
      <c r="G7" s="1289"/>
      <c r="H7" s="296"/>
      <c r="I7" s="3452"/>
      <c r="J7" s="298"/>
      <c r="K7" s="299"/>
      <c r="L7" s="294" t="s">
        <v>697</v>
      </c>
      <c r="M7" s="295">
        <f ca="1">F7</f>
        <v>0</v>
      </c>
    </row>
    <row r="8" spans="1:37" ht="18" customHeight="1">
      <c r="A8" s="296"/>
      <c r="B8" s="3452"/>
      <c r="C8" s="298"/>
      <c r="D8" s="299"/>
      <c r="E8" s="294" t="s">
        <v>698</v>
      </c>
      <c r="F8" s="295">
        <f ca="1">INDIRECT("'数据-取费表'!ai"&amp;$G$1)</f>
        <v>0</v>
      </c>
      <c r="G8" s="1289"/>
      <c r="H8" s="296"/>
      <c r="I8" s="3452"/>
      <c r="J8" s="298"/>
      <c r="K8" s="299"/>
      <c r="L8" s="294" t="s">
        <v>698</v>
      </c>
      <c r="M8" s="295">
        <f ca="1">INDIRECT("'数据-取费表'!ai"&amp;$G$1)</f>
        <v>0</v>
      </c>
    </row>
    <row r="9" spans="1:37" ht="18" customHeight="1">
      <c r="A9" s="296"/>
      <c r="B9" s="3453"/>
      <c r="C9" s="298"/>
      <c r="D9" s="299"/>
      <c r="E9" s="294" t="s">
        <v>699</v>
      </c>
      <c r="F9" s="304">
        <f ca="1">INDIRECT("'数据-取费表'!w"&amp;$G$1)</f>
        <v>0</v>
      </c>
      <c r="G9" s="1289"/>
      <c r="H9" s="296"/>
      <c r="I9" s="3453"/>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2114</v>
      </c>
      <c r="E10" s="305" t="s">
        <v>701</v>
      </c>
      <c r="F10" s="1050"/>
      <c r="G10" s="1289"/>
      <c r="H10" s="1003" t="s">
        <v>402</v>
      </c>
      <c r="I10" s="1271" t="s">
        <v>700</v>
      </c>
      <c r="J10" s="293">
        <f ca="1">ROUND(IF(M10="押一",J6/12*M11,IF(M10="押二",J6/12*2*M11,IF(M10="押三",J6/12*3*M11,J11*M11))),0)</f>
        <v>0</v>
      </c>
      <c r="K10" s="150" t="s">
        <v>2113</v>
      </c>
      <c r="L10" s="305" t="s">
        <v>701</v>
      </c>
      <c r="M10" s="1050"/>
    </row>
    <row r="11" spans="1:37" ht="18" customHeight="1">
      <c r="A11" s="300"/>
      <c r="B11" s="1272" t="s">
        <v>679</v>
      </c>
      <c r="C11" s="901"/>
      <c r="D11" s="1273"/>
      <c r="E11" s="305" t="s">
        <v>702</v>
      </c>
      <c r="F11" s="306">
        <f ca="1">'数据-取费表'!B39</f>
        <v>1.4999999999999999E-2</v>
      </c>
      <c r="G11" s="1289"/>
      <c r="H11" s="1011"/>
      <c r="I11" s="1272" t="s">
        <v>679</v>
      </c>
      <c r="J11" s="901"/>
      <c r="K11" s="642"/>
      <c r="L11" s="305" t="s">
        <v>702</v>
      </c>
      <c r="M11" s="805">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#VALUE!</v>
      </c>
      <c r="D13" s="1015" t="s">
        <v>705</v>
      </c>
      <c r="E13" s="1015" t="s">
        <v>706</v>
      </c>
      <c r="F13" s="1016">
        <f ca="1">INDIRECT("'数据-取费表'!y"&amp;$G$1)</f>
        <v>0</v>
      </c>
      <c r="G13" s="1289"/>
      <c r="H13" s="1013">
        <v>2</v>
      </c>
      <c r="I13" s="1014" t="s">
        <v>704</v>
      </c>
      <c r="J13" s="1002" t="e">
        <f ca="1">ROUND(J14*J15,0)</f>
        <v>#VALUE!</v>
      </c>
      <c r="K13" s="1021" t="s">
        <v>705</v>
      </c>
      <c r="L13" s="1296"/>
      <c r="M13" s="1297"/>
    </row>
    <row r="14" spans="1:37" ht="18" customHeight="1">
      <c r="A14" s="924" t="s">
        <v>397</v>
      </c>
      <c r="B14" s="294" t="s">
        <v>707</v>
      </c>
      <c r="C14" s="310">
        <f ca="1">INDIRECT("'数据-取费表'!m"&amp;$G$1)+INDIRECT("'数据-取费表'!t"&amp;$G$1)</f>
        <v>0</v>
      </c>
      <c r="D14" s="1254" t="s">
        <v>708</v>
      </c>
      <c r="E14" s="1252"/>
      <c r="F14" s="311"/>
      <c r="G14" s="1289"/>
      <c r="H14" s="924" t="s">
        <v>398</v>
      </c>
      <c r="I14" s="294" t="s">
        <v>709</v>
      </c>
      <c r="J14" s="21" t="e">
        <f ca="1">C29</f>
        <v>#VALUE!</v>
      </c>
      <c r="K14" s="12"/>
      <c r="L14" s="755"/>
      <c r="M14" s="756"/>
    </row>
    <row r="15" spans="1:37" s="1301" customFormat="1" ht="18" customHeight="1" thickBot="1">
      <c r="A15" s="924" t="s">
        <v>399</v>
      </c>
      <c r="B15" s="294" t="s">
        <v>710</v>
      </c>
      <c r="C15" s="21">
        <f ca="1">ROUND(C14*F15,0)</f>
        <v>0</v>
      </c>
      <c r="D15" s="312" t="s">
        <v>711</v>
      </c>
      <c r="E15" s="312" t="s">
        <v>712</v>
      </c>
      <c r="F15" s="313">
        <f>'数据-取费表'!B33</f>
        <v>0</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t="e">
        <f ca="1">ROUND(J17+J22+J23+J24,0)</f>
        <v>#VALUE!</v>
      </c>
      <c r="K16" s="1021" t="s">
        <v>715</v>
      </c>
      <c r="L16" s="1022"/>
      <c r="M16" s="1006"/>
    </row>
    <row r="17" spans="1:37" s="1301" customFormat="1" ht="18" customHeight="1">
      <c r="A17" s="924" t="s">
        <v>681</v>
      </c>
      <c r="B17" s="294" t="s">
        <v>716</v>
      </c>
      <c r="C17" s="21">
        <f ca="1">ROUND(F17*(F43+INDIRECT("'数据-取费表'!S"&amp;$G$1))/10000,0)</f>
        <v>0</v>
      </c>
      <c r="D17" s="294" t="s">
        <v>717</v>
      </c>
      <c r="E17" s="294" t="s">
        <v>718</v>
      </c>
      <c r="F17" s="23">
        <f>'数据-取费表'!B35</f>
        <v>0</v>
      </c>
      <c r="G17" s="1300"/>
      <c r="H17" s="924" t="s">
        <v>398</v>
      </c>
      <c r="I17" s="294" t="s">
        <v>719</v>
      </c>
      <c r="J17" s="2137">
        <f ca="1">ROUND(IF(AND(项目基本情况!B11="自然人",项目基本情况!B10="北京市"),J6*M17/(1+'数据-取费表'!C42),J18+J19+J20),2)</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4" t="s">
        <v>682</v>
      </c>
      <c r="B18" s="294" t="s">
        <v>722</v>
      </c>
      <c r="C18" s="21">
        <f ca="1">ROUND(C14*F18,0)</f>
        <v>0</v>
      </c>
      <c r="D18" s="294" t="s">
        <v>711</v>
      </c>
      <c r="E18" s="294" t="s">
        <v>712</v>
      </c>
      <c r="F18" s="314">
        <f>'数据-取费表'!B36</f>
        <v>0</v>
      </c>
      <c r="G18" s="1300"/>
      <c r="H18" s="924" t="s">
        <v>397</v>
      </c>
      <c r="I18" s="294" t="s">
        <v>723</v>
      </c>
      <c r="J18" s="21">
        <f ca="1">ROUND(J6*M18/(1+'数据-取费表'!C42),2)</f>
        <v>0</v>
      </c>
      <c r="K18" s="1253" t="s">
        <v>724</v>
      </c>
      <c r="L18" s="294" t="s">
        <v>712</v>
      </c>
      <c r="M18" s="314">
        <f>'数据-取费表'!B41</f>
        <v>0</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4" t="s">
        <v>398</v>
      </c>
      <c r="B19" s="294" t="s">
        <v>725</v>
      </c>
      <c r="C19" s="21">
        <f ca="1">SUM(C14:C18)</f>
        <v>0</v>
      </c>
      <c r="D19" s="123" t="s">
        <v>726</v>
      </c>
      <c r="E19" s="1266"/>
      <c r="F19" s="23"/>
      <c r="G19" s="1289"/>
      <c r="H19" s="924" t="s">
        <v>399</v>
      </c>
      <c r="I19" s="294" t="s">
        <v>727</v>
      </c>
      <c r="J19" s="21">
        <f ca="1">IF(K19="按租金收入计税",ROUND(J6*M19/(1+'数据-取费表'!C42),2),ROUND(C29*M19*0.7,2))</f>
        <v>0</v>
      </c>
      <c r="K19" s="1275" t="s">
        <v>3335</v>
      </c>
      <c r="L19" s="294" t="s">
        <v>712</v>
      </c>
      <c r="M19" s="314">
        <f>IF(K19="按租金收入计税",'数据-取费表'!B51,'数据-取费表'!B50)</f>
        <v>0.12</v>
      </c>
    </row>
    <row r="20" spans="1:37" s="1301" customFormat="1" ht="18" customHeight="1">
      <c r="A20" s="924" t="s">
        <v>402</v>
      </c>
      <c r="B20" s="294" t="s">
        <v>728</v>
      </c>
      <c r="C20" s="21">
        <f ca="1">ROUND(C19*F20,0)</f>
        <v>0</v>
      </c>
      <c r="D20" s="315" t="s">
        <v>729</v>
      </c>
      <c r="E20" s="294" t="s">
        <v>712</v>
      </c>
      <c r="F20" s="314">
        <f>'数据-取费表'!B37</f>
        <v>0</v>
      </c>
      <c r="G20" s="1300"/>
      <c r="H20" s="924" t="s">
        <v>680</v>
      </c>
      <c r="I20" s="147" t="s">
        <v>730</v>
      </c>
      <c r="J20" s="22">
        <f ca="1">ROUND(M20*M21/10000,2)</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4" t="s">
        <v>437</v>
      </c>
      <c r="B21" s="294" t="s">
        <v>733</v>
      </c>
      <c r="C21" s="21" t="s">
        <v>15</v>
      </c>
      <c r="D21" s="315" t="s">
        <v>734</v>
      </c>
      <c r="E21" s="294" t="s">
        <v>735</v>
      </c>
      <c r="F21" s="314">
        <f>'数据-取费表'!B38</f>
        <v>0</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4" t="s">
        <v>683</v>
      </c>
      <c r="B22" s="294" t="s">
        <v>737</v>
      </c>
      <c r="C22" s="21"/>
      <c r="D22" s="123" t="str">
        <f>IF(F23&lt;=1,"单利计息。","复利计息。")&amp;"建造成本、管理费用、销售费用产生的利息。"</f>
        <v>单利计息。建造成本、管理费用、销售费用产生的利息。</v>
      </c>
      <c r="E22" s="1266"/>
      <c r="F22" s="23"/>
      <c r="G22" s="1289"/>
      <c r="H22" s="924" t="s">
        <v>402</v>
      </c>
      <c r="I22" s="294" t="s">
        <v>738</v>
      </c>
      <c r="J22" s="21" t="e">
        <f ca="1">ROUND(J14*M22,2)</f>
        <v>#VALUE!</v>
      </c>
      <c r="K22" s="1253" t="s">
        <v>739</v>
      </c>
      <c r="L22" s="294" t="s">
        <v>712</v>
      </c>
      <c r="M22" s="320">
        <f ca="1">INDIRECT("'数据-取费表'!Ak"&amp;$G$1)</f>
        <v>0</v>
      </c>
    </row>
    <row r="23" spans="1:37" s="1301" customFormat="1" ht="18" customHeight="1">
      <c r="A23" s="924"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0"/>
      <c r="H23" s="924" t="s">
        <v>437</v>
      </c>
      <c r="I23" s="294" t="s">
        <v>742</v>
      </c>
      <c r="J23" s="21" t="e">
        <f ca="1">ROUND(J13*M23,2)</f>
        <v>#VALUE!</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4"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4" t="s">
        <v>749</v>
      </c>
      <c r="B25" s="294" t="s">
        <v>750</v>
      </c>
      <c r="C25" s="21"/>
      <c r="D25" s="123" t="s">
        <v>751</v>
      </c>
      <c r="E25" s="1266"/>
      <c r="F25" s="23"/>
      <c r="G25" s="1289"/>
      <c r="H25" s="1013" t="s">
        <v>394</v>
      </c>
      <c r="I25" s="1028" t="s">
        <v>752</v>
      </c>
      <c r="J25" s="302" t="e">
        <f ca="1">J5-J16</f>
        <v>#VALUE!</v>
      </c>
      <c r="K25" s="1029" t="s">
        <v>753</v>
      </c>
      <c r="L25" s="1030"/>
      <c r="M25" s="1031"/>
    </row>
    <row r="26" spans="1:37">
      <c r="A26" s="924"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4" t="s">
        <v>400</v>
      </c>
      <c r="B28" s="294" t="s">
        <v>764</v>
      </c>
      <c r="C28" s="21">
        <f>ROUND(F28/(1+'数据-取费表'!C42),4)</f>
        <v>0</v>
      </c>
      <c r="D28" s="315" t="s">
        <v>765</v>
      </c>
      <c r="E28" s="294" t="s">
        <v>712</v>
      </c>
      <c r="F28" s="314">
        <f>'数据-取费表'!B41</f>
        <v>0</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#VALUE!</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#VALUE!</v>
      </c>
      <c r="D30" s="1021" t="s">
        <v>715</v>
      </c>
      <c r="E30" s="1022"/>
      <c r="F30" s="1006"/>
      <c r="G30" s="1289"/>
      <c r="H30" s="2466"/>
      <c r="I30" s="1302"/>
      <c r="J30" s="1303"/>
      <c r="K30" s="121"/>
      <c r="L30" s="2467"/>
      <c r="M30" s="2468"/>
    </row>
    <row r="31" spans="1:37" ht="18" customHeight="1">
      <c r="A31" s="924" t="s">
        <v>398</v>
      </c>
      <c r="B31" s="294" t="s">
        <v>719</v>
      </c>
      <c r="C31" s="2137">
        <f ca="1">ROUND(IF(AND(项目基本情况!B11="自然人",项目基本情况!B10="北京市"),C6*F31/(1+'数据-取费表'!C42),C32+C33+C34),2)</f>
        <v>0</v>
      </c>
      <c r="D31" s="1254" t="s">
        <v>720</v>
      </c>
      <c r="E31" s="1253" t="s">
        <v>770</v>
      </c>
      <c r="F31" s="2136">
        <f ca="1">IF(项目基本情况!B11="企业","——",IF(M47="住宅",IF(F6*F7*F8/12/(1+'数据-取费表'!F30)&gt;100000,4%,2.5%),IF(F6*F7*F8/12/(1+'数据-取费表'!F30)&gt;100000,12%,7%)))</f>
        <v>7.0000000000000007E-2</v>
      </c>
      <c r="G31" s="1289"/>
      <c r="H31" s="2565" t="s">
        <v>2303</v>
      </c>
      <c r="I31" s="1302"/>
      <c r="J31" s="1303"/>
      <c r="K31" s="121"/>
      <c r="L31" s="2467"/>
      <c r="M31" s="2468"/>
    </row>
    <row r="32" spans="1:37" ht="18" customHeight="1">
      <c r="A32" s="924" t="s">
        <v>397</v>
      </c>
      <c r="B32" s="294" t="s">
        <v>723</v>
      </c>
      <c r="C32" s="21">
        <f ca="1">IF(项目基本情况!B11="自然人","——",ROUND(C6*F32/(1+'数据-取费表'!C42),2))</f>
        <v>0</v>
      </c>
      <c r="D32" s="1253" t="s">
        <v>724</v>
      </c>
      <c r="E32" s="294" t="s">
        <v>712</v>
      </c>
      <c r="F32" s="322">
        <f>'数据-取费表'!B41</f>
        <v>0</v>
      </c>
      <c r="G32" s="1289"/>
      <c r="H32" s="2466"/>
      <c r="I32" s="1302"/>
      <c r="J32" s="1303"/>
      <c r="K32" s="121"/>
      <c r="L32" s="2467"/>
      <c r="M32" s="2468"/>
    </row>
    <row r="33" spans="1:18" ht="18" customHeight="1">
      <c r="A33" s="924" t="s">
        <v>399</v>
      </c>
      <c r="B33" s="294" t="s">
        <v>727</v>
      </c>
      <c r="C33" s="21">
        <f ca="1">IF(项目基本情况!B11="自然人","——",IF(D33="按租金收入计税",ROUND(C6*F33/(1+'数据-取费表'!C42),2),IF(D33="按房产原值计税",ROUND(C29*F33*0.7,2),INDIRECT("'数据-取费表'!Aj"&amp;$G$1))))</f>
        <v>0</v>
      </c>
      <c r="D33" s="1275" t="s">
        <v>3335</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0</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t="e">
        <f ca="1">ROUND(C29*F36,2)</f>
        <v>#VALUE!</v>
      </c>
      <c r="D36" s="1253" t="s">
        <v>771</v>
      </c>
      <c r="E36" s="294" t="s">
        <v>712</v>
      </c>
      <c r="F36" s="320">
        <f ca="1">INDIRECT("'数据-取费表'!Ak"&amp;$G$1)</f>
        <v>0</v>
      </c>
      <c r="G36" s="1289"/>
      <c r="H36" s="2469"/>
      <c r="I36" s="1302"/>
      <c r="J36" s="1303"/>
      <c r="K36" s="2326"/>
      <c r="L36" s="2469"/>
      <c r="M36" s="2469"/>
    </row>
    <row r="37" spans="1:18" ht="18" customHeight="1">
      <c r="A37" s="924" t="s">
        <v>437</v>
      </c>
      <c r="B37" s="294" t="s">
        <v>742</v>
      </c>
      <c r="C37" s="21" t="e">
        <f ca="1">ROUND(C13*F37,2)</f>
        <v>#VALUE!</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t="e">
        <f ca="1">C5-C30</f>
        <v>#VALUE!</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#VALUE!</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1"/>
      <c r="O45" s="2473" t="s">
        <v>808</v>
      </c>
      <c r="P45" s="1363"/>
      <c r="Q45" s="1363"/>
      <c r="R45" s="1363"/>
    </row>
    <row r="46" spans="1:18" s="1289" customFormat="1" ht="13.5" thickBot="1">
      <c r="A46" s="1308" t="s">
        <v>809</v>
      </c>
      <c r="C46" s="1309" t="e">
        <f ca="1">C68-C40</f>
        <v>#VALUE!</v>
      </c>
      <c r="D46" s="1310" t="str">
        <f>C2</f>
        <v>万元</v>
      </c>
      <c r="E46" s="1304"/>
      <c r="F46" s="1304"/>
      <c r="I46" s="1311" t="s">
        <v>810</v>
      </c>
      <c r="J46" s="1312"/>
      <c r="K46" s="1313"/>
      <c r="L46" s="1314" t="e">
        <f ca="1">IF(M47="住宅",0,IF(L48&gt;J51,L60,J60))</f>
        <v>#VALUE!</v>
      </c>
      <c r="O46" s="1315" t="s">
        <v>811</v>
      </c>
      <c r="P46" s="1316" t="s">
        <v>812</v>
      </c>
      <c r="Q46" s="1317" t="s">
        <v>813</v>
      </c>
      <c r="R46" s="1317" t="s">
        <v>814</v>
      </c>
    </row>
    <row r="47" spans="1:18" s="1289" customFormat="1" ht="13.5" thickBot="1">
      <c r="A47" s="888" t="s">
        <v>687</v>
      </c>
      <c r="B47" s="920" t="s">
        <v>688</v>
      </c>
      <c r="C47" s="1051" t="s">
        <v>689</v>
      </c>
      <c r="D47" s="920" t="s">
        <v>690</v>
      </c>
      <c r="E47" s="992" t="s">
        <v>691</v>
      </c>
      <c r="F47" s="993"/>
      <c r="G47" s="677"/>
      <c r="I47" s="1318" t="s">
        <v>815</v>
      </c>
      <c r="J47" s="1319"/>
      <c r="K47" s="1320" t="s">
        <v>816</v>
      </c>
      <c r="L47" s="1321">
        <f ca="1">INDIRECT("'数据-取费表'!d"&amp;$G$1)</f>
        <v>0</v>
      </c>
      <c r="M47" s="1285" t="str">
        <f>IF(ISNUMBER(FIND("住宅",C1)),"住宅","非住宅")</f>
        <v>非住宅</v>
      </c>
      <c r="O47" s="1322" t="s">
        <v>403</v>
      </c>
      <c r="P47" s="1323" t="s">
        <v>817</v>
      </c>
      <c r="Q47" s="1324" t="e">
        <f ca="1">C40+J29</f>
        <v>#VALUE!</v>
      </c>
      <c r="R47" s="1324" t="s">
        <v>818</v>
      </c>
    </row>
    <row r="48" spans="1:18" s="1289" customFormat="1" ht="28.5" thickBot="1">
      <c r="A48" s="1044" t="s">
        <v>438</v>
      </c>
      <c r="B48" s="292" t="s">
        <v>692</v>
      </c>
      <c r="C48" s="1265">
        <f ca="1">C49+C53+C55</f>
        <v>0</v>
      </c>
      <c r="D48" s="1046"/>
      <c r="E48" s="1047"/>
      <c r="F48" s="904"/>
      <c r="G48" s="677"/>
      <c r="H48" s="678"/>
      <c r="I48" s="1325" t="s">
        <v>819</v>
      </c>
      <c r="J48" s="1326"/>
      <c r="K48" s="1327" t="s">
        <v>820</v>
      </c>
      <c r="L48" s="1328">
        <f ca="1">INDIRECT("'数据-取费表'!f"&amp;$G$1)</f>
        <v>0</v>
      </c>
      <c r="O48" s="1322" t="s">
        <v>404</v>
      </c>
      <c r="P48" s="1323" t="s">
        <v>821</v>
      </c>
      <c r="Q48" s="1324" t="e">
        <f ca="1">J60</f>
        <v>#VALUE!</v>
      </c>
      <c r="R48" s="1324" t="s">
        <v>822</v>
      </c>
    </row>
    <row r="49" spans="1:18" s="1289" customFormat="1" ht="13.5" thickBot="1">
      <c r="A49" s="917" t="s">
        <v>439</v>
      </c>
      <c r="B49" s="1276" t="s">
        <v>779</v>
      </c>
      <c r="C49" s="1048">
        <f ca="1">ROUND(F49*F51*F50*(1-F52)/10000,0)</f>
        <v>0</v>
      </c>
      <c r="D49" s="989" t="s">
        <v>2107</v>
      </c>
      <c r="E49" s="1277" t="s">
        <v>780</v>
      </c>
      <c r="F49" s="994"/>
      <c r="H49" s="678"/>
      <c r="I49" s="1325" t="s">
        <v>823</v>
      </c>
      <c r="J49" s="1329"/>
      <c r="K49" s="1327" t="s">
        <v>824</v>
      </c>
      <c r="L49" s="1330"/>
      <c r="O49" s="1331" t="s">
        <v>405</v>
      </c>
      <c r="P49" s="1323" t="s">
        <v>825</v>
      </c>
      <c r="Q49" s="1324" t="e">
        <f ca="1">C29</f>
        <v>#VALUE!</v>
      </c>
      <c r="R49" s="1324" t="s">
        <v>818</v>
      </c>
    </row>
    <row r="50" spans="1:18" s="1289" customFormat="1" ht="13.5" thickBot="1">
      <c r="A50" s="918"/>
      <c r="B50" s="921"/>
      <c r="C50" s="1052"/>
      <c r="D50" s="895"/>
      <c r="E50" s="990" t="s">
        <v>697</v>
      </c>
      <c r="F50" s="991">
        <f ca="1">F7</f>
        <v>0</v>
      </c>
      <c r="H50" s="678"/>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19"/>
      <c r="B51" s="921"/>
      <c r="C51" s="922"/>
      <c r="D51" s="895"/>
      <c r="E51" s="923" t="s">
        <v>698</v>
      </c>
      <c r="F51" s="295">
        <f ca="1">F8</f>
        <v>0</v>
      </c>
      <c r="I51" s="1335" t="s">
        <v>829</v>
      </c>
      <c r="J51" s="1328">
        <f>IF(J49="",J50,J49+J50-YEAR('数据-取费表'!B2))</f>
        <v>0</v>
      </c>
      <c r="K51" s="1336" t="s">
        <v>830</v>
      </c>
      <c r="L51" s="1337" t="e">
        <f ca="1">ROUND(-PV(INDIRECT("'数据-取费表'!h"&amp;$G$1),J51,(C39-C13*C76),0),0)</f>
        <v>#VALUE!</v>
      </c>
      <c r="M51" s="1338"/>
      <c r="O51" s="1331" t="s">
        <v>407</v>
      </c>
      <c r="P51" s="1323" t="s">
        <v>831</v>
      </c>
      <c r="Q51" s="1334">
        <f>J52</f>
        <v>0</v>
      </c>
      <c r="R51" s="1324"/>
    </row>
    <row r="52" spans="1:18" s="1289" customFormat="1" ht="13.5" thickBot="1">
      <c r="A52" s="919"/>
      <c r="B52" s="921"/>
      <c r="C52" s="922"/>
      <c r="D52" s="895"/>
      <c r="E52" s="923"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2113</v>
      </c>
      <c r="E53" s="305" t="s">
        <v>701</v>
      </c>
      <c r="F53" s="1050"/>
      <c r="I53" s="1341" t="s">
        <v>836</v>
      </c>
      <c r="J53" s="2003">
        <f ca="1">IF(M47="住宅",IF(D1="——",MAX(J51,L48),MAX(J51,L48-'数据-取费表'!B24)),IF(D1="——",MIN(J51,L48),MIN(J51,L48-'数据-取费表'!B24)))</f>
        <v>0</v>
      </c>
      <c r="K53" s="3449" t="s">
        <v>837</v>
      </c>
      <c r="L53" s="3450"/>
      <c r="O53" s="1322" t="s">
        <v>409</v>
      </c>
      <c r="P53" s="1323" t="s">
        <v>838</v>
      </c>
      <c r="Q53" s="1324" t="e">
        <f ca="1">Q47+Q48</f>
        <v>#VALUE!</v>
      </c>
      <c r="R53" s="1324" t="s">
        <v>410</v>
      </c>
    </row>
    <row r="54" spans="1:18" s="1289" customFormat="1" ht="13.5" thickBot="1">
      <c r="A54" s="1077"/>
      <c r="B54" s="1272" t="s">
        <v>679</v>
      </c>
      <c r="C54" s="901"/>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899">
        <v>2</v>
      </c>
      <c r="B56" s="900" t="s">
        <v>704</v>
      </c>
      <c r="C56" s="224" t="e">
        <f ca="1">C13</f>
        <v>#VALUE!</v>
      </c>
      <c r="D56" s="1349"/>
      <c r="E56" s="1350"/>
      <c r="F56" s="1342"/>
      <c r="I56" s="1351" t="s">
        <v>842</v>
      </c>
      <c r="J56" s="1352"/>
      <c r="K56" s="1325" t="s">
        <v>843</v>
      </c>
      <c r="L56" s="1328">
        <f ca="1">IF(L48&lt;J51,"——",L48-J53)</f>
        <v>0</v>
      </c>
      <c r="O56" s="1322" t="s">
        <v>403</v>
      </c>
      <c r="P56" s="1323" t="s">
        <v>817</v>
      </c>
      <c r="Q56" s="1324" t="e">
        <f ca="1">C40+J29</f>
        <v>#VALUE!</v>
      </c>
      <c r="R56" s="1324" t="s">
        <v>818</v>
      </c>
    </row>
    <row r="57" spans="1:18" s="1289" customFormat="1" ht="24.75" thickBot="1">
      <c r="A57" s="1353"/>
      <c r="B57" s="892" t="s">
        <v>767</v>
      </c>
      <c r="C57" s="230" t="e">
        <f ca="1">C29</f>
        <v>#VALUE!</v>
      </c>
      <c r="D57" s="1354"/>
      <c r="E57" s="1355"/>
      <c r="F57" s="1356"/>
      <c r="I57" s="1357" t="s">
        <v>844</v>
      </c>
      <c r="J57" s="1358">
        <f ca="1">IF(OR(M47="住宅",J51&lt;L48,J56="是"),"——",J51-L48)</f>
        <v>0</v>
      </c>
      <c r="K57" s="1325" t="s">
        <v>845</v>
      </c>
      <c r="L57" s="1328" t="e">
        <f ca="1">IF(L48&lt;J51,"——",IF(L55="比较法",L49,IF(L55="基准地价",L50,L51)))</f>
        <v>#VALUE!</v>
      </c>
      <c r="O57" s="1322" t="s">
        <v>404</v>
      </c>
      <c r="P57" s="1323" t="s">
        <v>846</v>
      </c>
      <c r="Q57" s="1324" t="e">
        <f ca="1">L60</f>
        <v>#VALUE!</v>
      </c>
      <c r="R57" s="1324" t="s">
        <v>847</v>
      </c>
    </row>
    <row r="58" spans="1:18" s="1289" customFormat="1" ht="24.75" thickBot="1">
      <c r="A58" s="307" t="s">
        <v>393</v>
      </c>
      <c r="B58" s="900" t="s">
        <v>714</v>
      </c>
      <c r="C58" s="308" t="e">
        <f ca="1">ROUND(C59+C64+C65+C66,0)</f>
        <v>#VALUE!</v>
      </c>
      <c r="D58" s="902" t="s">
        <v>715</v>
      </c>
      <c r="E58" s="903"/>
      <c r="F58" s="904"/>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4" t="s">
        <v>398</v>
      </c>
      <c r="B59" s="892" t="s">
        <v>719</v>
      </c>
      <c r="C59" s="2137">
        <f ca="1">ROUND(IF(AND(项目基本情况!B11="自然人",项目基本情况!B10="北京市"),C49*F59/(1+'数据-取费表'!C42),C60+C61+C62),0)</f>
        <v>0</v>
      </c>
      <c r="D59" s="905" t="s">
        <v>720</v>
      </c>
      <c r="E59" s="906"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#VALUE!</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4" t="s">
        <v>397</v>
      </c>
      <c r="B60" s="892" t="s">
        <v>723</v>
      </c>
      <c r="C60" s="21">
        <f ca="1">IF(项目基本情况!B11="自然人","——",ROUND(C48*F60/(1+'数据-取费表'!C42),2))</f>
        <v>0</v>
      </c>
      <c r="D60" s="906" t="s">
        <v>724</v>
      </c>
      <c r="E60" s="892" t="s">
        <v>712</v>
      </c>
      <c r="F60" s="322">
        <f t="shared" ref="F60:F66" si="0">F32</f>
        <v>0</v>
      </c>
      <c r="I60" s="1360" t="s">
        <v>853</v>
      </c>
      <c r="J60" s="1361" t="e">
        <f ca="1">IF(OR(M47="住宅",J51&lt;L48,J56="是"),"0",ROUND(J59/(1+J52)^J53,0))</f>
        <v>#VALUE!</v>
      </c>
      <c r="K60" s="1362" t="s">
        <v>854</v>
      </c>
      <c r="L60" s="1361" t="e">
        <f ca="1">IF(OR(M47="住宅",L48&lt;J51),0,ROUND(L57*(L58/L59-1),0))</f>
        <v>#VALUE!</v>
      </c>
      <c r="O60" s="1331" t="s">
        <v>407</v>
      </c>
      <c r="P60" s="1323" t="s">
        <v>855</v>
      </c>
      <c r="Q60" s="1324" t="e">
        <f ca="1">L58</f>
        <v>#DIV/0!</v>
      </c>
      <c r="R60" s="1324" t="s">
        <v>856</v>
      </c>
    </row>
    <row r="61" spans="1:18" s="1289" customFormat="1" ht="13.5" thickBot="1">
      <c r="A61" s="924" t="s">
        <v>781</v>
      </c>
      <c r="B61" s="892" t="s">
        <v>782</v>
      </c>
      <c r="C61" s="21">
        <f ca="1">IF(项目基本情况!B11="自然人","——",IF(D61="按租金收入计税",ROUND(C49*F61/(1+'数据-取费表'!C42),2),IF(D61="按房产原值计税",ROUND(C57*F61*0.7,2),INDIRECT("'数据-取费表'!Aj"&amp;$G$1))))</f>
        <v>0</v>
      </c>
      <c r="D61" s="1275" t="s">
        <v>3335</v>
      </c>
      <c r="E61" s="892"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4" t="s">
        <v>784</v>
      </c>
      <c r="B62" s="891" t="s">
        <v>785</v>
      </c>
      <c r="C62" s="22">
        <f ca="1">IF(项目基本情况!B11="自然人","——",ROUND(F62*F63/10000,2))</f>
        <v>0</v>
      </c>
      <c r="D62" s="907" t="s">
        <v>786</v>
      </c>
      <c r="E62" s="892" t="s">
        <v>787</v>
      </c>
      <c r="F62" s="317">
        <f t="shared" si="0"/>
        <v>0</v>
      </c>
      <c r="I62" s="1364" t="s">
        <v>858</v>
      </c>
      <c r="J62" s="609" t="s">
        <v>859</v>
      </c>
      <c r="K62" s="609" t="s">
        <v>860</v>
      </c>
      <c r="L62" s="609" t="s">
        <v>861</v>
      </c>
      <c r="M62" s="1365" t="s">
        <v>862</v>
      </c>
      <c r="O62" s="1322" t="s">
        <v>409</v>
      </c>
      <c r="P62" s="1323" t="s">
        <v>863</v>
      </c>
      <c r="Q62" s="1324" t="e">
        <f ca="1">Q56+Q57</f>
        <v>#VALUE!</v>
      </c>
      <c r="R62" s="1324" t="s">
        <v>410</v>
      </c>
    </row>
    <row r="63" spans="1:18" s="1289" customFormat="1" ht="13.5" thickBot="1">
      <c r="A63" s="318"/>
      <c r="B63" s="898"/>
      <c r="C63" s="26"/>
      <c r="D63" s="908"/>
      <c r="E63" s="892" t="s">
        <v>788</v>
      </c>
      <c r="F63" s="295">
        <f t="shared" ca="1" si="0"/>
        <v>0</v>
      </c>
      <c r="I63" s="1364" t="s">
        <v>864</v>
      </c>
      <c r="J63" s="609">
        <v>70</v>
      </c>
      <c r="K63" s="609">
        <v>50</v>
      </c>
      <c r="L63" s="609">
        <v>80</v>
      </c>
      <c r="M63" s="1366">
        <v>0.02</v>
      </c>
      <c r="O63" s="1307" t="s">
        <v>865</v>
      </c>
      <c r="P63" s="1286"/>
      <c r="Q63" s="1286"/>
      <c r="R63" s="1286"/>
    </row>
    <row r="64" spans="1:18" s="1289" customFormat="1" ht="13.5" thickBot="1">
      <c r="A64" s="924" t="s">
        <v>789</v>
      </c>
      <c r="B64" s="892" t="s">
        <v>790</v>
      </c>
      <c r="C64" s="21" t="e">
        <f ca="1">ROUND(C57*F64,2)</f>
        <v>#VALUE!</v>
      </c>
      <c r="D64" s="906" t="s">
        <v>791</v>
      </c>
      <c r="E64" s="892" t="s">
        <v>783</v>
      </c>
      <c r="F64" s="320">
        <f t="shared" ca="1" si="0"/>
        <v>0</v>
      </c>
      <c r="I64" s="1364" t="s">
        <v>866</v>
      </c>
      <c r="J64" s="609">
        <v>50</v>
      </c>
      <c r="K64" s="609">
        <v>35</v>
      </c>
      <c r="L64" s="609">
        <v>60</v>
      </c>
      <c r="M64" s="1365">
        <v>0</v>
      </c>
      <c r="O64" s="1315" t="s">
        <v>811</v>
      </c>
      <c r="P64" s="1316" t="s">
        <v>812</v>
      </c>
      <c r="Q64" s="1317" t="s">
        <v>813</v>
      </c>
      <c r="R64" s="1317" t="s">
        <v>814</v>
      </c>
    </row>
    <row r="65" spans="1:18" s="1289" customFormat="1" ht="13.5" thickBot="1">
      <c r="A65" s="924" t="s">
        <v>792</v>
      </c>
      <c r="B65" s="892" t="s">
        <v>742</v>
      </c>
      <c r="C65" s="21" t="e">
        <f ca="1">ROUND(C56*F65,2)</f>
        <v>#VALUE!</v>
      </c>
      <c r="D65" s="906" t="s">
        <v>743</v>
      </c>
      <c r="E65" s="892" t="s">
        <v>744</v>
      </c>
      <c r="F65" s="321">
        <f t="shared" ca="1" si="0"/>
        <v>0</v>
      </c>
      <c r="I65" s="1364" t="s">
        <v>867</v>
      </c>
      <c r="J65" s="609">
        <v>40</v>
      </c>
      <c r="K65" s="609">
        <v>30</v>
      </c>
      <c r="L65" s="609">
        <v>50</v>
      </c>
      <c r="M65" s="1366">
        <v>0.02</v>
      </c>
      <c r="O65" s="1322" t="s">
        <v>403</v>
      </c>
      <c r="P65" s="1323" t="s">
        <v>868</v>
      </c>
      <c r="Q65" s="1324" t="e">
        <f ca="1">C40+J29</f>
        <v>#VALUE!</v>
      </c>
      <c r="R65" s="1324" t="s">
        <v>818</v>
      </c>
    </row>
    <row r="66" spans="1:18" s="1289" customFormat="1" ht="16.5" thickBot="1">
      <c r="A66" s="924" t="s">
        <v>793</v>
      </c>
      <c r="B66" s="892" t="s">
        <v>728</v>
      </c>
      <c r="C66" s="21">
        <f ca="1">ROUND(C48*F66,2)</f>
        <v>0</v>
      </c>
      <c r="D66" s="906" t="s">
        <v>794</v>
      </c>
      <c r="E66" s="892" t="s">
        <v>712</v>
      </c>
      <c r="F66" s="304">
        <f t="shared" ca="1" si="0"/>
        <v>0</v>
      </c>
      <c r="O66" s="1322" t="s">
        <v>404</v>
      </c>
      <c r="P66" s="1323" t="s">
        <v>846</v>
      </c>
      <c r="Q66" s="1324" t="e">
        <f ca="1">L60</f>
        <v>#VALUE!</v>
      </c>
      <c r="R66" s="1324" t="s">
        <v>869</v>
      </c>
    </row>
    <row r="67" spans="1:18" s="1289" customFormat="1" ht="16.5" thickBot="1">
      <c r="A67" s="899" t="s">
        <v>394</v>
      </c>
      <c r="B67" s="909" t="s">
        <v>752</v>
      </c>
      <c r="C67" s="308" t="e">
        <f ca="1">C48-C58</f>
        <v>#VALUE!</v>
      </c>
      <c r="D67" s="905" t="s">
        <v>753</v>
      </c>
      <c r="E67" s="910"/>
      <c r="F67" s="911"/>
      <c r="O67" s="1331" t="s">
        <v>405</v>
      </c>
      <c r="P67" s="1323" t="s">
        <v>850</v>
      </c>
      <c r="Q67" s="1367" t="e">
        <f ca="1">L51</f>
        <v>#VALUE!</v>
      </c>
      <c r="R67" s="1324" t="s">
        <v>870</v>
      </c>
    </row>
    <row r="68" spans="1:18" s="1289" customFormat="1" ht="16.5" thickBot="1">
      <c r="A68" s="889" t="s">
        <v>395</v>
      </c>
      <c r="B68" s="890" t="s">
        <v>774</v>
      </c>
      <c r="C68" s="293" t="e">
        <f ca="1">ROUND(C67*(1-((1+F70)/(1+F68))^F69)/(F68-F70),0)</f>
        <v>#VALUE!</v>
      </c>
      <c r="D68" s="907" t="s">
        <v>758</v>
      </c>
      <c r="E68" s="892" t="s">
        <v>759</v>
      </c>
      <c r="F68" s="304">
        <f ca="1">F40</f>
        <v>0</v>
      </c>
      <c r="O68" s="1331" t="s">
        <v>406</v>
      </c>
      <c r="P68" s="1368" t="s">
        <v>871</v>
      </c>
      <c r="Q68" s="1324" t="e">
        <f ca="1">ROUND(Q69-Q70*Q71,0)</f>
        <v>#VALUE!</v>
      </c>
      <c r="R68" s="1324" t="s">
        <v>414</v>
      </c>
    </row>
    <row r="69" spans="1:18" s="1289" customFormat="1" ht="13.5" thickBot="1">
      <c r="A69" s="893"/>
      <c r="B69" s="894"/>
      <c r="C69" s="298"/>
      <c r="D69" s="912" t="s">
        <v>762</v>
      </c>
      <c r="E69" s="892" t="s">
        <v>763</v>
      </c>
      <c r="F69" s="324">
        <f ca="1">F41</f>
        <v>0</v>
      </c>
      <c r="O69" s="1331" t="s">
        <v>411</v>
      </c>
      <c r="P69" s="1368" t="s">
        <v>872</v>
      </c>
      <c r="Q69" s="1324" t="e">
        <f ca="1">C39</f>
        <v>#VALUE!</v>
      </c>
      <c r="R69" s="1324" t="s">
        <v>818</v>
      </c>
    </row>
    <row r="70" spans="1:18" s="1289" customFormat="1" ht="13.5" thickBot="1">
      <c r="A70" s="896"/>
      <c r="B70" s="897"/>
      <c r="C70" s="302"/>
      <c r="D70" s="908"/>
      <c r="E70" s="892" t="s">
        <v>766</v>
      </c>
      <c r="F70" s="988"/>
      <c r="O70" s="1331" t="s">
        <v>412</v>
      </c>
      <c r="P70" s="1368" t="s">
        <v>873</v>
      </c>
      <c r="Q70" s="1324" t="e">
        <f ca="1">C13</f>
        <v>#VALUE!</v>
      </c>
      <c r="R70" s="1324" t="s">
        <v>818</v>
      </c>
    </row>
    <row r="71" spans="1:18" s="1289" customFormat="1" ht="13.5" thickBot="1">
      <c r="A71" s="913" t="s">
        <v>396</v>
      </c>
      <c r="B71" s="914" t="s">
        <v>776</v>
      </c>
      <c r="C71" s="327" t="e">
        <f ca="1">ROUND(C68*10000/F71,0)</f>
        <v>#VALUE!</v>
      </c>
      <c r="D71" s="915" t="s">
        <v>777</v>
      </c>
      <c r="E71" s="916" t="s">
        <v>778</v>
      </c>
      <c r="F71" s="330">
        <f ca="1">F43</f>
        <v>0</v>
      </c>
      <c r="O71" s="1331" t="s">
        <v>413</v>
      </c>
      <c r="P71" s="1368" t="s">
        <v>874</v>
      </c>
      <c r="Q71" s="1334">
        <f ca="1">C76</f>
        <v>0</v>
      </c>
      <c r="R71" s="1324"/>
    </row>
    <row r="72" spans="1:18" s="1289" customFormat="1" ht="13.5" thickBot="1">
      <c r="B72" s="681"/>
      <c r="C72" s="681"/>
      <c r="O72" s="1331" t="s">
        <v>407</v>
      </c>
      <c r="P72" s="1323" t="s">
        <v>852</v>
      </c>
      <c r="Q72" s="1334">
        <f>L52</f>
        <v>0</v>
      </c>
      <c r="R72" s="1324"/>
    </row>
    <row r="73" spans="1:18" ht="16.5" thickBot="1">
      <c r="A73" s="1289"/>
      <c r="B73" s="681"/>
      <c r="C73" s="681"/>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t="e">
        <f ca="1">ROUND(C13*C76,0)</f>
        <v>#VALUE!</v>
      </c>
      <c r="D75" s="1289"/>
      <c r="E75" s="1289"/>
      <c r="F75" s="1289"/>
      <c r="K75" s="1306"/>
      <c r="L75" s="1289"/>
      <c r="O75" s="1322" t="s">
        <v>409</v>
      </c>
      <c r="P75" s="1323" t="s">
        <v>838</v>
      </c>
      <c r="Q75" s="1324" t="e">
        <f ca="1">Q65+Q66</f>
        <v>#VALUE!</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Q45" sqref="Q45"/>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59"/>
      <c r="C1" s="1284"/>
      <c r="D1" s="1268" t="s">
        <v>43</v>
      </c>
      <c r="E1" s="1269" t="s">
        <v>678</v>
      </c>
      <c r="F1" s="996">
        <f ca="1">J53</f>
        <v>0</v>
      </c>
      <c r="G1" s="1283">
        <f>MATCH(C1,'数据-取费表'!A6:A16,0)+5</f>
        <v>6</v>
      </c>
      <c r="H1" s="2461"/>
      <c r="I1" s="2462"/>
      <c r="J1" s="2462"/>
      <c r="K1" s="2463"/>
      <c r="L1" s="2462"/>
      <c r="M1" s="2462"/>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90" t="s">
        <v>878</v>
      </c>
      <c r="B2" s="3119" t="e">
        <f ca="1">ROUND(D2/10000,4)</f>
        <v>#VALUE!</v>
      </c>
      <c r="C2" s="1286" t="s">
        <v>879</v>
      </c>
      <c r="D2" s="1372" t="e">
        <f ca="1">C40+J29+L46</f>
        <v>#VALUE!</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5"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51" t="s">
        <v>694</v>
      </c>
      <c r="C6" s="1008">
        <f ca="1">ROUND(F6*F8*F7*(1-F9),0)</f>
        <v>0</v>
      </c>
      <c r="D6" s="147" t="s">
        <v>2103</v>
      </c>
      <c r="E6" s="294" t="s">
        <v>696</v>
      </c>
      <c r="F6" s="295">
        <f ca="1">INDIRECT("'数据-取费表'!u"&amp;$G$1)</f>
        <v>0</v>
      </c>
      <c r="G6" s="1289"/>
      <c r="H6" s="1003" t="s">
        <v>398</v>
      </c>
      <c r="I6" s="3451" t="s">
        <v>694</v>
      </c>
      <c r="J6" s="293">
        <f ca="1">ROUND(M6*M8*M7*(1-M9),0)</f>
        <v>0</v>
      </c>
      <c r="K6" s="1281" t="s">
        <v>2104</v>
      </c>
      <c r="L6" s="294" t="s">
        <v>696</v>
      </c>
      <c r="M6" s="295">
        <f ca="1">INDIRECT("'数据-取费表'!z"&amp;$G$1)</f>
        <v>0</v>
      </c>
    </row>
    <row r="7" spans="1:37" ht="18" customHeight="1">
      <c r="A7" s="1007"/>
      <c r="B7" s="3452"/>
      <c r="C7" s="1009"/>
      <c r="D7" s="299"/>
      <c r="E7" s="1010" t="s">
        <v>697</v>
      </c>
      <c r="F7" s="295">
        <f ca="1">IF(INDIRECT("'数据-取费表'!ah"&amp;$G$1)="",INDIRECT("'数据-取费表'!k"&amp;$G$1),INDIRECT("'数据-取费表'!ah"&amp;$G$1))</f>
        <v>0</v>
      </c>
      <c r="G7" s="1289"/>
      <c r="H7" s="296"/>
      <c r="I7" s="3452"/>
      <c r="J7" s="298"/>
      <c r="K7" s="299"/>
      <c r="L7" s="294" t="s">
        <v>697</v>
      </c>
      <c r="M7" s="295">
        <f ca="1">F7</f>
        <v>0</v>
      </c>
    </row>
    <row r="8" spans="1:37" ht="18" customHeight="1">
      <c r="A8" s="296"/>
      <c r="B8" s="3452"/>
      <c r="C8" s="298"/>
      <c r="D8" s="299"/>
      <c r="E8" s="294" t="s">
        <v>698</v>
      </c>
      <c r="F8" s="295">
        <f ca="1">INDIRECT("'数据-取费表'!ai"&amp;$G$1)</f>
        <v>0</v>
      </c>
      <c r="G8" s="1289"/>
      <c r="H8" s="296"/>
      <c r="I8" s="3452"/>
      <c r="J8" s="298"/>
      <c r="K8" s="299"/>
      <c r="L8" s="294" t="s">
        <v>698</v>
      </c>
      <c r="M8" s="295">
        <f ca="1">INDIRECT("'数据-取费表'!ai"&amp;$G$1)</f>
        <v>0</v>
      </c>
    </row>
    <row r="9" spans="1:37" ht="18" customHeight="1">
      <c r="A9" s="296"/>
      <c r="B9" s="3453"/>
      <c r="C9" s="298"/>
      <c r="D9" s="299"/>
      <c r="E9" s="294" t="s">
        <v>699</v>
      </c>
      <c r="F9" s="304">
        <f ca="1">INDIRECT("'数据-取费表'!w"&amp;$G$1)</f>
        <v>0</v>
      </c>
      <c r="G9" s="1289"/>
      <c r="H9" s="296"/>
      <c r="I9" s="3453"/>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2113</v>
      </c>
      <c r="E10" s="305" t="s">
        <v>701</v>
      </c>
      <c r="F10" s="1050"/>
      <c r="G10" s="1289"/>
      <c r="H10" s="1003" t="s">
        <v>402</v>
      </c>
      <c r="I10" s="1271" t="s">
        <v>700</v>
      </c>
      <c r="J10" s="293">
        <f ca="1">ROUND(IF(M10="押一",J6/12*M11,IF(M10="押二",J6/12*2*M11,IF(M10="押三",J6/12*3*M11,J11*M11))),0)</f>
        <v>0</v>
      </c>
      <c r="K10" s="1282" t="s">
        <v>2115</v>
      </c>
      <c r="L10" s="305" t="s">
        <v>701</v>
      </c>
      <c r="M10" s="1050"/>
    </row>
    <row r="11" spans="1:37" ht="18" customHeight="1">
      <c r="A11" s="300"/>
      <c r="B11" s="1272" t="s">
        <v>890</v>
      </c>
      <c r="C11" s="901"/>
      <c r="D11" s="299"/>
      <c r="E11" s="305" t="s">
        <v>702</v>
      </c>
      <c r="F11" s="306">
        <f ca="1">'数据-取费表'!B39</f>
        <v>1.4999999999999999E-2</v>
      </c>
      <c r="G11" s="1289"/>
      <c r="H11" s="1011"/>
      <c r="I11" s="1272" t="s">
        <v>891</v>
      </c>
      <c r="J11" s="901"/>
      <c r="K11" s="642"/>
      <c r="L11" s="305" t="s">
        <v>702</v>
      </c>
      <c r="M11" s="805">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#VALUE!</v>
      </c>
      <c r="D13" s="1015" t="s">
        <v>705</v>
      </c>
      <c r="E13" s="1015" t="s">
        <v>706</v>
      </c>
      <c r="F13" s="1016">
        <f ca="1">INDIRECT("'数据-取费表'!y"&amp;$G$1)</f>
        <v>0</v>
      </c>
      <c r="G13" s="1289"/>
      <c r="H13" s="1013">
        <v>2</v>
      </c>
      <c r="I13" s="1014" t="s">
        <v>704</v>
      </c>
      <c r="J13" s="1002" t="e">
        <f ca="1">ROUND(J14*J15,0)</f>
        <v>#VALUE!</v>
      </c>
      <c r="K13" s="1021" t="s">
        <v>705</v>
      </c>
      <c r="L13" s="1296"/>
      <c r="M13" s="1297"/>
    </row>
    <row r="14" spans="1:37" ht="18" customHeight="1">
      <c r="A14" s="924" t="s">
        <v>397</v>
      </c>
      <c r="B14" s="294" t="s">
        <v>707</v>
      </c>
      <c r="C14" s="310">
        <f ca="1">ROUND(INDIRECT("'数据-取费表'!l"&amp;$G$1)*F43+'数据-取费表'!L14*INDIRECT("'数据-取费表'!S"&amp;$G$1),0)</f>
        <v>0</v>
      </c>
      <c r="D14" s="1254" t="s">
        <v>708</v>
      </c>
      <c r="E14" s="1252"/>
      <c r="F14" s="311"/>
      <c r="G14" s="1289"/>
      <c r="H14" s="924" t="s">
        <v>398</v>
      </c>
      <c r="I14" s="294" t="s">
        <v>709</v>
      </c>
      <c r="J14" s="21" t="e">
        <f ca="1">C29</f>
        <v>#VALUE!</v>
      </c>
      <c r="K14" s="12"/>
      <c r="L14" s="755"/>
      <c r="M14" s="756"/>
    </row>
    <row r="15" spans="1:37" s="1301" customFormat="1" ht="18" customHeight="1" thickBot="1">
      <c r="A15" s="924" t="s">
        <v>399</v>
      </c>
      <c r="B15" s="294" t="s">
        <v>710</v>
      </c>
      <c r="C15" s="21">
        <f ca="1">ROUND(C14*F15,0)</f>
        <v>0</v>
      </c>
      <c r="D15" s="312" t="s">
        <v>711</v>
      </c>
      <c r="E15" s="312" t="s">
        <v>712</v>
      </c>
      <c r="F15" s="313">
        <f>'数据-取费表'!B33</f>
        <v>0</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t="e">
        <f ca="1">ROUND(J17+J22+J23+J24,0)</f>
        <v>#VALUE!</v>
      </c>
      <c r="K16" s="1021" t="s">
        <v>715</v>
      </c>
      <c r="L16" s="1022"/>
      <c r="M16" s="1006"/>
    </row>
    <row r="17" spans="1:37" s="1301" customFormat="1" ht="18" customHeight="1">
      <c r="A17" s="924" t="s">
        <v>681</v>
      </c>
      <c r="B17" s="294" t="s">
        <v>716</v>
      </c>
      <c r="C17" s="21">
        <f ca="1">ROUND(F17*(F43+INDIRECT("'数据-取费表'!S"&amp;$G$1)),0)</f>
        <v>0</v>
      </c>
      <c r="D17" s="294" t="s">
        <v>717</v>
      </c>
      <c r="E17" s="294" t="s">
        <v>718</v>
      </c>
      <c r="F17" s="23">
        <f>'数据-取费表'!B35</f>
        <v>0</v>
      </c>
      <c r="G17" s="1300"/>
      <c r="H17" s="924" t="s">
        <v>398</v>
      </c>
      <c r="I17" s="294" t="s">
        <v>719</v>
      </c>
      <c r="J17" s="2137">
        <f ca="1">ROUND(IF(AND(项目基本情况!B11="自然人",项目基本情况!B10="北京市"),J6*M17/(1+'数据-取费表'!C42),J18+J19+J20),0)</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4" t="s">
        <v>682</v>
      </c>
      <c r="B18" s="294" t="s">
        <v>722</v>
      </c>
      <c r="C18" s="21">
        <f ca="1">ROUND(C14*F18,0)</f>
        <v>0</v>
      </c>
      <c r="D18" s="294" t="s">
        <v>711</v>
      </c>
      <c r="E18" s="294" t="s">
        <v>712</v>
      </c>
      <c r="F18" s="314">
        <f>'数据-取费表'!B36</f>
        <v>0</v>
      </c>
      <c r="G18" s="1300"/>
      <c r="H18" s="924" t="s">
        <v>397</v>
      </c>
      <c r="I18" s="294" t="s">
        <v>723</v>
      </c>
      <c r="J18" s="21">
        <f ca="1">ROUND(J6*M18/(1+'数据-取费表'!C42),0)</f>
        <v>0</v>
      </c>
      <c r="K18" s="1253" t="s">
        <v>724</v>
      </c>
      <c r="L18" s="294" t="s">
        <v>712</v>
      </c>
      <c r="M18" s="314">
        <f>'数据-取费表'!B41</f>
        <v>0</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4" t="s">
        <v>398</v>
      </c>
      <c r="B19" s="294" t="s">
        <v>725</v>
      </c>
      <c r="C19" s="21">
        <f ca="1">SUM(C14:C18)</f>
        <v>0</v>
      </c>
      <c r="D19" s="123" t="s">
        <v>726</v>
      </c>
      <c r="E19" s="1266"/>
      <c r="F19" s="23"/>
      <c r="G19" s="1289"/>
      <c r="H19" s="924" t="s">
        <v>399</v>
      </c>
      <c r="I19" s="294" t="s">
        <v>727</v>
      </c>
      <c r="J19" s="21">
        <f ca="1">IF(K19="按租金收入计税",ROUND(J6*M19/(1+'数据-取费表'!C42),0),ROUND(C29*M19*0.7,0))</f>
        <v>0</v>
      </c>
      <c r="K19" s="1275" t="s">
        <v>3335</v>
      </c>
      <c r="L19" s="294" t="s">
        <v>712</v>
      </c>
      <c r="M19" s="314">
        <f>IF(K19="按租金收入计税",'数据-取费表'!B51,'数据-取费表'!B50)</f>
        <v>0.12</v>
      </c>
    </row>
    <row r="20" spans="1:37" s="1301" customFormat="1" ht="18" customHeight="1">
      <c r="A20" s="924" t="s">
        <v>402</v>
      </c>
      <c r="B20" s="294" t="s">
        <v>728</v>
      </c>
      <c r="C20" s="21">
        <f ca="1">ROUND(C19*F20,0)</f>
        <v>0</v>
      </c>
      <c r="D20" s="315" t="s">
        <v>729</v>
      </c>
      <c r="E20" s="294" t="s">
        <v>712</v>
      </c>
      <c r="F20" s="314">
        <f>'数据-取费表'!B37</f>
        <v>0</v>
      </c>
      <c r="G20" s="1300"/>
      <c r="H20" s="924" t="s">
        <v>680</v>
      </c>
      <c r="I20" s="147" t="s">
        <v>730</v>
      </c>
      <c r="J20" s="22">
        <f ca="1">ROUND(M20*M21,0)</f>
        <v>0</v>
      </c>
      <c r="K20" s="316" t="s">
        <v>731</v>
      </c>
      <c r="L20" s="294" t="s">
        <v>732</v>
      </c>
      <c r="M20" s="317">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4" t="s">
        <v>437</v>
      </c>
      <c r="B21" s="294" t="s">
        <v>733</v>
      </c>
      <c r="C21" s="21" t="s">
        <v>0</v>
      </c>
      <c r="D21" s="315" t="s">
        <v>734</v>
      </c>
      <c r="E21" s="294" t="s">
        <v>735</v>
      </c>
      <c r="F21" s="314">
        <f>'数据-取费表'!B38</f>
        <v>0</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4" t="s">
        <v>683</v>
      </c>
      <c r="B22" s="294" t="s">
        <v>737</v>
      </c>
      <c r="C22" s="21"/>
      <c r="D22" s="123" t="str">
        <f>IF(F23&lt;=1,"单利计息。","复利计息。")&amp;"建造成本、管理费用、销售费用产生的利息。"</f>
        <v>单利计息。建造成本、管理费用、销售费用产生的利息。</v>
      </c>
      <c r="E22" s="1266"/>
      <c r="F22" s="23"/>
      <c r="G22" s="1289"/>
      <c r="H22" s="924" t="s">
        <v>402</v>
      </c>
      <c r="I22" s="294" t="s">
        <v>738</v>
      </c>
      <c r="J22" s="21" t="e">
        <f ca="1">ROUND(J14*M22,0)</f>
        <v>#VALUE!</v>
      </c>
      <c r="K22" s="1253" t="s">
        <v>739</v>
      </c>
      <c r="L22" s="294" t="s">
        <v>712</v>
      </c>
      <c r="M22" s="320">
        <f ca="1">INDIRECT("'数据-取费表'!Ak"&amp;$G$1)</f>
        <v>0</v>
      </c>
    </row>
    <row r="23" spans="1:37" s="1301" customFormat="1" ht="18" customHeight="1">
      <c r="A23" s="924"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0"/>
      <c r="H23" s="924" t="s">
        <v>437</v>
      </c>
      <c r="I23" s="294" t="s">
        <v>742</v>
      </c>
      <c r="J23" s="21" t="e">
        <f ca="1">ROUND(J13*M23,0)</f>
        <v>#VALUE!</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4"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4" t="s">
        <v>749</v>
      </c>
      <c r="B25" s="294" t="s">
        <v>750</v>
      </c>
      <c r="C25" s="21"/>
      <c r="D25" s="123" t="s">
        <v>751</v>
      </c>
      <c r="E25" s="1266"/>
      <c r="F25" s="23"/>
      <c r="G25" s="1289"/>
      <c r="H25" s="1013" t="s">
        <v>394</v>
      </c>
      <c r="I25" s="1028" t="s">
        <v>752</v>
      </c>
      <c r="J25" s="302" t="e">
        <f ca="1">J5-J16</f>
        <v>#VALUE!</v>
      </c>
      <c r="K25" s="1029" t="s">
        <v>753</v>
      </c>
      <c r="L25" s="1030"/>
      <c r="M25" s="1031"/>
    </row>
    <row r="26" spans="1:37" ht="18" customHeight="1">
      <c r="A26" s="924"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4" t="s">
        <v>400</v>
      </c>
      <c r="B28" s="294" t="s">
        <v>764</v>
      </c>
      <c r="C28" s="21">
        <f>ROUND(F28/(1+'数据-取费表'!C42),4)</f>
        <v>0</v>
      </c>
      <c r="D28" s="315" t="s">
        <v>765</v>
      </c>
      <c r="E28" s="294" t="s">
        <v>712</v>
      </c>
      <c r="F28" s="314">
        <f>'数据-取费表'!B41</f>
        <v>0</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#VALUE!</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#VALUE!</v>
      </c>
      <c r="D30" s="1021" t="s">
        <v>715</v>
      </c>
      <c r="E30" s="1022"/>
      <c r="F30" s="1006"/>
      <c r="G30" s="1289"/>
      <c r="H30" s="2466"/>
      <c r="I30" s="1302"/>
      <c r="J30" s="1303"/>
      <c r="K30" s="121"/>
      <c r="L30" s="2467"/>
      <c r="M30" s="2468"/>
    </row>
    <row r="31" spans="1:37" ht="18" customHeight="1">
      <c r="A31" s="924" t="s">
        <v>398</v>
      </c>
      <c r="B31" s="294" t="s">
        <v>719</v>
      </c>
      <c r="C31" s="2137">
        <f ca="1">ROUND(IF(AND(项目基本情况!B11="自然人",项目基本情况!B10="北京市"),C6*F31/(1+'数据-取费表'!C42),C32+C33+C34),0)</f>
        <v>0</v>
      </c>
      <c r="D31" s="1254" t="s">
        <v>720</v>
      </c>
      <c r="E31" s="1253" t="s">
        <v>770</v>
      </c>
      <c r="F31" s="2136">
        <f ca="1">IF(项目基本情况!B11="企业","——",IF(M47="住宅",IF(F6*F7*F8/12/(1+'数据-取费表'!F30)&gt;100000,4%,2.5%),IF(F6*F7*F8/12/(1+'数据-取费表'!F30)&gt;100000,12%,7%)))</f>
        <v>7.0000000000000007E-2</v>
      </c>
      <c r="G31" s="1289"/>
      <c r="H31" s="2565" t="s">
        <v>2303</v>
      </c>
      <c r="I31" s="1302"/>
      <c r="J31" s="1303"/>
      <c r="K31" s="121"/>
      <c r="L31" s="2467"/>
      <c r="M31" s="2468"/>
    </row>
    <row r="32" spans="1:37" ht="18" customHeight="1">
      <c r="A32" s="924" t="s">
        <v>397</v>
      </c>
      <c r="B32" s="294" t="s">
        <v>723</v>
      </c>
      <c r="C32" s="21">
        <f ca="1">IF(项目基本情况!B11="自然人","——",ROUND(C6*F32/(1+'数据-取费表'!C42),0))</f>
        <v>0</v>
      </c>
      <c r="D32" s="1253" t="s">
        <v>724</v>
      </c>
      <c r="E32" s="294" t="s">
        <v>712</v>
      </c>
      <c r="F32" s="322">
        <f>'数据-取费表'!B41</f>
        <v>0</v>
      </c>
      <c r="G32" s="1289"/>
      <c r="H32" s="2466"/>
      <c r="I32" s="1302"/>
      <c r="J32" s="1303"/>
      <c r="K32" s="121"/>
      <c r="L32" s="2467"/>
      <c r="M32" s="2468"/>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5" t="s">
        <v>3335</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0</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t="e">
        <f ca="1">ROUND(C29*F36,0)</f>
        <v>#VALUE!</v>
      </c>
      <c r="D36" s="1253" t="s">
        <v>771</v>
      </c>
      <c r="E36" s="294" t="s">
        <v>712</v>
      </c>
      <c r="F36" s="320">
        <f ca="1">INDIRECT("'数据-取费表'!Ak"&amp;$G$1)</f>
        <v>0</v>
      </c>
      <c r="G36" s="1289"/>
      <c r="H36" s="2469"/>
      <c r="I36" s="1302"/>
      <c r="J36" s="1303"/>
      <c r="K36" s="2326"/>
      <c r="L36" s="2469"/>
      <c r="M36" s="2469"/>
    </row>
    <row r="37" spans="1:18" ht="18" customHeight="1">
      <c r="A37" s="924" t="s">
        <v>437</v>
      </c>
      <c r="B37" s="294" t="s">
        <v>742</v>
      </c>
      <c r="C37" s="21" t="e">
        <f ca="1">ROUND(C13*F37,0)</f>
        <v>#VALUE!</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t="e">
        <f ca="1">C5-C30</f>
        <v>#VALUE!</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#VALUE!</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#VALUE!</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5" t="s">
        <v>3351</v>
      </c>
      <c r="B45" s="1304"/>
      <c r="C45" s="1373" t="e">
        <f ca="1">ROUND((C68-C40)/10000,4)</f>
        <v>#VALUE!</v>
      </c>
      <c r="D45" s="3126" t="s">
        <v>3352</v>
      </c>
      <c r="E45" s="1304"/>
      <c r="F45" s="1304"/>
      <c r="O45" s="1307" t="s">
        <v>808</v>
      </c>
      <c r="P45" s="1363"/>
      <c r="Q45" s="1363"/>
      <c r="R45" s="1363"/>
    </row>
    <row r="46" spans="1:18" s="1289" customFormat="1" ht="13.5" thickBot="1">
      <c r="A46" s="1308" t="s">
        <v>809</v>
      </c>
      <c r="C46" s="1309" t="e">
        <f ca="1">ROUND(C45,0)</f>
        <v>#VALUE!</v>
      </c>
      <c r="D46" s="1310" t="str">
        <f>C2</f>
        <v>万元</v>
      </c>
      <c r="I46" s="1311" t="s">
        <v>810</v>
      </c>
      <c r="J46" s="1312"/>
      <c r="K46" s="1313"/>
      <c r="L46" s="1314" t="e">
        <f ca="1">IF(M47="住宅",0,IF(L48&gt;J51,L60,J60))</f>
        <v>#VALUE!</v>
      </c>
      <c r="O46" s="1315" t="s">
        <v>811</v>
      </c>
      <c r="P46" s="1316" t="s">
        <v>812</v>
      </c>
      <c r="Q46" s="1317" t="s">
        <v>813</v>
      </c>
      <c r="R46" s="1317" t="s">
        <v>814</v>
      </c>
    </row>
    <row r="47" spans="1:18" s="1289" customFormat="1" ht="13.5" thickBot="1">
      <c r="A47" s="888" t="s">
        <v>687</v>
      </c>
      <c r="B47" s="920" t="s">
        <v>688</v>
      </c>
      <c r="C47" s="920" t="s">
        <v>689</v>
      </c>
      <c r="D47" s="920" t="s">
        <v>690</v>
      </c>
      <c r="E47" s="992" t="s">
        <v>691</v>
      </c>
      <c r="F47" s="993"/>
      <c r="G47" s="677"/>
      <c r="I47" s="1318" t="s">
        <v>815</v>
      </c>
      <c r="J47" s="1319"/>
      <c r="K47" s="1320" t="s">
        <v>816</v>
      </c>
      <c r="L47" s="1321">
        <f ca="1">INDIRECT("'数据-取费表'!d"&amp;$G$1)</f>
        <v>0</v>
      </c>
      <c r="M47" s="1285" t="str">
        <f>IF(ISNUMBER(FIND("住宅",C1)),"住宅","非住宅")</f>
        <v>非住宅</v>
      </c>
      <c r="O47" s="1322" t="s">
        <v>403</v>
      </c>
      <c r="P47" s="1323" t="s">
        <v>817</v>
      </c>
      <c r="Q47" s="1324" t="e">
        <f ca="1">C40+J29</f>
        <v>#VALUE!</v>
      </c>
      <c r="R47" s="1324" t="s">
        <v>818</v>
      </c>
    </row>
    <row r="48" spans="1:18" s="1289" customFormat="1" ht="28.5" thickBot="1">
      <c r="A48" s="1044" t="s">
        <v>438</v>
      </c>
      <c r="B48" s="292" t="s">
        <v>692</v>
      </c>
      <c r="C48" s="1265">
        <f ca="1">C49+C53+C55</f>
        <v>0</v>
      </c>
      <c r="D48" s="1046"/>
      <c r="E48" s="1047"/>
      <c r="F48" s="904"/>
      <c r="G48" s="677"/>
      <c r="H48" s="678"/>
      <c r="I48" s="1325" t="s">
        <v>819</v>
      </c>
      <c r="J48" s="1326"/>
      <c r="K48" s="1327" t="s">
        <v>820</v>
      </c>
      <c r="L48" s="1328">
        <f ca="1">INDIRECT("'数据-取费表'!f"&amp;$G$1)</f>
        <v>0</v>
      </c>
      <c r="O48" s="1322" t="s">
        <v>404</v>
      </c>
      <c r="P48" s="1323" t="s">
        <v>821</v>
      </c>
      <c r="Q48" s="1324" t="e">
        <f ca="1">J60</f>
        <v>#VALUE!</v>
      </c>
      <c r="R48" s="1324" t="s">
        <v>822</v>
      </c>
    </row>
    <row r="49" spans="1:18" s="1289" customFormat="1" ht="13.5" thickBot="1">
      <c r="A49" s="917" t="s">
        <v>439</v>
      </c>
      <c r="B49" s="1276" t="s">
        <v>779</v>
      </c>
      <c r="C49" s="1048">
        <f ca="1">ROUND(F49*F51*F50*(1-F52),0)</f>
        <v>0</v>
      </c>
      <c r="D49" s="989" t="s">
        <v>695</v>
      </c>
      <c r="E49" s="1277" t="s">
        <v>780</v>
      </c>
      <c r="F49" s="994"/>
      <c r="H49" s="678"/>
      <c r="I49" s="1325" t="s">
        <v>823</v>
      </c>
      <c r="J49" s="1329"/>
      <c r="K49" s="1327" t="s">
        <v>824</v>
      </c>
      <c r="L49" s="1330"/>
      <c r="O49" s="1331" t="s">
        <v>405</v>
      </c>
      <c r="P49" s="1323" t="s">
        <v>825</v>
      </c>
      <c r="Q49" s="1324" t="e">
        <f ca="1">C29</f>
        <v>#VALUE!</v>
      </c>
      <c r="R49" s="1324" t="s">
        <v>818</v>
      </c>
    </row>
    <row r="50" spans="1:18" s="1289" customFormat="1" ht="13.5" thickBot="1">
      <c r="A50" s="918"/>
      <c r="B50" s="921"/>
      <c r="C50" s="922"/>
      <c r="D50" s="895"/>
      <c r="E50" s="990" t="s">
        <v>697</v>
      </c>
      <c r="F50" s="991">
        <f ca="1">F7</f>
        <v>0</v>
      </c>
      <c r="H50" s="678"/>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19"/>
      <c r="B51" s="921"/>
      <c r="C51" s="922"/>
      <c r="D51" s="895"/>
      <c r="E51" s="923" t="s">
        <v>698</v>
      </c>
      <c r="F51" s="295">
        <f ca="1">F8</f>
        <v>0</v>
      </c>
      <c r="I51" s="1335" t="s">
        <v>829</v>
      </c>
      <c r="J51" s="1328">
        <f>IF(J49="",J50,J49+J50-YEAR('数据-取费表'!B2))</f>
        <v>0</v>
      </c>
      <c r="K51" s="1336" t="s">
        <v>830</v>
      </c>
      <c r="L51" s="1337" t="e">
        <f ca="1">ROUND(-PV(INDIRECT("'数据-取费表'!h"&amp;$G$1),J51,(C39-C13*C76),0),0)</f>
        <v>#VALUE!</v>
      </c>
      <c r="M51" s="1338"/>
      <c r="O51" s="1331" t="s">
        <v>407</v>
      </c>
      <c r="P51" s="1323" t="s">
        <v>831</v>
      </c>
      <c r="Q51" s="1334">
        <f>J52</f>
        <v>0</v>
      </c>
      <c r="R51" s="1324"/>
    </row>
    <row r="52" spans="1:18" s="1289" customFormat="1" ht="13.5" thickBot="1">
      <c r="A52" s="919"/>
      <c r="B52" s="921"/>
      <c r="C52" s="922"/>
      <c r="D52" s="895"/>
      <c r="E52" s="923"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0</v>
      </c>
      <c r="K53" s="3449" t="s">
        <v>837</v>
      </c>
      <c r="L53" s="3450"/>
      <c r="O53" s="1322" t="s">
        <v>409</v>
      </c>
      <c r="P53" s="1323" t="s">
        <v>838</v>
      </c>
      <c r="Q53" s="1324" t="e">
        <f ca="1">Q47+Q48</f>
        <v>#VALUE!</v>
      </c>
      <c r="R53" s="1324" t="s">
        <v>410</v>
      </c>
    </row>
    <row r="54" spans="1:18" s="1289" customFormat="1" ht="13.5" thickBot="1">
      <c r="A54" s="917"/>
      <c r="B54" s="1374" t="s">
        <v>891</v>
      </c>
      <c r="C54" s="901"/>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899">
        <v>2</v>
      </c>
      <c r="B56" s="900" t="s">
        <v>704</v>
      </c>
      <c r="C56" s="224" t="e">
        <f ca="1">C13</f>
        <v>#VALUE!</v>
      </c>
      <c r="D56" s="1349"/>
      <c r="E56" s="1350"/>
      <c r="F56" s="1342"/>
      <c r="I56" s="1351" t="s">
        <v>842</v>
      </c>
      <c r="J56" s="1352"/>
      <c r="K56" s="1325" t="s">
        <v>843</v>
      </c>
      <c r="L56" s="1328">
        <f ca="1">IF(L48&lt;J51,"——",L48-J51)</f>
        <v>0</v>
      </c>
      <c r="O56" s="1322" t="s">
        <v>403</v>
      </c>
      <c r="P56" s="1323" t="s">
        <v>817</v>
      </c>
      <c r="Q56" s="1324" t="e">
        <f ca="1">C40+J29</f>
        <v>#VALUE!</v>
      </c>
      <c r="R56" s="1324" t="s">
        <v>818</v>
      </c>
    </row>
    <row r="57" spans="1:18" s="1289" customFormat="1" ht="24.75" thickBot="1">
      <c r="A57" s="1353"/>
      <c r="B57" s="892" t="s">
        <v>767</v>
      </c>
      <c r="C57" s="230" t="e">
        <f ca="1">C29</f>
        <v>#VALUE!</v>
      </c>
      <c r="D57" s="1354"/>
      <c r="E57" s="1355"/>
      <c r="F57" s="1356"/>
      <c r="I57" s="1357" t="s">
        <v>844</v>
      </c>
      <c r="J57" s="1358">
        <f ca="1">IF(OR(M47="住宅",J51&lt;L48,J56="是"),"——",J51-L48)</f>
        <v>0</v>
      </c>
      <c r="K57" s="1325" t="s">
        <v>892</v>
      </c>
      <c r="L57" s="1328" t="e">
        <f ca="1">IF(L48&lt;J51,"——",IF(L55="比较法",L49,IF(L55="基准地价",L50,L51)))</f>
        <v>#VALUE!</v>
      </c>
      <c r="O57" s="1322" t="s">
        <v>404</v>
      </c>
      <c r="P57" s="1323" t="s">
        <v>893</v>
      </c>
      <c r="Q57" s="1324" t="e">
        <f ca="1">L60</f>
        <v>#VALUE!</v>
      </c>
      <c r="R57" s="1324" t="s">
        <v>894</v>
      </c>
    </row>
    <row r="58" spans="1:18" s="1289" customFormat="1" ht="24.75" thickBot="1">
      <c r="A58" s="307" t="s">
        <v>393</v>
      </c>
      <c r="B58" s="900" t="s">
        <v>714</v>
      </c>
      <c r="C58" s="308" t="e">
        <f ca="1">ROUND(C59+C64+C65+C66,0)</f>
        <v>#VALUE!</v>
      </c>
      <c r="D58" s="902" t="s">
        <v>715</v>
      </c>
      <c r="E58" s="903"/>
      <c r="F58" s="904"/>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4" t="s">
        <v>398</v>
      </c>
      <c r="B59" s="892" t="s">
        <v>719</v>
      </c>
      <c r="C59" s="2137">
        <f ca="1">ROUND(IF(AND(项目基本情况!B11="自然人",项目基本情况!B10="北京市"),C49*F59/(1+'数据-取费表'!C42),C60+C61+C62),0)</f>
        <v>0</v>
      </c>
      <c r="D59" s="905" t="s">
        <v>720</v>
      </c>
      <c r="E59" s="906"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#VALUE!</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4" t="s">
        <v>397</v>
      </c>
      <c r="B60" s="892" t="s">
        <v>723</v>
      </c>
      <c r="C60" s="21">
        <f ca="1">IF(项目基本情况!B11="自然人","——",ROUND(C48*F60/(1+'数据-取费表'!C42),0))</f>
        <v>0</v>
      </c>
      <c r="D60" s="906" t="s">
        <v>724</v>
      </c>
      <c r="E60" s="892" t="s">
        <v>712</v>
      </c>
      <c r="F60" s="322">
        <f t="shared" ref="F60:F66" si="0">F32</f>
        <v>0</v>
      </c>
      <c r="I60" s="1360" t="s">
        <v>853</v>
      </c>
      <c r="J60" s="1361" t="e">
        <f ca="1">IF(OR(M47="住宅",J51&lt;L48,J56="是"),"0",ROUND(J59/(1+J52)^J53,0))</f>
        <v>#VALUE!</v>
      </c>
      <c r="K60" s="1362" t="s">
        <v>854</v>
      </c>
      <c r="L60" s="1361" t="e">
        <f ca="1">IF(OR(M47="住宅",L48&lt;J51),0,ROUND(L57*(L58/L59-1),0))</f>
        <v>#VALUE!</v>
      </c>
      <c r="O60" s="1331" t="s">
        <v>407</v>
      </c>
      <c r="P60" s="1323" t="s">
        <v>855</v>
      </c>
      <c r="Q60" s="1324" t="e">
        <f ca="1">L58</f>
        <v>#DIV/0!</v>
      </c>
      <c r="R60" s="1324" t="s">
        <v>856</v>
      </c>
    </row>
    <row r="61" spans="1:18" s="1289" customFormat="1" ht="13.5" thickBot="1">
      <c r="A61" s="924" t="s">
        <v>781</v>
      </c>
      <c r="B61" s="892" t="s">
        <v>782</v>
      </c>
      <c r="C61" s="21">
        <f ca="1">IF(项目基本情况!B11="自然人","——",IF(D61="按租金收入计税",ROUND(C49*F61/(1+'数据-取费表'!C42),0),IF(D61="按房产原值计税",ROUND(C57*F61*0.7,0),INDIRECT("'数据-取费表'!Aj"&amp;$G$1))))</f>
        <v>0</v>
      </c>
      <c r="D61" s="1275" t="s">
        <v>3335</v>
      </c>
      <c r="E61" s="892"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4" t="s">
        <v>784</v>
      </c>
      <c r="B62" s="891" t="s">
        <v>785</v>
      </c>
      <c r="C62" s="22">
        <f ca="1">IF(项目基本情况!B11="自然人","——",ROUND(F62*F63,0))</f>
        <v>0</v>
      </c>
      <c r="D62" s="907" t="s">
        <v>786</v>
      </c>
      <c r="E62" s="892" t="s">
        <v>787</v>
      </c>
      <c r="F62" s="317">
        <f t="shared" si="0"/>
        <v>0</v>
      </c>
      <c r="I62" s="1364" t="s">
        <v>858</v>
      </c>
      <c r="J62" s="609" t="s">
        <v>859</v>
      </c>
      <c r="K62" s="609" t="s">
        <v>860</v>
      </c>
      <c r="L62" s="609" t="s">
        <v>861</v>
      </c>
      <c r="M62" s="1365" t="s">
        <v>862</v>
      </c>
      <c r="O62" s="1322" t="s">
        <v>409</v>
      </c>
      <c r="P62" s="1323" t="s">
        <v>863</v>
      </c>
      <c r="Q62" s="1324" t="e">
        <f ca="1">Q56+Q57</f>
        <v>#VALUE!</v>
      </c>
      <c r="R62" s="1324" t="s">
        <v>410</v>
      </c>
    </row>
    <row r="63" spans="1:18" s="1289" customFormat="1" ht="13.5" thickBot="1">
      <c r="A63" s="318"/>
      <c r="B63" s="898"/>
      <c r="C63" s="26"/>
      <c r="D63" s="908"/>
      <c r="E63" s="892" t="s">
        <v>788</v>
      </c>
      <c r="F63" s="295">
        <f t="shared" ca="1" si="0"/>
        <v>0</v>
      </c>
      <c r="I63" s="1364" t="s">
        <v>864</v>
      </c>
      <c r="J63" s="609">
        <v>70</v>
      </c>
      <c r="K63" s="609">
        <v>50</v>
      </c>
      <c r="L63" s="609">
        <v>80</v>
      </c>
      <c r="M63" s="1366">
        <v>0.02</v>
      </c>
      <c r="O63" s="1307" t="s">
        <v>865</v>
      </c>
      <c r="P63" s="1286"/>
      <c r="Q63" s="1286"/>
      <c r="R63" s="1286"/>
    </row>
    <row r="64" spans="1:18" s="1289" customFormat="1" ht="13.5" thickBot="1">
      <c r="A64" s="924" t="s">
        <v>789</v>
      </c>
      <c r="B64" s="892" t="s">
        <v>790</v>
      </c>
      <c r="C64" s="21" t="e">
        <f ca="1">ROUND(C57*F64,0)</f>
        <v>#VALUE!</v>
      </c>
      <c r="D64" s="906" t="s">
        <v>791</v>
      </c>
      <c r="E64" s="892" t="s">
        <v>783</v>
      </c>
      <c r="F64" s="320">
        <f t="shared" ca="1" si="0"/>
        <v>0</v>
      </c>
      <c r="I64" s="1364" t="s">
        <v>866</v>
      </c>
      <c r="J64" s="609">
        <v>50</v>
      </c>
      <c r="K64" s="609">
        <v>35</v>
      </c>
      <c r="L64" s="609">
        <v>60</v>
      </c>
      <c r="M64" s="1365">
        <v>0</v>
      </c>
      <c r="O64" s="1315" t="s">
        <v>811</v>
      </c>
      <c r="P64" s="1316" t="s">
        <v>812</v>
      </c>
      <c r="Q64" s="1317" t="s">
        <v>813</v>
      </c>
      <c r="R64" s="1317" t="s">
        <v>814</v>
      </c>
    </row>
    <row r="65" spans="1:18" s="1289" customFormat="1" ht="13.5" thickBot="1">
      <c r="A65" s="924" t="s">
        <v>792</v>
      </c>
      <c r="B65" s="892" t="s">
        <v>742</v>
      </c>
      <c r="C65" s="21" t="e">
        <f ca="1">ROUND(C56*F65,0)</f>
        <v>#VALUE!</v>
      </c>
      <c r="D65" s="906" t="s">
        <v>743</v>
      </c>
      <c r="E65" s="892" t="s">
        <v>744</v>
      </c>
      <c r="F65" s="321">
        <f t="shared" ca="1" si="0"/>
        <v>0</v>
      </c>
      <c r="I65" s="1364" t="s">
        <v>867</v>
      </c>
      <c r="J65" s="609">
        <v>40</v>
      </c>
      <c r="K65" s="609">
        <v>30</v>
      </c>
      <c r="L65" s="609">
        <v>50</v>
      </c>
      <c r="M65" s="1366">
        <v>0.02</v>
      </c>
      <c r="O65" s="1322" t="s">
        <v>403</v>
      </c>
      <c r="P65" s="1323" t="s">
        <v>868</v>
      </c>
      <c r="Q65" s="1324" t="e">
        <f ca="1">C40+J29</f>
        <v>#VALUE!</v>
      </c>
      <c r="R65" s="1324" t="s">
        <v>818</v>
      </c>
    </row>
    <row r="66" spans="1:18" s="1289" customFormat="1" ht="16.5" thickBot="1">
      <c r="A66" s="924" t="s">
        <v>793</v>
      </c>
      <c r="B66" s="892" t="s">
        <v>728</v>
      </c>
      <c r="C66" s="21">
        <f ca="1">ROUND(C48*F66,0)</f>
        <v>0</v>
      </c>
      <c r="D66" s="906" t="s">
        <v>794</v>
      </c>
      <c r="E66" s="892" t="s">
        <v>712</v>
      </c>
      <c r="F66" s="304">
        <f t="shared" ca="1" si="0"/>
        <v>0</v>
      </c>
      <c r="O66" s="1322" t="s">
        <v>404</v>
      </c>
      <c r="P66" s="1323" t="s">
        <v>846</v>
      </c>
      <c r="Q66" s="1324" t="e">
        <f ca="1">L60</f>
        <v>#VALUE!</v>
      </c>
      <c r="R66" s="1324" t="s">
        <v>869</v>
      </c>
    </row>
    <row r="67" spans="1:18" s="1289" customFormat="1" ht="16.5" thickBot="1">
      <c r="A67" s="899" t="s">
        <v>394</v>
      </c>
      <c r="B67" s="909" t="s">
        <v>752</v>
      </c>
      <c r="C67" s="308" t="e">
        <f ca="1">C48-C58</f>
        <v>#VALUE!</v>
      </c>
      <c r="D67" s="905" t="s">
        <v>753</v>
      </c>
      <c r="E67" s="910"/>
      <c r="F67" s="911"/>
      <c r="O67" s="1331" t="s">
        <v>405</v>
      </c>
      <c r="P67" s="1323" t="s">
        <v>850</v>
      </c>
      <c r="Q67" s="1367" t="e">
        <f ca="1">L51</f>
        <v>#VALUE!</v>
      </c>
      <c r="R67" s="1324" t="s">
        <v>870</v>
      </c>
    </row>
    <row r="68" spans="1:18" s="1289" customFormat="1" ht="16.5" thickBot="1">
      <c r="A68" s="889" t="s">
        <v>395</v>
      </c>
      <c r="B68" s="890" t="s">
        <v>774</v>
      </c>
      <c r="C68" s="293" t="e">
        <f ca="1">ROUND(C67*(1-((1+F70)/(1+F68))^F69)/(F68-F70),0)</f>
        <v>#VALUE!</v>
      </c>
      <c r="D68" s="907" t="s">
        <v>758</v>
      </c>
      <c r="E68" s="892" t="s">
        <v>759</v>
      </c>
      <c r="F68" s="304">
        <f ca="1">F40</f>
        <v>0</v>
      </c>
      <c r="O68" s="1331" t="s">
        <v>406</v>
      </c>
      <c r="P68" s="1368" t="s">
        <v>871</v>
      </c>
      <c r="Q68" s="1324" t="e">
        <f ca="1">ROUND(Q69-Q70*Q71,0)</f>
        <v>#VALUE!</v>
      </c>
      <c r="R68" s="1324" t="s">
        <v>414</v>
      </c>
    </row>
    <row r="69" spans="1:18" s="1289" customFormat="1" ht="13.5" thickBot="1">
      <c r="A69" s="893"/>
      <c r="B69" s="894"/>
      <c r="C69" s="298"/>
      <c r="D69" s="912" t="s">
        <v>762</v>
      </c>
      <c r="E69" s="892" t="s">
        <v>763</v>
      </c>
      <c r="F69" s="324">
        <f ca="1">F41</f>
        <v>0</v>
      </c>
      <c r="O69" s="1331" t="s">
        <v>411</v>
      </c>
      <c r="P69" s="1368" t="s">
        <v>872</v>
      </c>
      <c r="Q69" s="1324" t="e">
        <f ca="1">C39</f>
        <v>#VALUE!</v>
      </c>
      <c r="R69" s="1324" t="s">
        <v>818</v>
      </c>
    </row>
    <row r="70" spans="1:18" s="1289" customFormat="1" ht="13.5" thickBot="1">
      <c r="A70" s="896"/>
      <c r="B70" s="897"/>
      <c r="C70" s="302"/>
      <c r="D70" s="908"/>
      <c r="E70" s="892" t="s">
        <v>766</v>
      </c>
      <c r="F70" s="988"/>
      <c r="O70" s="1331" t="s">
        <v>412</v>
      </c>
      <c r="P70" s="1368" t="s">
        <v>873</v>
      </c>
      <c r="Q70" s="1324" t="e">
        <f ca="1">C13</f>
        <v>#VALUE!</v>
      </c>
      <c r="R70" s="1324" t="s">
        <v>818</v>
      </c>
    </row>
    <row r="71" spans="1:18" s="1289" customFormat="1" ht="13.5" thickBot="1">
      <c r="A71" s="913" t="s">
        <v>396</v>
      </c>
      <c r="B71" s="914" t="s">
        <v>776</v>
      </c>
      <c r="C71" s="327" t="e">
        <f ca="1">ROUND(C68/F71,0)</f>
        <v>#VALUE!</v>
      </c>
      <c r="D71" s="915" t="s">
        <v>777</v>
      </c>
      <c r="E71" s="916" t="s">
        <v>778</v>
      </c>
      <c r="F71" s="330">
        <f ca="1">F43</f>
        <v>0</v>
      </c>
      <c r="O71" s="1331" t="s">
        <v>413</v>
      </c>
      <c r="P71" s="1368" t="s">
        <v>874</v>
      </c>
      <c r="Q71" s="1334">
        <f ca="1">C76</f>
        <v>0</v>
      </c>
      <c r="R71" s="1324"/>
    </row>
    <row r="72" spans="1:18" s="1289" customFormat="1" ht="13.5" thickBot="1">
      <c r="B72" s="681"/>
      <c r="C72" s="681"/>
      <c r="O72" s="1331" t="s">
        <v>407</v>
      </c>
      <c r="P72" s="1323" t="s">
        <v>852</v>
      </c>
      <c r="Q72" s="1334">
        <f>L52</f>
        <v>0</v>
      </c>
      <c r="R72" s="1324"/>
    </row>
    <row r="73" spans="1:18" ht="16.5" thickBot="1">
      <c r="A73" s="1289"/>
      <c r="B73" s="681"/>
      <c r="C73" s="681"/>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t="e">
        <f ca="1">ROUND(C13*C76,0)</f>
        <v>#VALUE!</v>
      </c>
      <c r="D75" s="1289"/>
      <c r="E75" s="1289"/>
      <c r="F75" s="1289"/>
      <c r="K75" s="1306"/>
      <c r="L75" s="1289"/>
      <c r="O75" s="1322" t="s">
        <v>409</v>
      </c>
      <c r="P75" s="1323" t="s">
        <v>838</v>
      </c>
      <c r="Q75" s="1324" t="e">
        <f ca="1">Q65+Q66</f>
        <v>#VALUE!</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45" sqref="Q45"/>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15" customHeight="1">
      <c r="A2" s="1290" t="s">
        <v>2312</v>
      </c>
      <c r="B2" s="2590" t="e">
        <f>IF(D2="——",C40,C40+E2)</f>
        <v>#DIV/0!</v>
      </c>
      <c r="C2" s="2591" t="s">
        <v>2313</v>
      </c>
      <c r="D2" s="3132" t="s">
        <v>3358</v>
      </c>
      <c r="E2" s="3133"/>
      <c r="F2" s="2593"/>
      <c r="G2" s="2594"/>
      <c r="H2" s="2595"/>
      <c r="I2" s="2596"/>
      <c r="J2" s="3460" t="s">
        <v>2314</v>
      </c>
      <c r="K2" s="3461"/>
      <c r="L2" s="2597" t="s">
        <v>2315</v>
      </c>
      <c r="M2" s="2597" t="s">
        <v>2316</v>
      </c>
      <c r="N2" s="2597" t="s">
        <v>2317</v>
      </c>
      <c r="O2" s="2597" t="s">
        <v>2318</v>
      </c>
      <c r="P2" s="2597" t="s">
        <v>2319</v>
      </c>
      <c r="Q2" s="2598" t="s">
        <v>2320</v>
      </c>
      <c r="R2" s="2599" t="s">
        <v>2321</v>
      </c>
      <c r="S2" s="2588"/>
      <c r="T2" s="2588"/>
      <c r="U2" s="2588"/>
      <c r="V2" s="2596"/>
    </row>
    <row r="3" spans="1:22" s="2600" customFormat="1" ht="13.15" customHeight="1">
      <c r="A3" s="2601" t="s">
        <v>2322</v>
      </c>
      <c r="B3" s="2602" t="e">
        <f>ROUND(B2*10000/B4,0)</f>
        <v>#DIV/0!</v>
      </c>
      <c r="C3" s="2591" t="s">
        <v>2323</v>
      </c>
      <c r="D3" s="2591"/>
      <c r="E3" s="2592"/>
      <c r="F3" s="2593"/>
      <c r="G3" s="2594"/>
      <c r="H3" s="2595"/>
      <c r="I3" s="2596"/>
      <c r="J3" s="3462" t="s">
        <v>2324</v>
      </c>
      <c r="K3" s="3463"/>
      <c r="L3" s="2603"/>
      <c r="M3" s="2603"/>
      <c r="N3" s="2603"/>
      <c r="O3" s="2603"/>
      <c r="P3" s="2603"/>
      <c r="Q3" s="2604"/>
      <c r="R3" s="2605">
        <f>SUM(L3:Q3)</f>
        <v>0</v>
      </c>
      <c r="S3" s="2588"/>
      <c r="T3" s="2588"/>
      <c r="U3" s="2588"/>
      <c r="V3" s="2596"/>
    </row>
    <row r="4" spans="1:22" s="2600" customFormat="1" ht="13.15" customHeight="1">
      <c r="A4" s="2606" t="s">
        <v>2325</v>
      </c>
      <c r="B4" s="2607"/>
      <c r="C4" s="2591"/>
      <c r="D4" s="2591"/>
      <c r="E4" s="2592"/>
      <c r="F4" s="2593"/>
      <c r="G4" s="2594"/>
      <c r="H4" s="2595"/>
      <c r="I4" s="2596"/>
      <c r="J4" s="3462" t="s">
        <v>2326</v>
      </c>
      <c r="K4" s="3463"/>
      <c r="L4" s="2608"/>
      <c r="M4" s="2608"/>
      <c r="N4" s="2608"/>
      <c r="O4" s="2608"/>
      <c r="P4" s="2608"/>
      <c r="Q4" s="2609"/>
      <c r="R4" s="2610">
        <f>SUM(L4:Q4)</f>
        <v>0</v>
      </c>
      <c r="S4" s="2588"/>
      <c r="T4" s="2588"/>
      <c r="U4" s="2588"/>
      <c r="V4" s="2596"/>
    </row>
    <row r="5" spans="1:22" s="2600" customFormat="1" ht="13.15"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15" customHeight="1" thickBot="1">
      <c r="A6" s="3468" t="s">
        <v>2330</v>
      </c>
      <c r="B6" s="3469"/>
      <c r="C6" s="3470"/>
      <c r="D6" s="2617"/>
      <c r="E6" s="2618"/>
      <c r="F6" s="2619"/>
      <c r="G6" s="2620"/>
      <c r="H6" s="2595"/>
      <c r="I6" s="2596"/>
      <c r="J6" s="3454">
        <v>1</v>
      </c>
      <c r="K6" s="3455"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15" customHeight="1">
      <c r="A7" s="2623" t="s">
        <v>2340</v>
      </c>
      <c r="B7" s="2624"/>
      <c r="C7" s="2625"/>
      <c r="D7" s="2626">
        <f>SUM(D9,D10,D11,D17,0)</f>
        <v>0</v>
      </c>
      <c r="E7" s="2627" t="e">
        <f>E9+E10+E11+E17</f>
        <v>#DIV/0!</v>
      </c>
      <c r="F7" s="2628"/>
      <c r="G7" s="2629"/>
      <c r="H7" s="2595"/>
      <c r="I7" s="2596"/>
      <c r="J7" s="3454"/>
      <c r="K7" s="3456"/>
      <c r="L7" s="2630" t="s">
        <v>2341</v>
      </c>
      <c r="M7" s="2631"/>
      <c r="N7" s="2607"/>
      <c r="O7" s="2632"/>
      <c r="P7" s="2632"/>
      <c r="Q7" s="2633">
        <v>365</v>
      </c>
      <c r="R7" s="2634">
        <f>ROUND(M7*N7*O7*P7*Q7/10000,0)</f>
        <v>0</v>
      </c>
      <c r="S7" s="2588"/>
      <c r="T7" s="2588" t="s">
        <v>2342</v>
      </c>
      <c r="U7" s="2588"/>
      <c r="V7" s="2596"/>
    </row>
    <row r="8" spans="1:22" s="2600" customFormat="1" ht="13.15" customHeight="1">
      <c r="A8" s="2635" t="s">
        <v>2343</v>
      </c>
      <c r="B8" s="3471" t="s">
        <v>2344</v>
      </c>
      <c r="C8" s="3472"/>
      <c r="D8" s="2636" t="s">
        <v>2345</v>
      </c>
      <c r="E8" s="2637" t="s">
        <v>2346</v>
      </c>
      <c r="F8" s="2638" t="s">
        <v>2347</v>
      </c>
      <c r="G8" s="2639"/>
      <c r="H8" s="2595"/>
      <c r="I8" s="2596"/>
      <c r="J8" s="3454"/>
      <c r="K8" s="3456"/>
      <c r="L8" s="2630" t="s">
        <v>2348</v>
      </c>
      <c r="M8" s="2631"/>
      <c r="N8" s="2607"/>
      <c r="O8" s="2632"/>
      <c r="P8" s="2632"/>
      <c r="Q8" s="2633">
        <v>365</v>
      </c>
      <c r="R8" s="2634">
        <f t="shared" ref="R8:R13" si="0">ROUND(M8*N8*O8*P8*Q8/10000,0)</f>
        <v>0</v>
      </c>
      <c r="S8" s="2588"/>
      <c r="T8" s="2588" t="s">
        <v>2349</v>
      </c>
      <c r="U8" s="2588"/>
      <c r="V8" s="2596"/>
    </row>
    <row r="9" spans="1:22" s="2600" customFormat="1" ht="13.15" customHeight="1">
      <c r="A9" s="2635">
        <v>1</v>
      </c>
      <c r="B9" s="3471" t="s">
        <v>2350</v>
      </c>
      <c r="C9" s="3472"/>
      <c r="D9" s="2636">
        <f>ROUND(D6*E9,0)</f>
        <v>0</v>
      </c>
      <c r="E9" s="2640"/>
      <c r="F9" s="2641" t="s">
        <v>2351</v>
      </c>
      <c r="G9" s="2620"/>
      <c r="H9" s="2595"/>
      <c r="I9" s="2596"/>
      <c r="J9" s="3454"/>
      <c r="K9" s="3456"/>
      <c r="L9" s="2630" t="s">
        <v>2352</v>
      </c>
      <c r="M9" s="2631"/>
      <c r="N9" s="2607"/>
      <c r="O9" s="2632"/>
      <c r="P9" s="2632"/>
      <c r="Q9" s="2633">
        <v>365</v>
      </c>
      <c r="R9" s="2634">
        <f t="shared" si="0"/>
        <v>0</v>
      </c>
      <c r="S9" s="2588"/>
      <c r="T9" s="2588"/>
      <c r="U9" s="2588"/>
      <c r="V9" s="2596"/>
    </row>
    <row r="10" spans="1:22" s="2600" customFormat="1" ht="13.15" customHeight="1">
      <c r="A10" s="2635">
        <v>2</v>
      </c>
      <c r="B10" s="3471" t="s">
        <v>2353</v>
      </c>
      <c r="C10" s="3472"/>
      <c r="D10" s="2636">
        <f>ROUND(D6*E10,0)</f>
        <v>0</v>
      </c>
      <c r="E10" s="2640"/>
      <c r="F10" s="2641" t="s">
        <v>2354</v>
      </c>
      <c r="G10" s="2620"/>
      <c r="H10" s="2595"/>
      <c r="I10" s="2596"/>
      <c r="J10" s="3454"/>
      <c r="K10" s="3456"/>
      <c r="L10" s="2630" t="s">
        <v>2355</v>
      </c>
      <c r="M10" s="2631"/>
      <c r="N10" s="2607"/>
      <c r="O10" s="2632"/>
      <c r="P10" s="2632"/>
      <c r="Q10" s="2633">
        <v>365</v>
      </c>
      <c r="R10" s="2634">
        <f t="shared" si="0"/>
        <v>0</v>
      </c>
      <c r="S10" s="2588"/>
      <c r="T10" s="2588"/>
      <c r="U10" s="2588"/>
      <c r="V10" s="2596"/>
    </row>
    <row r="11" spans="1:22" s="2600" customFormat="1" ht="13.15" customHeight="1">
      <c r="A11" s="2635">
        <v>3</v>
      </c>
      <c r="B11" s="3471" t="s">
        <v>2356</v>
      </c>
      <c r="C11" s="3472"/>
      <c r="D11" s="2636">
        <f>D12+D14+D15+D16</f>
        <v>0</v>
      </c>
      <c r="E11" s="2642" t="e">
        <f>D11/D6</f>
        <v>#DIV/0!</v>
      </c>
      <c r="F11" s="2638"/>
      <c r="G11" s="2639"/>
      <c r="H11" s="2595"/>
      <c r="I11" s="2596"/>
      <c r="J11" s="3454"/>
      <c r="K11" s="3456"/>
      <c r="L11" s="2630" t="s">
        <v>2357</v>
      </c>
      <c r="M11" s="2631"/>
      <c r="N11" s="2607"/>
      <c r="O11" s="2632"/>
      <c r="P11" s="2632"/>
      <c r="Q11" s="2633">
        <v>365</v>
      </c>
      <c r="R11" s="2634">
        <f t="shared" si="0"/>
        <v>0</v>
      </c>
      <c r="S11" s="2588"/>
      <c r="T11" s="2588"/>
      <c r="U11" s="2588"/>
      <c r="V11" s="2596"/>
    </row>
    <row r="12" spans="1:22" s="2600" customFormat="1" ht="13.15" customHeight="1">
      <c r="A12" s="2643" t="s">
        <v>2358</v>
      </c>
      <c r="B12" s="3464" t="s">
        <v>2359</v>
      </c>
      <c r="C12" s="3465"/>
      <c r="D12" s="2644">
        <f>ROUND(D13*1.2%*(1-30%),0)</f>
        <v>0</v>
      </c>
      <c r="E12" s="2645">
        <v>1.2E-2</v>
      </c>
      <c r="F12" s="2638" t="s">
        <v>2360</v>
      </c>
      <c r="G12" s="2639"/>
      <c r="H12" s="2595"/>
      <c r="I12" s="2596"/>
      <c r="J12" s="3454"/>
      <c r="K12" s="3456"/>
      <c r="L12" s="2630" t="s">
        <v>2361</v>
      </c>
      <c r="M12" s="2631"/>
      <c r="N12" s="2607"/>
      <c r="O12" s="2632"/>
      <c r="P12" s="2632"/>
      <c r="Q12" s="2633">
        <v>365</v>
      </c>
      <c r="R12" s="2634">
        <f t="shared" si="0"/>
        <v>0</v>
      </c>
      <c r="S12" s="2588"/>
      <c r="T12" s="2588"/>
      <c r="U12" s="2588"/>
      <c r="V12" s="2596"/>
    </row>
    <row r="13" spans="1:22" s="2600" customFormat="1" ht="13.15" customHeight="1">
      <c r="A13" s="2643"/>
      <c r="B13" s="2646"/>
      <c r="C13" s="2647" t="s">
        <v>2362</v>
      </c>
      <c r="D13" s="2648"/>
      <c r="E13" s="2649"/>
      <c r="F13" s="2638"/>
      <c r="G13" s="2639"/>
      <c r="H13" s="2595"/>
      <c r="I13" s="2596"/>
      <c r="J13" s="3454"/>
      <c r="K13" s="3456"/>
      <c r="L13" s="2630" t="s">
        <v>2363</v>
      </c>
      <c r="M13" s="2631"/>
      <c r="N13" s="2607"/>
      <c r="O13" s="2632"/>
      <c r="P13" s="2632"/>
      <c r="Q13" s="2633">
        <v>365</v>
      </c>
      <c r="R13" s="2634">
        <f t="shared" si="0"/>
        <v>0</v>
      </c>
      <c r="S13" s="2588"/>
      <c r="T13" s="2588"/>
      <c r="U13" s="2588"/>
      <c r="V13" s="2596"/>
    </row>
    <row r="14" spans="1:22" s="2600" customFormat="1" ht="13.15" customHeight="1">
      <c r="A14" s="2643" t="s">
        <v>2364</v>
      </c>
      <c r="B14" s="3464" t="s">
        <v>2365</v>
      </c>
      <c r="C14" s="3465"/>
      <c r="D14" s="2644">
        <f>ROUND(E14*B5/10000,0)</f>
        <v>0</v>
      </c>
      <c r="E14" s="2633"/>
      <c r="F14" s="2638" t="s">
        <v>2366</v>
      </c>
      <c r="G14" s="2639"/>
      <c r="H14" s="2595"/>
      <c r="I14" s="2596"/>
      <c r="J14" s="3454"/>
      <c r="K14" s="3457"/>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2368</v>
      </c>
      <c r="B15" s="3464" t="s">
        <v>2369</v>
      </c>
      <c r="C15" s="3465"/>
      <c r="D15" s="2644">
        <f>ROUND(D6*E15,0)</f>
        <v>0</v>
      </c>
      <c r="E15" s="2645">
        <v>5.5E-2</v>
      </c>
      <c r="F15" s="2638" t="s">
        <v>2370</v>
      </c>
      <c r="G15" s="2620"/>
      <c r="H15" s="2595"/>
      <c r="I15" s="2596"/>
      <c r="J15" s="3454">
        <v>2</v>
      </c>
      <c r="K15" s="3455"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15" customHeight="1">
      <c r="A16" s="2643" t="s">
        <v>2377</v>
      </c>
      <c r="B16" s="3464" t="s">
        <v>2378</v>
      </c>
      <c r="C16" s="3465"/>
      <c r="D16" s="2655">
        <f>D6*E16</f>
        <v>0</v>
      </c>
      <c r="E16" s="2656"/>
      <c r="F16" s="2641" t="s">
        <v>2379</v>
      </c>
      <c r="G16" s="2620"/>
      <c r="H16" s="2595"/>
      <c r="I16" s="2596"/>
      <c r="J16" s="3454"/>
      <c r="K16" s="3456"/>
      <c r="L16" s="2630" t="s">
        <v>2380</v>
      </c>
      <c r="M16" s="2631"/>
      <c r="N16" s="2631"/>
      <c r="O16" s="2632"/>
      <c r="P16" s="2633">
        <v>365</v>
      </c>
      <c r="Q16" s="2607"/>
      <c r="R16" s="2654">
        <f>ROUND(M16*N16*O16*P16/10000,0)</f>
        <v>0</v>
      </c>
      <c r="S16" s="2588"/>
      <c r="T16" s="2588"/>
      <c r="U16" s="2588"/>
      <c r="V16" s="2596"/>
    </row>
    <row r="17" spans="1:22" s="2600" customFormat="1" ht="13.15" customHeight="1" thickBot="1">
      <c r="A17" s="2657">
        <v>4</v>
      </c>
      <c r="B17" s="3466" t="s">
        <v>2381</v>
      </c>
      <c r="C17" s="3467"/>
      <c r="D17" s="2658">
        <f>ROUND(D6*E17,0)</f>
        <v>0</v>
      </c>
      <c r="E17" s="2659"/>
      <c r="F17" s="2660" t="s">
        <v>2382</v>
      </c>
      <c r="G17" s="2620"/>
      <c r="H17" s="2595"/>
      <c r="I17" s="2596"/>
      <c r="J17" s="3454"/>
      <c r="K17" s="3456"/>
      <c r="L17" s="2630" t="s">
        <v>2383</v>
      </c>
      <c r="M17" s="2631"/>
      <c r="N17" s="2631"/>
      <c r="O17" s="2632"/>
      <c r="P17" s="2633">
        <v>365</v>
      </c>
      <c r="Q17" s="2607"/>
      <c r="R17" s="2654">
        <f>ROUND(M17*N17*O17*P17/10000,0)</f>
        <v>0</v>
      </c>
      <c r="S17" s="2588"/>
      <c r="T17" s="2588"/>
      <c r="U17" s="2588"/>
      <c r="V17" s="2596"/>
    </row>
    <row r="18" spans="1:22" s="2600" customFormat="1" ht="13.15" customHeight="1" thickBot="1">
      <c r="A18" s="2623" t="s">
        <v>2384</v>
      </c>
      <c r="B18" s="2624"/>
      <c r="C18" s="2624"/>
      <c r="D18" s="2661">
        <f>ROUND(D6*E18,0)</f>
        <v>0</v>
      </c>
      <c r="E18" s="2662"/>
      <c r="F18" s="2663" t="s">
        <v>2385</v>
      </c>
      <c r="G18" s="2620"/>
      <c r="H18" s="2595"/>
      <c r="I18" s="2596"/>
      <c r="J18" s="3454"/>
      <c r="K18" s="3456"/>
      <c r="L18" s="2630" t="s">
        <v>2386</v>
      </c>
      <c r="M18" s="2631"/>
      <c r="N18" s="2631"/>
      <c r="O18" s="2632"/>
      <c r="P18" s="2633">
        <v>365</v>
      </c>
      <c r="Q18" s="2607"/>
      <c r="R18" s="2654">
        <f>ROUND(M18*N18*O18*P18/10000,0)</f>
        <v>0</v>
      </c>
      <c r="S18" s="2588"/>
      <c r="T18" s="2588"/>
      <c r="U18" s="2588"/>
      <c r="V18" s="2596"/>
    </row>
    <row r="19" spans="1:22" s="2600" customFormat="1" ht="13.15" customHeight="1" thickBot="1">
      <c r="A19" s="2664" t="s">
        <v>2387</v>
      </c>
      <c r="B19" s="2618"/>
      <c r="C19" s="2618"/>
      <c r="D19" s="2618"/>
      <c r="E19" s="2618"/>
      <c r="F19" s="2619"/>
      <c r="G19" s="2639"/>
      <c r="H19" s="2595"/>
      <c r="I19" s="2596"/>
      <c r="J19" s="3454"/>
      <c r="K19" s="3457"/>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54">
        <v>3</v>
      </c>
      <c r="K20" s="3455"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15" customHeight="1">
      <c r="A21" s="2623"/>
      <c r="B21" s="2624"/>
      <c r="C21" s="2669" t="s">
        <v>2396</v>
      </c>
      <c r="D21" s="2670" t="s">
        <v>2397</v>
      </c>
      <c r="E21" s="2671" t="s">
        <v>2398</v>
      </c>
      <c r="F21" s="2667"/>
      <c r="G21" s="2639"/>
      <c r="H21" s="2595"/>
      <c r="I21" s="2596"/>
      <c r="J21" s="3454"/>
      <c r="K21" s="3456"/>
      <c r="L21" s="2630" t="s">
        <v>2399</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2400</v>
      </c>
      <c r="D22" s="2674" t="s">
        <v>2401</v>
      </c>
      <c r="E22" s="2675" t="s">
        <v>2402</v>
      </c>
      <c r="F22" s="2667"/>
      <c r="G22" s="2588"/>
      <c r="H22" s="2595"/>
      <c r="I22" s="2596"/>
      <c r="J22" s="3454"/>
      <c r="K22" s="3456"/>
      <c r="L22" s="2630" t="s">
        <v>2403</v>
      </c>
      <c r="M22" s="2631"/>
      <c r="N22" s="2631"/>
      <c r="O22" s="2632"/>
      <c r="P22" s="2633">
        <v>365</v>
      </c>
      <c r="Q22" s="2607"/>
      <c r="R22" s="2672">
        <f>ROUND(M22*N22*O22*P22/10000,0)</f>
        <v>0</v>
      </c>
      <c r="S22" s="2588"/>
      <c r="T22" s="2588"/>
      <c r="U22" s="2588"/>
      <c r="V22" s="2596"/>
    </row>
    <row r="23" spans="1:22" s="2600" customFormat="1" ht="13.15" customHeight="1">
      <c r="A23" s="2676">
        <v>1</v>
      </c>
      <c r="B23" s="2677" t="s">
        <v>2404</v>
      </c>
      <c r="C23" s="2678">
        <f>D6</f>
        <v>0</v>
      </c>
      <c r="D23" s="2679">
        <f>C23*(1+D24)</f>
        <v>0</v>
      </c>
      <c r="E23" s="2680">
        <f>D23*(1+E24)</f>
        <v>0</v>
      </c>
      <c r="F23" s="2681"/>
      <c r="G23" s="2682"/>
      <c r="H23" s="2595"/>
      <c r="I23" s="2596"/>
      <c r="J23" s="3454"/>
      <c r="K23" s="3456"/>
      <c r="L23" s="2630" t="s">
        <v>2405</v>
      </c>
      <c r="M23" s="2631"/>
      <c r="N23" s="2631"/>
      <c r="O23" s="2632"/>
      <c r="P23" s="2633">
        <v>365</v>
      </c>
      <c r="Q23" s="2607"/>
      <c r="R23" s="2672">
        <f>ROUND(M23*N23*O23*P23/10000,0)</f>
        <v>0</v>
      </c>
      <c r="S23" s="2588"/>
      <c r="T23" s="2588"/>
      <c r="U23" s="2588"/>
      <c r="V23" s="2596"/>
    </row>
    <row r="24" spans="1:22" s="2600" customFormat="1" ht="13.15" customHeight="1">
      <c r="A24" s="2683"/>
      <c r="B24" s="2684" t="s">
        <v>2406</v>
      </c>
      <c r="C24" s="2685"/>
      <c r="D24" s="2686"/>
      <c r="E24" s="2687"/>
      <c r="F24" s="2688"/>
      <c r="G24" s="2682"/>
      <c r="H24" s="2595"/>
      <c r="I24" s="2596"/>
      <c r="J24" s="3454"/>
      <c r="K24" s="3457"/>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15" customHeight="1">
      <c r="A26" s="2676">
        <v>2</v>
      </c>
      <c r="B26" s="2677" t="s">
        <v>2408</v>
      </c>
      <c r="C26" s="2678">
        <f>D7</f>
        <v>0</v>
      </c>
      <c r="D26" s="2679">
        <f>D23*D27</f>
        <v>0</v>
      </c>
      <c r="E26" s="2680">
        <f>E23*E27</f>
        <v>0</v>
      </c>
      <c r="F26" s="2681"/>
      <c r="G26" s="2682"/>
      <c r="H26" s="2595"/>
      <c r="I26" s="2596"/>
      <c r="J26" s="3458">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15" customHeight="1">
      <c r="A27" s="2683"/>
      <c r="B27" s="2684" t="s">
        <v>2414</v>
      </c>
      <c r="C27" s="2701" t="e">
        <f>E7</f>
        <v>#DIV/0!</v>
      </c>
      <c r="D27" s="2686"/>
      <c r="E27" s="2687"/>
      <c r="F27" s="2688"/>
      <c r="G27" s="2682"/>
      <c r="H27" s="2702"/>
      <c r="I27" s="2694"/>
      <c r="J27" s="3459"/>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C23-C26-C29</f>
        <v>0</v>
      </c>
      <c r="D32" s="2679">
        <f>D23-D26-D29</f>
        <v>0</v>
      </c>
      <c r="E32" s="2680">
        <f>E23-E26-E29</f>
        <v>0</v>
      </c>
      <c r="F32" s="2681"/>
      <c r="G32" s="2588"/>
      <c r="H32" s="2595"/>
      <c r="I32" s="2596"/>
      <c r="J32" s="3460" t="s">
        <v>2314</v>
      </c>
      <c r="K32" s="3461"/>
      <c r="L32" s="2597" t="s">
        <v>2315</v>
      </c>
      <c r="M32" s="2597" t="s">
        <v>2316</v>
      </c>
      <c r="N32" s="2597" t="s">
        <v>2317</v>
      </c>
      <c r="O32" s="2597" t="s">
        <v>2318</v>
      </c>
      <c r="P32" s="2597" t="s">
        <v>2319</v>
      </c>
      <c r="Q32" s="2598" t="s">
        <v>2320</v>
      </c>
      <c r="R32" s="2717" t="s">
        <v>2321</v>
      </c>
      <c r="S32" s="2588"/>
      <c r="T32" s="2588"/>
      <c r="U32" s="2588"/>
      <c r="V32" s="2694"/>
    </row>
    <row r="33" spans="1:23" s="2600" customFormat="1" ht="13.15" customHeight="1">
      <c r="A33" s="2676"/>
      <c r="B33" s="2677"/>
      <c r="C33" s="2678"/>
      <c r="D33" s="2718"/>
      <c r="E33" s="2719"/>
      <c r="F33" s="2681"/>
      <c r="G33" s="2588"/>
      <c r="H33" s="2702"/>
      <c r="I33" s="2694"/>
      <c r="J33" s="3462" t="s">
        <v>2324</v>
      </c>
      <c r="K33" s="3463"/>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c r="D34" s="2722"/>
      <c r="E34" s="2723"/>
      <c r="F34" s="2681"/>
      <c r="G34" s="2588"/>
      <c r="H34" s="2702"/>
      <c r="I34" s="2694"/>
      <c r="J34" s="3462" t="s">
        <v>2326</v>
      </c>
      <c r="K34" s="346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15" customHeight="1" thickBot="1">
      <c r="A36" s="2676">
        <v>7</v>
      </c>
      <c r="B36" s="2730" t="s">
        <v>2425</v>
      </c>
      <c r="C36" s="2731"/>
      <c r="D36" s="2732"/>
      <c r="E36" s="2733"/>
      <c r="F36" s="2734">
        <f>C36+D36+E36</f>
        <v>0</v>
      </c>
      <c r="G36" s="2588"/>
      <c r="H36" s="2595"/>
      <c r="I36" s="2596"/>
      <c r="J36" s="3454">
        <v>1</v>
      </c>
      <c r="K36" s="3455" t="s">
        <v>2426</v>
      </c>
      <c r="L36" s="2621"/>
      <c r="M36" s="2622"/>
      <c r="N36" s="2622"/>
      <c r="O36" s="2622"/>
      <c r="P36" s="2622"/>
      <c r="Q36" s="2622"/>
      <c r="R36" s="2605" t="s">
        <v>2338</v>
      </c>
      <c r="S36" s="2588"/>
      <c r="T36" s="2588" t="s">
        <v>2339</v>
      </c>
      <c r="U36" s="2588"/>
      <c r="V36" s="2596"/>
    </row>
    <row r="37" spans="1:23" s="2600" customFormat="1" ht="13.15" customHeight="1">
      <c r="A37" s="2676"/>
      <c r="B37" s="2677"/>
      <c r="C37" s="2677"/>
      <c r="D37" s="2677"/>
      <c r="E37" s="2677"/>
      <c r="F37" s="2681"/>
      <c r="G37" s="2588"/>
      <c r="H37" s="2595"/>
      <c r="I37" s="2596"/>
      <c r="J37" s="3454"/>
      <c r="K37" s="3456"/>
      <c r="L37" s="2630"/>
      <c r="M37" s="2631"/>
      <c r="N37" s="2607"/>
      <c r="O37" s="2632"/>
      <c r="P37" s="2632"/>
      <c r="Q37" s="2633"/>
      <c r="R37" s="2634"/>
      <c r="S37" s="2588"/>
      <c r="T37" s="2588" t="s">
        <v>2342</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54"/>
      <c r="K38" s="3456"/>
      <c r="L38" s="2630"/>
      <c r="M38" s="2631"/>
      <c r="N38" s="2607"/>
      <c r="O38" s="2632"/>
      <c r="P38" s="2632"/>
      <c r="Q38" s="2633"/>
      <c r="R38" s="2634"/>
      <c r="S38" s="2588"/>
      <c r="T38" s="2588" t="s">
        <v>2349</v>
      </c>
      <c r="U38" s="2588"/>
      <c r="V38" s="2596"/>
    </row>
    <row r="39" spans="1:23" s="2600" customFormat="1" ht="13.15" customHeight="1">
      <c r="A39" s="2676">
        <v>9</v>
      </c>
      <c r="B39" s="2677" t="s">
        <v>2427</v>
      </c>
      <c r="C39" s="2644" t="e">
        <f>C38</f>
        <v>#DIV/0!</v>
      </c>
      <c r="D39" s="2677">
        <f>D38/(1+D34)^C36</f>
        <v>0</v>
      </c>
      <c r="E39" s="2677">
        <f>E38/(1+E34)^(C36+D36)</f>
        <v>0</v>
      </c>
      <c r="F39" s="2681"/>
      <c r="G39" s="2596"/>
      <c r="H39" s="2595"/>
      <c r="I39" s="2596"/>
      <c r="J39" s="3454"/>
      <c r="K39" s="3456"/>
      <c r="L39" s="2630"/>
      <c r="M39" s="2631"/>
      <c r="N39" s="2607"/>
      <c r="O39" s="2632"/>
      <c r="P39" s="2632"/>
      <c r="Q39" s="2633"/>
      <c r="R39" s="2634"/>
      <c r="S39" s="2588"/>
      <c r="T39" s="2588"/>
      <c r="U39" s="2588"/>
      <c r="V39" s="2596"/>
    </row>
    <row r="40" spans="1:23" s="2600" customFormat="1" ht="13.15" customHeight="1">
      <c r="A40" s="2735">
        <v>10</v>
      </c>
      <c r="B40" s="2677" t="s">
        <v>2428</v>
      </c>
      <c r="C40" s="2736" t="e">
        <f>C39+D39+E39</f>
        <v>#DIV/0!</v>
      </c>
      <c r="D40" s="2737"/>
      <c r="E40" s="2737"/>
      <c r="F40" s="2738"/>
      <c r="G40" s="2588"/>
      <c r="H40" s="2595"/>
      <c r="I40" s="2596"/>
      <c r="J40" s="3454"/>
      <c r="K40" s="3457"/>
      <c r="L40" s="2650" t="s">
        <v>2367</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15" customHeight="1">
      <c r="G42" s="2595"/>
      <c r="H42" s="2595"/>
      <c r="I42" s="2596"/>
      <c r="J42" s="3458">
        <v>3</v>
      </c>
      <c r="K42" s="2696" t="s">
        <v>2409</v>
      </c>
      <c r="L42" s="2697"/>
      <c r="M42" s="2698"/>
      <c r="N42" s="2699" t="s">
        <v>2410</v>
      </c>
      <c r="O42" s="2699" t="s">
        <v>2411</v>
      </c>
      <c r="P42" s="2700" t="s">
        <v>2412</v>
      </c>
      <c r="Q42" s="2700" t="s">
        <v>2413</v>
      </c>
      <c r="R42" s="2605" t="s">
        <v>2338</v>
      </c>
      <c r="S42" s="2639"/>
      <c r="T42" s="2639"/>
      <c r="U42" s="2588"/>
      <c r="V42" s="2596"/>
    </row>
    <row r="43" spans="1:23" ht="13.15" customHeight="1">
      <c r="A43" s="2600"/>
      <c r="B43" s="2600"/>
      <c r="C43" s="2600"/>
      <c r="D43" s="2600"/>
      <c r="E43" s="2600"/>
      <c r="F43" s="2600"/>
      <c r="I43" s="2583"/>
      <c r="J43" s="3459"/>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45" sqref="Q45"/>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2" t="s">
        <v>1658</v>
      </c>
      <c r="B1" s="1723"/>
      <c r="C1" s="1723"/>
      <c r="D1" s="1723"/>
      <c r="E1" s="1724"/>
      <c r="F1" s="2475"/>
      <c r="G1" s="459"/>
      <c r="H1" s="459"/>
      <c r="I1" s="459"/>
      <c r="J1" s="459"/>
      <c r="K1" s="459"/>
      <c r="L1" s="459"/>
      <c r="M1" s="459"/>
      <c r="N1" s="459"/>
      <c r="O1" s="459"/>
      <c r="P1" s="459"/>
      <c r="Q1" s="459"/>
      <c r="R1" s="459"/>
      <c r="S1" s="459"/>
    </row>
    <row r="2" spans="1:22" ht="15.75">
      <c r="A2" s="1725" t="s">
        <v>1462</v>
      </c>
      <c r="B2" s="807">
        <f ca="1">SUMIF(B6:B13,"&lt;&gt;#ref!",B6:B13)</f>
        <v>0</v>
      </c>
      <c r="C2" s="1726" t="s">
        <v>1651</v>
      </c>
      <c r="D2" s="1727" t="s">
        <v>1652</v>
      </c>
      <c r="E2" s="2388">
        <f>SUM(E6:E13)</f>
        <v>0</v>
      </c>
      <c r="F2" s="2475"/>
      <c r="G2" s="459"/>
      <c r="H2" s="459"/>
      <c r="I2" s="459"/>
      <c r="J2" s="459"/>
      <c r="K2" s="459"/>
      <c r="L2" s="459"/>
      <c r="M2" s="459"/>
      <c r="N2" s="459"/>
      <c r="O2" s="459"/>
      <c r="P2" s="459"/>
      <c r="Q2" s="459"/>
      <c r="R2" s="459"/>
      <c r="S2" s="459"/>
    </row>
    <row r="3" spans="1:22" ht="15.75">
      <c r="A3" s="1725" t="s">
        <v>686</v>
      </c>
      <c r="B3" s="2382" t="e">
        <f ca="1">ROUND(B2*10000/E2,0)</f>
        <v>#DIV/0!</v>
      </c>
      <c r="C3" s="1726"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73" t="s">
        <v>1654</v>
      </c>
      <c r="C5" s="3474"/>
      <c r="D5" s="2476"/>
      <c r="E5" s="1728" t="s">
        <v>1655</v>
      </c>
      <c r="F5" s="129" t="s">
        <v>1656</v>
      </c>
      <c r="G5" s="459"/>
      <c r="H5" s="459"/>
      <c r="I5" s="459"/>
      <c r="J5" s="459"/>
      <c r="K5" s="459"/>
      <c r="L5" s="459"/>
      <c r="M5" s="459"/>
      <c r="N5" s="459"/>
      <c r="O5" s="459"/>
      <c r="P5" s="459"/>
      <c r="Q5" s="459"/>
      <c r="R5" s="459"/>
      <c r="S5" s="459"/>
    </row>
    <row r="6" spans="1:22">
      <c r="A6" s="2385">
        <f>'数据-取费表'!AN6</f>
        <v>0</v>
      </c>
      <c r="B6" s="2383" t="e">
        <f ca="1">IF(F6="是",'数据-取费表'!AO6,0)</f>
        <v>#REF!</v>
      </c>
      <c r="C6" s="1726" t="s">
        <v>1651</v>
      </c>
      <c r="D6" s="2475"/>
      <c r="E6" s="2387">
        <f>IF(OR(A6=0,F6="否"),0,'数据-取费表'!K6+'数据-取费表'!S6)</f>
        <v>0</v>
      </c>
      <c r="F6" s="1729"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6" t="s">
        <v>1651</v>
      </c>
      <c r="D7" s="2475"/>
      <c r="E7" s="2387">
        <f>IF(OR(A7=0,F7="否"),0,'数据-取费表'!K7+'数据-取费表'!S7)</f>
        <v>0</v>
      </c>
      <c r="F7" s="1729"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6" t="s">
        <v>1651</v>
      </c>
      <c r="D8" s="2475"/>
      <c r="E8" s="2387">
        <f>IF(OR(A8=0,F8="否"),0,'数据-取费表'!K8+'数据-取费表'!S8)</f>
        <v>0</v>
      </c>
      <c r="F8" s="1729"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6" t="s">
        <v>1651</v>
      </c>
      <c r="D9" s="2475"/>
      <c r="E9" s="2387">
        <f>IF(OR(A9=0,F9="否"),0,'数据-取费表'!K9+'数据-取费表'!S9)</f>
        <v>0</v>
      </c>
      <c r="F9" s="1729"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6" t="s">
        <v>1651</v>
      </c>
      <c r="D10" s="2475"/>
      <c r="E10" s="2387">
        <f>IF(OR(A10=0,F10="否"),0,'数据-取费表'!K10+'数据-取费表'!S10)</f>
        <v>0</v>
      </c>
      <c r="F10" s="1729"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6" t="s">
        <v>1651</v>
      </c>
      <c r="D11" s="2475"/>
      <c r="E11" s="2387">
        <f>IF(OR(A11=0,F11="否"),0,'数据-取费表'!K11+'数据-取费表'!S11)</f>
        <v>0</v>
      </c>
      <c r="F11" s="1729"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6" t="s">
        <v>1651</v>
      </c>
      <c r="D12" s="2475"/>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20"/>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1"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0"/>
      <c r="H2" s="850"/>
      <c r="I2" s="850"/>
      <c r="J2" s="850"/>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t="e">
        <f>IF(C2="——",C49,ROUND(B2*10000/D3,0))</f>
        <v>#DIV/0!</v>
      </c>
      <c r="C3" s="344" t="s">
        <v>1665</v>
      </c>
      <c r="D3" s="343">
        <f>IF(D1="",'数据-汇总表'!E3,SUMIF('数据-汇总表'!$C19:$C33,D1,'数据-汇总表'!$E19:$E33))</f>
        <v>0</v>
      </c>
      <c r="E3" s="850"/>
      <c r="F3" s="1740"/>
      <c r="G3" s="850"/>
      <c r="H3" s="850"/>
      <c r="I3" s="850"/>
      <c r="J3" s="850"/>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93" t="s">
        <v>1667</v>
      </c>
      <c r="D4" s="3494"/>
      <c r="E4" s="3495" t="s">
        <v>1668</v>
      </c>
      <c r="F4" s="3496"/>
      <c r="G4" s="3493" t="s">
        <v>1669</v>
      </c>
      <c r="H4" s="3494"/>
      <c r="I4" s="3493" t="s">
        <v>1670</v>
      </c>
      <c r="J4" s="3494"/>
      <c r="K4" s="1741" t="s">
        <v>1671</v>
      </c>
      <c r="L4" s="2482"/>
      <c r="M4" s="2483"/>
      <c r="N4" s="2483"/>
      <c r="O4" s="2483"/>
      <c r="P4" s="3497" t="s">
        <v>1672</v>
      </c>
      <c r="Q4" s="3498"/>
      <c r="R4" s="3503" t="s">
        <v>1668</v>
      </c>
      <c r="S4" s="3504"/>
      <c r="T4" s="3503" t="s">
        <v>1669</v>
      </c>
      <c r="U4" s="3504"/>
      <c r="V4" s="3479" t="s">
        <v>1670</v>
      </c>
      <c r="W4" s="3479"/>
      <c r="X4" s="1262"/>
      <c r="Y4" s="3503" t="s">
        <v>1672</v>
      </c>
      <c r="Z4" s="3504"/>
      <c r="AA4" s="3490" t="s">
        <v>1668</v>
      </c>
      <c r="AB4" s="3490" t="s">
        <v>1669</v>
      </c>
      <c r="AC4" s="3490" t="s">
        <v>1670</v>
      </c>
    </row>
    <row r="5" spans="1:29" ht="15">
      <c r="A5" s="348"/>
      <c r="B5" s="349"/>
      <c r="C5" s="3511" t="s">
        <v>1673</v>
      </c>
      <c r="D5" s="3512"/>
      <c r="E5" s="3518" t="s">
        <v>1674</v>
      </c>
      <c r="F5" s="3519"/>
      <c r="G5" s="3511" t="s">
        <v>1675</v>
      </c>
      <c r="H5" s="3512"/>
      <c r="I5" s="3511" t="s">
        <v>1676</v>
      </c>
      <c r="J5" s="3512"/>
      <c r="K5" s="1742"/>
      <c r="L5" s="2482"/>
      <c r="M5" s="2483"/>
      <c r="N5" s="2483"/>
      <c r="O5" s="2483"/>
      <c r="P5" s="3499"/>
      <c r="Q5" s="3500"/>
      <c r="R5" s="3505"/>
      <c r="S5" s="3506"/>
      <c r="T5" s="3505"/>
      <c r="U5" s="3506"/>
      <c r="V5" s="3479"/>
      <c r="W5" s="3479"/>
      <c r="X5" s="1262"/>
      <c r="Y5" s="3505"/>
      <c r="Z5" s="3506"/>
      <c r="AA5" s="3491"/>
      <c r="AB5" s="3491"/>
      <c r="AC5" s="3491"/>
    </row>
    <row r="6" spans="1:29" ht="15.75" thickBot="1">
      <c r="A6" s="350"/>
      <c r="B6" s="351"/>
      <c r="C6" s="3509" t="s">
        <v>1677</v>
      </c>
      <c r="D6" s="3510"/>
      <c r="E6" s="3516" t="s">
        <v>1677</v>
      </c>
      <c r="F6" s="3517"/>
      <c r="G6" s="3509" t="s">
        <v>1677</v>
      </c>
      <c r="H6" s="3510"/>
      <c r="I6" s="3509" t="s">
        <v>1677</v>
      </c>
      <c r="J6" s="3510"/>
      <c r="K6" s="1742" t="s">
        <v>1678</v>
      </c>
      <c r="L6" s="2482"/>
      <c r="M6" s="2483"/>
      <c r="N6" s="2483"/>
      <c r="O6" s="2483"/>
      <c r="P6" s="3501"/>
      <c r="Q6" s="3502"/>
      <c r="R6" s="3505"/>
      <c r="S6" s="3506"/>
      <c r="T6" s="3507"/>
      <c r="U6" s="3508"/>
      <c r="V6" s="3479"/>
      <c r="W6" s="3479"/>
      <c r="X6" s="1262"/>
      <c r="Y6" s="3507"/>
      <c r="Z6" s="3508"/>
      <c r="AA6" s="3492"/>
      <c r="AB6" s="3492"/>
      <c r="AC6" s="3492"/>
    </row>
    <row r="7" spans="1:29" s="102" customFormat="1" ht="15.75" thickBot="1">
      <c r="A7" s="352" t="s">
        <v>1679</v>
      </c>
      <c r="B7" s="353"/>
      <c r="C7" s="354">
        <f>'数据-取费表'!B2</f>
        <v>45215</v>
      </c>
      <c r="D7" s="355">
        <v>100</v>
      </c>
      <c r="E7" s="356"/>
      <c r="F7" s="357">
        <f>SUMIF(58:58,YEAR(E7)&amp;"-"&amp;MONTH(E7),59:59)</f>
        <v>0</v>
      </c>
      <c r="G7" s="356"/>
      <c r="H7" s="355">
        <f>SUMIF(58:58,YEAR(G7)&amp;"-"&amp;MONTH(G7),59:59)</f>
        <v>0</v>
      </c>
      <c r="I7" s="356"/>
      <c r="J7" s="355">
        <f>SUMIF(58:58,YEAR(I7)&amp;"-"&amp;MONTH(I7),59:59)</f>
        <v>0</v>
      </c>
      <c r="K7" s="1743"/>
      <c r="L7" s="2484"/>
      <c r="M7" s="2435"/>
      <c r="N7" s="2435"/>
      <c r="O7" s="2435"/>
      <c r="P7" s="3513" t="s">
        <v>1680</v>
      </c>
      <c r="Q7" s="3515"/>
      <c r="R7" s="660" t="s">
        <v>20</v>
      </c>
      <c r="S7" s="661">
        <f t="shared" ref="S7:S15" si="0">F7</f>
        <v>0</v>
      </c>
      <c r="T7" s="660" t="s">
        <v>20</v>
      </c>
      <c r="U7" s="661">
        <f t="shared" ref="U7:U15" si="1">H7</f>
        <v>0</v>
      </c>
      <c r="V7" s="660" t="s">
        <v>20</v>
      </c>
      <c r="W7" s="661">
        <f t="shared" ref="W7:W15" si="2">J7</f>
        <v>0</v>
      </c>
      <c r="X7" s="662"/>
      <c r="Y7" s="3513" t="s">
        <v>1680</v>
      </c>
      <c r="Z7" s="3514"/>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4"/>
      <c r="M8" s="2435"/>
      <c r="N8" s="2435"/>
      <c r="O8" s="2435"/>
      <c r="P8" s="3513" t="s">
        <v>1683</v>
      </c>
      <c r="Q8" s="3514"/>
      <c r="R8" s="660" t="s">
        <v>20</v>
      </c>
      <c r="S8" s="661">
        <f t="shared" si="0"/>
        <v>100</v>
      </c>
      <c r="T8" s="660" t="s">
        <v>20</v>
      </c>
      <c r="U8" s="661">
        <f t="shared" si="1"/>
        <v>100</v>
      </c>
      <c r="V8" s="660" t="s">
        <v>20</v>
      </c>
      <c r="W8" s="661">
        <f t="shared" si="2"/>
        <v>100</v>
      </c>
      <c r="X8" s="662"/>
      <c r="Y8" s="3513" t="s">
        <v>1683</v>
      </c>
      <c r="Z8" s="35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4"/>
      <c r="M9" s="2435"/>
      <c r="N9" s="2435"/>
      <c r="O9" s="2435"/>
      <c r="P9" s="3489" t="s">
        <v>1686</v>
      </c>
      <c r="Q9" s="530" t="str">
        <f t="shared" ref="Q9:Q15" si="6">B9</f>
        <v>用途</v>
      </c>
      <c r="R9" s="660" t="s">
        <v>14</v>
      </c>
      <c r="S9" s="661">
        <f t="shared" si="0"/>
        <v>100</v>
      </c>
      <c r="T9" s="660" t="s">
        <v>14</v>
      </c>
      <c r="U9" s="661">
        <f t="shared" si="1"/>
        <v>100</v>
      </c>
      <c r="V9" s="660" t="s">
        <v>14</v>
      </c>
      <c r="W9" s="661">
        <f t="shared" si="2"/>
        <v>100</v>
      </c>
      <c r="X9" s="662"/>
      <c r="Y9" s="3353"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3"/>
      <c r="L10" s="2485"/>
      <c r="M10" s="2486"/>
      <c r="N10" s="2486"/>
      <c r="O10" s="2486"/>
      <c r="P10" s="3489"/>
      <c r="Q10" s="530" t="str">
        <f t="shared" si="6"/>
        <v>土地使用年限（年）</v>
      </c>
      <c r="R10" s="660" t="s">
        <v>14</v>
      </c>
      <c r="S10" s="661">
        <f t="shared" si="0"/>
        <v>100</v>
      </c>
      <c r="T10" s="660" t="s">
        <v>14</v>
      </c>
      <c r="U10" s="661">
        <f t="shared" si="1"/>
        <v>100</v>
      </c>
      <c r="V10" s="660" t="s">
        <v>14</v>
      </c>
      <c r="W10" s="661">
        <f t="shared" si="2"/>
        <v>100</v>
      </c>
      <c r="X10" s="662"/>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89"/>
      <c r="Q11" s="530" t="str">
        <f t="shared" si="6"/>
        <v>容积率</v>
      </c>
      <c r="R11" s="660" t="s">
        <v>18</v>
      </c>
      <c r="S11" s="661" t="e">
        <f t="shared" si="0"/>
        <v>#N/A</v>
      </c>
      <c r="T11" s="660" t="s">
        <v>18</v>
      </c>
      <c r="U11" s="661" t="e">
        <f t="shared" si="1"/>
        <v>#N/A</v>
      </c>
      <c r="V11" s="660" t="s">
        <v>18</v>
      </c>
      <c r="W11" s="661" t="e">
        <f t="shared" si="2"/>
        <v>#N/A</v>
      </c>
      <c r="X11" s="662"/>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89"/>
      <c r="Q12" s="530">
        <f t="shared" si="6"/>
        <v>111</v>
      </c>
      <c r="R12" s="660" t="s">
        <v>18</v>
      </c>
      <c r="S12" s="661">
        <f t="shared" si="0"/>
        <v>100</v>
      </c>
      <c r="T12" s="660" t="s">
        <v>18</v>
      </c>
      <c r="U12" s="661">
        <f t="shared" si="1"/>
        <v>100</v>
      </c>
      <c r="V12" s="660" t="s">
        <v>18</v>
      </c>
      <c r="W12" s="661">
        <f t="shared" si="2"/>
        <v>100</v>
      </c>
      <c r="X12" s="662"/>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89"/>
      <c r="Q13" s="530">
        <f t="shared" si="6"/>
        <v>111</v>
      </c>
      <c r="R13" s="660" t="s">
        <v>18</v>
      </c>
      <c r="S13" s="661">
        <f t="shared" si="0"/>
        <v>100</v>
      </c>
      <c r="T13" s="660" t="s">
        <v>18</v>
      </c>
      <c r="U13" s="661">
        <f t="shared" si="1"/>
        <v>100</v>
      </c>
      <c r="V13" s="660" t="s">
        <v>18</v>
      </c>
      <c r="W13" s="661">
        <f t="shared" si="2"/>
        <v>100</v>
      </c>
      <c r="X13" s="662"/>
      <c r="Y13" s="3353"/>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89"/>
      <c r="Q14" s="530">
        <f t="shared" si="6"/>
        <v>111</v>
      </c>
      <c r="R14" s="660" t="s">
        <v>18</v>
      </c>
      <c r="S14" s="661">
        <f t="shared" si="0"/>
        <v>100</v>
      </c>
      <c r="T14" s="660" t="s">
        <v>18</v>
      </c>
      <c r="U14" s="661">
        <f t="shared" si="1"/>
        <v>100</v>
      </c>
      <c r="V14" s="660" t="s">
        <v>18</v>
      </c>
      <c r="W14" s="661">
        <f t="shared" si="2"/>
        <v>100</v>
      </c>
      <c r="X14" s="662"/>
      <c r="Y14" s="3353"/>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87" t="s">
        <v>1691</v>
      </c>
      <c r="Q15" s="1260" t="str">
        <f t="shared" si="6"/>
        <v>居住社区成熟度</v>
      </c>
      <c r="R15" s="663" t="s">
        <v>18</v>
      </c>
      <c r="S15" s="664">
        <f t="shared" si="0"/>
        <v>100</v>
      </c>
      <c r="T15" s="663" t="s">
        <v>18</v>
      </c>
      <c r="U15" s="664">
        <f t="shared" si="1"/>
        <v>100</v>
      </c>
      <c r="V15" s="663" t="s">
        <v>18</v>
      </c>
      <c r="W15" s="664">
        <f t="shared" si="2"/>
        <v>100</v>
      </c>
      <c r="X15" s="1262"/>
      <c r="Y15" s="3480"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8"/>
      <c r="M16" s="2483"/>
      <c r="N16" s="2483"/>
      <c r="O16" s="2483"/>
      <c r="P16" s="3488"/>
      <c r="Q16" s="1260"/>
      <c r="R16" s="663"/>
      <c r="S16" s="664"/>
      <c r="T16" s="663"/>
      <c r="U16" s="664"/>
      <c r="V16" s="663"/>
      <c r="W16" s="664"/>
      <c r="X16" s="1262"/>
      <c r="Y16" s="3481"/>
      <c r="Z16" s="1261"/>
      <c r="AA16" s="1261">
        <v>1</v>
      </c>
      <c r="AB16" s="1261">
        <v>1</v>
      </c>
      <c r="AC16" s="1261">
        <v>1</v>
      </c>
    </row>
    <row r="17" spans="1:29" ht="85.5">
      <c r="A17" s="367"/>
      <c r="B17" s="390" t="s">
        <v>1259</v>
      </c>
      <c r="C17" s="1751" t="str">
        <f>估价对象房地状况!C6</f>
        <v>估价对象周边道路状况、公共交通通达情况808、809等、停车便捷程度较好，综合评价交通便捷度一般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88"/>
      <c r="Q17" s="1260" t="str">
        <f>B17</f>
        <v>交通便捷度</v>
      </c>
      <c r="R17" s="663" t="s">
        <v>18</v>
      </c>
      <c r="S17" s="664">
        <f>F17</f>
        <v>100</v>
      </c>
      <c r="T17" s="663" t="s">
        <v>18</v>
      </c>
      <c r="U17" s="664">
        <f>H17</f>
        <v>100</v>
      </c>
      <c r="V17" s="663" t="s">
        <v>18</v>
      </c>
      <c r="W17" s="664">
        <f>J17</f>
        <v>100</v>
      </c>
      <c r="X17" s="1262"/>
      <c r="Y17" s="3481"/>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8"/>
      <c r="M18" s="2483"/>
      <c r="N18" s="2483"/>
      <c r="O18" s="2483"/>
      <c r="P18" s="3488"/>
      <c r="Q18" s="1260"/>
      <c r="R18" s="663"/>
      <c r="S18" s="664"/>
      <c r="T18" s="663"/>
      <c r="U18" s="664"/>
      <c r="V18" s="663"/>
      <c r="W18" s="664"/>
      <c r="X18" s="1262"/>
      <c r="Y18" s="3481"/>
      <c r="Z18" s="1261"/>
      <c r="AA18" s="1261">
        <v>1</v>
      </c>
      <c r="AB18" s="1261">
        <v>1</v>
      </c>
      <c r="AC18" s="1261">
        <v>1</v>
      </c>
    </row>
    <row r="19" spans="1:29" ht="228">
      <c r="A19" s="367"/>
      <c r="B19" s="390" t="s">
        <v>1258</v>
      </c>
      <c r="C19" s="1751" t="str">
        <f>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88"/>
      <c r="Q19" s="1260" t="str">
        <f>B19</f>
        <v>公共配套设施</v>
      </c>
      <c r="R19" s="663" t="s">
        <v>18</v>
      </c>
      <c r="S19" s="664">
        <f>F19</f>
        <v>100</v>
      </c>
      <c r="T19" s="663" t="s">
        <v>18</v>
      </c>
      <c r="U19" s="664">
        <f>H19</f>
        <v>100</v>
      </c>
      <c r="V19" s="663" t="s">
        <v>18</v>
      </c>
      <c r="W19" s="664">
        <f>J19</f>
        <v>100</v>
      </c>
      <c r="X19" s="1262"/>
      <c r="Y19" s="3481"/>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8"/>
      <c r="M20" s="2483"/>
      <c r="N20" s="2483"/>
      <c r="O20" s="2483"/>
      <c r="P20" s="3488"/>
      <c r="Q20" s="1260"/>
      <c r="R20" s="663"/>
      <c r="S20" s="664"/>
      <c r="T20" s="663"/>
      <c r="U20" s="664"/>
      <c r="V20" s="663"/>
      <c r="W20" s="664"/>
      <c r="X20" s="1262"/>
      <c r="Y20" s="3481"/>
      <c r="Z20" s="1261"/>
      <c r="AA20" s="1261">
        <v>1</v>
      </c>
      <c r="AB20" s="1261">
        <v>1</v>
      </c>
      <c r="AC20" s="1261">
        <v>1</v>
      </c>
    </row>
    <row r="21" spans="1:29" ht="28.5">
      <c r="A21" s="367"/>
      <c r="B21" s="585" t="s">
        <v>1260</v>
      </c>
      <c r="C21" s="1751"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88"/>
      <c r="Q21" s="1260" t="str">
        <f>B21</f>
        <v>基础设施水平</v>
      </c>
      <c r="R21" s="663" t="s">
        <v>14</v>
      </c>
      <c r="S21" s="664">
        <f>F21</f>
        <v>100</v>
      </c>
      <c r="T21" s="663" t="s">
        <v>14</v>
      </c>
      <c r="U21" s="664">
        <f>H21</f>
        <v>100</v>
      </c>
      <c r="V21" s="663" t="s">
        <v>14</v>
      </c>
      <c r="W21" s="664">
        <f>J21</f>
        <v>100</v>
      </c>
      <c r="X21" s="1262"/>
      <c r="Y21" s="3481"/>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7"/>
      <c r="G22" s="1755"/>
      <c r="H22" s="387"/>
      <c r="I22" s="386"/>
      <c r="J22" s="387"/>
      <c r="K22" s="1756"/>
      <c r="L22" s="2488"/>
      <c r="M22" s="2483"/>
      <c r="N22" s="2483"/>
      <c r="O22" s="2483"/>
      <c r="P22" s="3488"/>
      <c r="Q22" s="1260"/>
      <c r="R22" s="663"/>
      <c r="S22" s="664"/>
      <c r="T22" s="663"/>
      <c r="U22" s="664"/>
      <c r="V22" s="663"/>
      <c r="W22" s="664"/>
      <c r="X22" s="1262"/>
      <c r="Y22" s="3481"/>
      <c r="Z22" s="1261"/>
      <c r="AA22" s="1261">
        <v>1</v>
      </c>
      <c r="AB22" s="1261">
        <v>1</v>
      </c>
      <c r="AC22" s="1261">
        <v>1</v>
      </c>
    </row>
    <row r="23" spans="1:29" ht="71.25">
      <c r="A23" s="367"/>
      <c r="B23" s="390" t="s">
        <v>1261</v>
      </c>
      <c r="C23" s="1751" t="str">
        <f>估价对象房地状况!C9</f>
        <v>区域自然环境：潞城中心公园；人文环境：工商大学嘉华学院；综合评价环境状况一般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88"/>
      <c r="Q23" s="1260" t="str">
        <f>B23</f>
        <v>自然及人文环境</v>
      </c>
      <c r="R23" s="663" t="s">
        <v>18</v>
      </c>
      <c r="S23" s="664">
        <f>F23</f>
        <v>100</v>
      </c>
      <c r="T23" s="663" t="s">
        <v>18</v>
      </c>
      <c r="U23" s="664">
        <f>H23</f>
        <v>100</v>
      </c>
      <c r="V23" s="663" t="s">
        <v>18</v>
      </c>
      <c r="W23" s="664">
        <f>J23</f>
        <v>100</v>
      </c>
      <c r="X23" s="1262"/>
      <c r="Y23" s="3481"/>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8"/>
      <c r="M24" s="2483"/>
      <c r="N24" s="2483"/>
      <c r="O24" s="2483"/>
      <c r="P24" s="3488"/>
      <c r="Q24" s="1260"/>
      <c r="R24" s="663"/>
      <c r="S24" s="664"/>
      <c r="T24" s="663"/>
      <c r="U24" s="664"/>
      <c r="V24" s="663"/>
      <c r="W24" s="664"/>
      <c r="X24" s="1262"/>
      <c r="Y24" s="3481"/>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488"/>
      <c r="Q25" s="1260" t="str">
        <f t="shared" ref="Q25:Q46" si="11">B25</f>
        <v>楼层-1</v>
      </c>
      <c r="R25" s="663" t="s">
        <v>18</v>
      </c>
      <c r="S25" s="664">
        <f t="shared" ref="S25:S46" si="12">F25</f>
        <v>100</v>
      </c>
      <c r="T25" s="663" t="s">
        <v>18</v>
      </c>
      <c r="U25" s="664">
        <f t="shared" ref="U25:U46" si="13">H25</f>
        <v>100</v>
      </c>
      <c r="V25" s="663" t="s">
        <v>18</v>
      </c>
      <c r="W25" s="664">
        <f t="shared" ref="W25:W46" si="14">J25</f>
        <v>100</v>
      </c>
      <c r="X25" s="1262"/>
      <c r="Y25" s="3481"/>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488"/>
      <c r="Q26" s="1260" t="str">
        <f t="shared" si="11"/>
        <v>朝向</v>
      </c>
      <c r="R26" s="663" t="s">
        <v>18</v>
      </c>
      <c r="S26" s="664">
        <f t="shared" si="12"/>
        <v>100</v>
      </c>
      <c r="T26" s="663" t="s">
        <v>18</v>
      </c>
      <c r="U26" s="664">
        <f t="shared" si="13"/>
        <v>100</v>
      </c>
      <c r="V26" s="663" t="s">
        <v>18</v>
      </c>
      <c r="W26" s="664">
        <f t="shared" si="14"/>
        <v>100</v>
      </c>
      <c r="X26" s="1262"/>
      <c r="Y26" s="3481"/>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488"/>
      <c r="Q27" s="530">
        <f t="shared" si="11"/>
        <v>111</v>
      </c>
      <c r="R27" s="660" t="s">
        <v>18</v>
      </c>
      <c r="S27" s="661">
        <f t="shared" si="12"/>
        <v>100</v>
      </c>
      <c r="T27" s="660" t="s">
        <v>18</v>
      </c>
      <c r="U27" s="661">
        <f t="shared" si="13"/>
        <v>100</v>
      </c>
      <c r="V27" s="660" t="s">
        <v>18</v>
      </c>
      <c r="W27" s="661">
        <f t="shared" si="14"/>
        <v>100</v>
      </c>
      <c r="X27" s="662"/>
      <c r="Y27" s="3481"/>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488"/>
      <c r="Q28" s="1260">
        <f t="shared" si="11"/>
        <v>111</v>
      </c>
      <c r="R28" s="663" t="s">
        <v>18</v>
      </c>
      <c r="S28" s="664">
        <f t="shared" si="12"/>
        <v>100</v>
      </c>
      <c r="T28" s="663" t="s">
        <v>18</v>
      </c>
      <c r="U28" s="664">
        <f t="shared" si="13"/>
        <v>100</v>
      </c>
      <c r="V28" s="663" t="s">
        <v>18</v>
      </c>
      <c r="W28" s="664">
        <f t="shared" si="14"/>
        <v>100</v>
      </c>
      <c r="X28" s="1262"/>
      <c r="Y28" s="3481"/>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488"/>
      <c r="Q29" s="1260">
        <f t="shared" si="11"/>
        <v>111</v>
      </c>
      <c r="R29" s="663" t="s">
        <v>18</v>
      </c>
      <c r="S29" s="664">
        <f t="shared" si="12"/>
        <v>100</v>
      </c>
      <c r="T29" s="663" t="s">
        <v>18</v>
      </c>
      <c r="U29" s="664">
        <f t="shared" si="13"/>
        <v>100</v>
      </c>
      <c r="V29" s="663" t="s">
        <v>18</v>
      </c>
      <c r="W29" s="664">
        <f t="shared" si="14"/>
        <v>100</v>
      </c>
      <c r="X29" s="1262"/>
      <c r="Y29" s="3481"/>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488"/>
      <c r="Q30" s="1260">
        <f t="shared" si="11"/>
        <v>111</v>
      </c>
      <c r="R30" s="663" t="s">
        <v>18</v>
      </c>
      <c r="S30" s="664">
        <f t="shared" si="12"/>
        <v>100</v>
      </c>
      <c r="T30" s="663" t="s">
        <v>18</v>
      </c>
      <c r="U30" s="664">
        <f t="shared" si="13"/>
        <v>100</v>
      </c>
      <c r="V30" s="663" t="s">
        <v>18</v>
      </c>
      <c r="W30" s="664">
        <f t="shared" si="14"/>
        <v>100</v>
      </c>
      <c r="X30" s="1262"/>
      <c r="Y30" s="3481"/>
      <c r="Z30" s="1261">
        <f t="shared" si="18"/>
        <v>111</v>
      </c>
      <c r="AA30" s="1261">
        <f t="shared" si="15"/>
        <v>1</v>
      </c>
      <c r="AB30" s="1261">
        <f t="shared" si="16"/>
        <v>1</v>
      </c>
      <c r="AC30" s="1261">
        <f t="shared" si="17"/>
        <v>1</v>
      </c>
    </row>
    <row r="31" spans="1:29" ht="15.75"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488"/>
      <c r="Q31" s="1260">
        <f t="shared" si="11"/>
        <v>111</v>
      </c>
      <c r="R31" s="663" t="s">
        <v>18</v>
      </c>
      <c r="S31" s="664">
        <f t="shared" si="12"/>
        <v>100</v>
      </c>
      <c r="T31" s="663" t="s">
        <v>18</v>
      </c>
      <c r="U31" s="664">
        <f t="shared" si="13"/>
        <v>100</v>
      </c>
      <c r="V31" s="663" t="s">
        <v>18</v>
      </c>
      <c r="W31" s="664">
        <f t="shared" si="14"/>
        <v>100</v>
      </c>
      <c r="X31" s="1262"/>
      <c r="Y31" s="3481"/>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8"/>
      <c r="M32" s="2483"/>
      <c r="N32" s="2483"/>
      <c r="O32" s="2483"/>
      <c r="P32" s="3482" t="s">
        <v>1696</v>
      </c>
      <c r="Q32" s="1260" t="str">
        <f t="shared" si="11"/>
        <v>建筑类型</v>
      </c>
      <c r="R32" s="663" t="s">
        <v>18</v>
      </c>
      <c r="S32" s="664">
        <f t="shared" si="12"/>
        <v>100</v>
      </c>
      <c r="T32" s="663" t="s">
        <v>18</v>
      </c>
      <c r="U32" s="664">
        <f t="shared" si="13"/>
        <v>100</v>
      </c>
      <c r="V32" s="663" t="s">
        <v>18</v>
      </c>
      <c r="W32" s="664">
        <f t="shared" si="14"/>
        <v>100</v>
      </c>
      <c r="X32" s="1262"/>
      <c r="Y32" s="3485"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7"/>
      <c r="M33" s="2489"/>
      <c r="N33" s="2489"/>
      <c r="O33" s="2489"/>
      <c r="P33" s="3483"/>
      <c r="Q33" s="531" t="str">
        <f t="shared" si="11"/>
        <v>项目建筑规模</v>
      </c>
      <c r="R33" s="665" t="s">
        <v>18</v>
      </c>
      <c r="S33" s="666" t="e">
        <f t="shared" si="12"/>
        <v>#N/A</v>
      </c>
      <c r="T33" s="665" t="s">
        <v>18</v>
      </c>
      <c r="U33" s="666" t="e">
        <f t="shared" si="13"/>
        <v>#N/A</v>
      </c>
      <c r="V33" s="665" t="s">
        <v>18</v>
      </c>
      <c r="W33" s="666" t="e">
        <f t="shared" si="14"/>
        <v>#N/A</v>
      </c>
      <c r="X33" s="667"/>
      <c r="Y33" s="3485"/>
      <c r="Z33" s="668"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8"/>
      <c r="M34" s="2483"/>
      <c r="N34" s="2483"/>
      <c r="O34" s="2483"/>
      <c r="P34" s="3483"/>
      <c r="Q34" s="1260" t="str">
        <f t="shared" si="11"/>
        <v>建筑结构</v>
      </c>
      <c r="R34" s="663" t="s">
        <v>18</v>
      </c>
      <c r="S34" s="664">
        <f t="shared" si="12"/>
        <v>100</v>
      </c>
      <c r="T34" s="663" t="s">
        <v>18</v>
      </c>
      <c r="U34" s="664">
        <f t="shared" si="13"/>
        <v>100</v>
      </c>
      <c r="V34" s="663" t="s">
        <v>18</v>
      </c>
      <c r="W34" s="664">
        <f t="shared" si="14"/>
        <v>100</v>
      </c>
      <c r="X34" s="1262"/>
      <c r="Y34" s="3485"/>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8"/>
      <c r="M35" s="2483"/>
      <c r="N35" s="2483"/>
      <c r="O35" s="2483"/>
      <c r="P35" s="3483"/>
      <c r="Q35" s="1260" t="str">
        <f t="shared" si="11"/>
        <v>建筑品质</v>
      </c>
      <c r="R35" s="663" t="s">
        <v>18</v>
      </c>
      <c r="S35" s="664">
        <f t="shared" si="12"/>
        <v>100</v>
      </c>
      <c r="T35" s="663" t="s">
        <v>18</v>
      </c>
      <c r="U35" s="664">
        <f t="shared" si="13"/>
        <v>100</v>
      </c>
      <c r="V35" s="663" t="s">
        <v>18</v>
      </c>
      <c r="W35" s="664">
        <f t="shared" si="14"/>
        <v>100</v>
      </c>
      <c r="X35" s="1262"/>
      <c r="Y35" s="3485"/>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8"/>
      <c r="M36" s="2483"/>
      <c r="N36" s="2483"/>
      <c r="O36" s="2483"/>
      <c r="P36" s="3483"/>
      <c r="Q36" s="1260" t="str">
        <f t="shared" si="11"/>
        <v>公共部分装修</v>
      </c>
      <c r="R36" s="663" t="s">
        <v>18</v>
      </c>
      <c r="S36" s="664">
        <f t="shared" si="12"/>
        <v>100</v>
      </c>
      <c r="T36" s="663" t="s">
        <v>18</v>
      </c>
      <c r="U36" s="664">
        <f t="shared" si="13"/>
        <v>100</v>
      </c>
      <c r="V36" s="663" t="s">
        <v>18</v>
      </c>
      <c r="W36" s="664">
        <f t="shared" si="14"/>
        <v>100</v>
      </c>
      <c r="X36" s="1262"/>
      <c r="Y36" s="3485"/>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83"/>
      <c r="Q37" s="530" t="str">
        <f t="shared" si="11"/>
        <v>成新度</v>
      </c>
      <c r="R37" s="660" t="s">
        <v>18</v>
      </c>
      <c r="S37" s="661" t="e">
        <f t="shared" si="12"/>
        <v>#N/A</v>
      </c>
      <c r="T37" s="660" t="s">
        <v>18</v>
      </c>
      <c r="U37" s="661" t="e">
        <f t="shared" si="13"/>
        <v>#N/A</v>
      </c>
      <c r="V37" s="660" t="s">
        <v>18</v>
      </c>
      <c r="W37" s="661" t="e">
        <f t="shared" si="14"/>
        <v>#N/A</v>
      </c>
      <c r="X37" s="662"/>
      <c r="Y37" s="3485"/>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8"/>
      <c r="M38" s="2483"/>
      <c r="N38" s="2483"/>
      <c r="O38" s="2483"/>
      <c r="P38" s="3483" t="s">
        <v>1696</v>
      </c>
      <c r="Q38" s="1260" t="str">
        <f t="shared" si="11"/>
        <v>物业管理</v>
      </c>
      <c r="R38" s="663" t="s">
        <v>18</v>
      </c>
      <c r="S38" s="664">
        <f t="shared" si="12"/>
        <v>100</v>
      </c>
      <c r="T38" s="663" t="s">
        <v>18</v>
      </c>
      <c r="U38" s="664">
        <f t="shared" si="13"/>
        <v>100</v>
      </c>
      <c r="V38" s="663" t="s">
        <v>18</v>
      </c>
      <c r="W38" s="664">
        <f t="shared" si="14"/>
        <v>100</v>
      </c>
      <c r="X38" s="1262"/>
      <c r="Y38" s="3485"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8"/>
      <c r="M39" s="2483"/>
      <c r="N39" s="2483"/>
      <c r="O39" s="2483"/>
      <c r="P39" s="3483"/>
      <c r="Q39" s="1260" t="str">
        <f t="shared" si="11"/>
        <v>市政基础设施</v>
      </c>
      <c r="R39" s="663" t="s">
        <v>18</v>
      </c>
      <c r="S39" s="664">
        <f t="shared" si="12"/>
        <v>100</v>
      </c>
      <c r="T39" s="663" t="s">
        <v>18</v>
      </c>
      <c r="U39" s="664">
        <f t="shared" si="13"/>
        <v>100</v>
      </c>
      <c r="V39" s="663" t="s">
        <v>18</v>
      </c>
      <c r="W39" s="664">
        <f t="shared" si="14"/>
        <v>100</v>
      </c>
      <c r="X39" s="1262"/>
      <c r="Y39" s="3485"/>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8"/>
      <c r="M40" s="2483"/>
      <c r="N40" s="2483"/>
      <c r="O40" s="2483"/>
      <c r="P40" s="3483"/>
      <c r="Q40" s="1260" t="str">
        <f t="shared" si="11"/>
        <v>房型</v>
      </c>
      <c r="R40" s="663" t="s">
        <v>18</v>
      </c>
      <c r="S40" s="664">
        <f t="shared" si="12"/>
        <v>100</v>
      </c>
      <c r="T40" s="663" t="s">
        <v>18</v>
      </c>
      <c r="U40" s="664">
        <f t="shared" si="13"/>
        <v>100</v>
      </c>
      <c r="V40" s="663" t="s">
        <v>18</v>
      </c>
      <c r="W40" s="664">
        <f t="shared" si="14"/>
        <v>100</v>
      </c>
      <c r="X40" s="1262"/>
      <c r="Y40" s="3485"/>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7"/>
      <c r="M41" s="2489"/>
      <c r="N41" s="2489"/>
      <c r="O41" s="2489"/>
      <c r="P41" s="3483"/>
      <c r="Q41" s="531" t="str">
        <f t="shared" si="11"/>
        <v>单套/主力户型建筑面积</v>
      </c>
      <c r="R41" s="665" t="s">
        <v>18</v>
      </c>
      <c r="S41" s="666">
        <f t="shared" si="12"/>
        <v>100</v>
      </c>
      <c r="T41" s="665" t="s">
        <v>18</v>
      </c>
      <c r="U41" s="666">
        <f t="shared" si="13"/>
        <v>100</v>
      </c>
      <c r="V41" s="665" t="s">
        <v>18</v>
      </c>
      <c r="W41" s="666">
        <f t="shared" si="14"/>
        <v>100</v>
      </c>
      <c r="X41" s="667"/>
      <c r="Y41" s="3485"/>
      <c r="Z41" s="668"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8"/>
      <c r="M42" s="2483"/>
      <c r="N42" s="2483"/>
      <c r="O42" s="2483"/>
      <c r="P42" s="3483"/>
      <c r="Q42" s="1260" t="str">
        <f t="shared" si="11"/>
        <v>内部装修</v>
      </c>
      <c r="R42" s="663" t="s">
        <v>18</v>
      </c>
      <c r="S42" s="664">
        <f t="shared" si="12"/>
        <v>100</v>
      </c>
      <c r="T42" s="663" t="s">
        <v>18</v>
      </c>
      <c r="U42" s="664">
        <f t="shared" si="13"/>
        <v>100</v>
      </c>
      <c r="V42" s="663" t="s">
        <v>18</v>
      </c>
      <c r="W42" s="664">
        <f t="shared" si="14"/>
        <v>100</v>
      </c>
      <c r="X42" s="1262"/>
      <c r="Y42" s="3485"/>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483"/>
      <c r="Q43" s="1260" t="str">
        <f t="shared" si="11"/>
        <v>内部装修维护情况</v>
      </c>
      <c r="R43" s="663" t="s">
        <v>18</v>
      </c>
      <c r="S43" s="664">
        <f t="shared" si="12"/>
        <v>100</v>
      </c>
      <c r="T43" s="663" t="s">
        <v>18</v>
      </c>
      <c r="U43" s="664">
        <f t="shared" si="13"/>
        <v>100</v>
      </c>
      <c r="V43" s="663" t="s">
        <v>18</v>
      </c>
      <c r="W43" s="664">
        <f t="shared" si="14"/>
        <v>100</v>
      </c>
      <c r="X43" s="1262"/>
      <c r="Y43" s="3485"/>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4"/>
      <c r="M44" s="2435"/>
      <c r="N44" s="2435"/>
      <c r="O44" s="2435"/>
      <c r="P44" s="3483"/>
      <c r="Q44" s="530">
        <f t="shared" si="11"/>
        <v>111</v>
      </c>
      <c r="R44" s="660" t="s">
        <v>18</v>
      </c>
      <c r="S44" s="661">
        <f t="shared" si="12"/>
        <v>100</v>
      </c>
      <c r="T44" s="660" t="s">
        <v>18</v>
      </c>
      <c r="U44" s="661">
        <f t="shared" si="13"/>
        <v>100</v>
      </c>
      <c r="V44" s="660" t="s">
        <v>18</v>
      </c>
      <c r="W44" s="661">
        <f t="shared" si="14"/>
        <v>100</v>
      </c>
      <c r="X44" s="662"/>
      <c r="Y44" s="3485"/>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483"/>
      <c r="Q45" s="1260">
        <f t="shared" si="11"/>
        <v>111</v>
      </c>
      <c r="R45" s="663" t="s">
        <v>18</v>
      </c>
      <c r="S45" s="664">
        <f t="shared" si="12"/>
        <v>100</v>
      </c>
      <c r="T45" s="663" t="s">
        <v>18</v>
      </c>
      <c r="U45" s="664">
        <f t="shared" si="13"/>
        <v>100</v>
      </c>
      <c r="V45" s="663" t="s">
        <v>18</v>
      </c>
      <c r="W45" s="664">
        <f t="shared" si="14"/>
        <v>100</v>
      </c>
      <c r="X45" s="1262"/>
      <c r="Y45" s="3485"/>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484"/>
      <c r="Q46" s="1260">
        <f t="shared" si="11"/>
        <v>111</v>
      </c>
      <c r="R46" s="663" t="s">
        <v>17</v>
      </c>
      <c r="S46" s="664">
        <f t="shared" si="12"/>
        <v>100</v>
      </c>
      <c r="T46" s="663" t="s">
        <v>17</v>
      </c>
      <c r="U46" s="664">
        <f t="shared" si="13"/>
        <v>100</v>
      </c>
      <c r="V46" s="663" t="s">
        <v>17</v>
      </c>
      <c r="W46" s="664">
        <f t="shared" si="14"/>
        <v>100</v>
      </c>
      <c r="X46" s="1262"/>
      <c r="Y46" s="3486"/>
      <c r="Z46" s="1261">
        <f t="shared" si="18"/>
        <v>111</v>
      </c>
      <c r="AA46" s="1261">
        <f t="shared" si="15"/>
        <v>1</v>
      </c>
      <c r="AB46" s="1261">
        <f t="shared" si="16"/>
        <v>1</v>
      </c>
      <c r="AC46" s="1261">
        <f t="shared" si="17"/>
        <v>1</v>
      </c>
    </row>
    <row r="47" spans="1:29" ht="15">
      <c r="A47" s="416" t="s">
        <v>1708</v>
      </c>
      <c r="B47" s="417"/>
      <c r="C47" s="1078" t="s">
        <v>16</v>
      </c>
      <c r="D47" s="418"/>
      <c r="E47" s="419"/>
      <c r="F47" s="420"/>
      <c r="G47" s="421"/>
      <c r="H47" s="422"/>
      <c r="I47" s="419"/>
      <c r="J47" s="422"/>
      <c r="K47" s="1764"/>
      <c r="L47" s="2490"/>
      <c r="M47" s="2483"/>
      <c r="N47" s="2483"/>
      <c r="O47" s="2483"/>
      <c r="P47" s="3478" t="str">
        <f>A47</f>
        <v>成交单价（元/平方米）</v>
      </c>
      <c r="Q47" s="3478"/>
      <c r="R47" s="3479">
        <f>E47</f>
        <v>0</v>
      </c>
      <c r="S47" s="3479"/>
      <c r="T47" s="3479">
        <f>G47</f>
        <v>0</v>
      </c>
      <c r="U47" s="3479"/>
      <c r="V47" s="3479">
        <f>I47</f>
        <v>0</v>
      </c>
      <c r="W47" s="3479"/>
      <c r="X47" s="385"/>
      <c r="Y47" s="669"/>
      <c r="Z47" s="385"/>
      <c r="AA47" s="385"/>
      <c r="AB47" s="385"/>
      <c r="AC47" s="385"/>
    </row>
    <row r="48" spans="1:29" ht="15.75" thickBot="1">
      <c r="A48" s="423" t="s">
        <v>1709</v>
      </c>
      <c r="B48" s="424"/>
      <c r="C48" s="1079" t="e">
        <f>R49</f>
        <v>#DIV/0!</v>
      </c>
      <c r="D48" s="2138" t="s">
        <v>2135</v>
      </c>
      <c r="E48" s="1080" t="e">
        <f>R48</f>
        <v>#DIV/0!</v>
      </c>
      <c r="F48" s="2139"/>
      <c r="G48" s="1079" t="e">
        <f>T48</f>
        <v>#DIV/0!</v>
      </c>
      <c r="H48" s="2139"/>
      <c r="I48" s="1080" t="e">
        <f>V48</f>
        <v>#DIV/0!</v>
      </c>
      <c r="J48" s="2139"/>
      <c r="K48" s="2140">
        <f>F48+H48+J48</f>
        <v>0</v>
      </c>
      <c r="L48" s="2490"/>
      <c r="M48" s="2483"/>
      <c r="N48" s="2483"/>
      <c r="O48" s="2483"/>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385"/>
      <c r="Y48" s="385"/>
      <c r="Z48" s="385"/>
      <c r="AA48" s="385"/>
      <c r="AB48" s="385"/>
      <c r="AC48" s="385"/>
    </row>
    <row r="49" spans="1:29" ht="15.75" thickBot="1">
      <c r="A49" s="427" t="s">
        <v>1710</v>
      </c>
      <c r="B49" s="428"/>
      <c r="C49" s="1081" t="e">
        <f>R49</f>
        <v>#DIV/0!</v>
      </c>
      <c r="D49" s="351"/>
      <c r="E49" s="351"/>
      <c r="F49" s="351"/>
      <c r="G49" s="351"/>
      <c r="H49" s="351"/>
      <c r="I49" s="351"/>
      <c r="J49" s="351"/>
      <c r="K49" s="1765"/>
      <c r="L49" s="2490"/>
      <c r="M49" s="2483"/>
      <c r="N49" s="2483"/>
      <c r="O49" s="2483"/>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7"/>
    </row>
    <row r="55" spans="1:29" s="437" customFormat="1">
      <c r="A55" s="2493"/>
      <c r="B55" s="2496"/>
      <c r="C55" s="2497"/>
      <c r="D55" s="2493"/>
      <c r="E55" s="2493"/>
      <c r="F55" s="2493"/>
      <c r="G55" s="2493"/>
      <c r="H55" s="2493"/>
      <c r="I55" s="2493"/>
      <c r="J55" s="2493"/>
      <c r="K55" s="2498"/>
      <c r="L55" s="2492"/>
      <c r="M55" s="2493"/>
      <c r="N55" s="2493"/>
      <c r="O55" s="2493"/>
      <c r="P55" s="1767"/>
    </row>
    <row r="56" spans="1:29">
      <c r="A56" s="2483"/>
      <c r="B56" s="2496"/>
      <c r="C56" s="2497"/>
      <c r="D56" s="2483"/>
      <c r="E56" s="2483"/>
      <c r="F56" s="2483"/>
      <c r="G56" s="2483"/>
      <c r="H56" s="2483"/>
      <c r="I56" s="2483"/>
      <c r="J56" s="2483"/>
      <c r="K56" s="2495"/>
      <c r="L56" s="2491"/>
      <c r="M56" s="2483"/>
      <c r="N56" s="2483"/>
      <c r="O56" s="2483"/>
    </row>
    <row r="57" spans="1:29" ht="21.75" thickBot="1">
      <c r="A57" s="654" t="s">
        <v>1714</v>
      </c>
      <c r="B57" s="385"/>
      <c r="C57" s="655"/>
      <c r="D57" s="655"/>
      <c r="E57" s="655"/>
      <c r="F57" s="656"/>
      <c r="G57" s="656"/>
      <c r="H57" s="655"/>
      <c r="I57" s="655"/>
      <c r="J57" s="655"/>
      <c r="K57" s="883"/>
      <c r="L57" s="884"/>
      <c r="M57" s="882"/>
      <c r="N57" s="882"/>
      <c r="O57" s="882"/>
      <c r="P57" s="1768"/>
      <c r="Q57" s="439"/>
    </row>
    <row r="58" spans="1:29" s="442" customFormat="1" ht="15">
      <c r="A58" s="440" t="s">
        <v>1715</v>
      </c>
      <c r="B58" s="441"/>
      <c r="C58" s="1102" t="str">
        <f>YEAR(C7)&amp;"-"&amp;MONTH(C7)</f>
        <v>2023-10</v>
      </c>
      <c r="D58" s="1101">
        <f>EDATE(C58,-1)</f>
        <v>45170</v>
      </c>
      <c r="E58" s="1101">
        <f>EDATE(D58,-1)</f>
        <v>45139</v>
      </c>
      <c r="F58" s="1101">
        <f t="shared" ref="F58:O58" si="19">EDATE(E58,-1)</f>
        <v>45108</v>
      </c>
      <c r="G58" s="1101">
        <f t="shared" si="19"/>
        <v>45078</v>
      </c>
      <c r="H58" s="1101">
        <f t="shared" si="19"/>
        <v>45047</v>
      </c>
      <c r="I58" s="1101">
        <f t="shared" si="19"/>
        <v>45017</v>
      </c>
      <c r="J58" s="1101">
        <f t="shared" si="19"/>
        <v>44986</v>
      </c>
      <c r="K58" s="1101">
        <f t="shared" si="19"/>
        <v>44958</v>
      </c>
      <c r="L58" s="1101">
        <f t="shared" si="19"/>
        <v>44927</v>
      </c>
      <c r="M58" s="1101">
        <f t="shared" si="19"/>
        <v>44896</v>
      </c>
      <c r="N58" s="1101">
        <f t="shared" si="19"/>
        <v>44866</v>
      </c>
      <c r="O58" s="1101">
        <f t="shared" si="19"/>
        <v>44835</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4"/>
      <c r="O61" s="874"/>
      <c r="P61" s="1771"/>
      <c r="Q61" s="439"/>
    </row>
    <row r="62" spans="1:29" s="102" customFormat="1" ht="15.75" thickBot="1">
      <c r="A62" s="455"/>
      <c r="B62" s="444"/>
      <c r="C62" s="445">
        <v>100</v>
      </c>
      <c r="D62" s="446"/>
      <c r="E62" s="446"/>
      <c r="F62" s="446"/>
      <c r="G62" s="446"/>
      <c r="H62" s="446"/>
      <c r="I62" s="446"/>
      <c r="J62" s="446"/>
      <c r="K62" s="446"/>
      <c r="L62" s="446"/>
      <c r="M62" s="448"/>
      <c r="N62" s="874"/>
      <c r="O62" s="874"/>
      <c r="P62" s="1770"/>
      <c r="Q62" s="439"/>
    </row>
    <row r="63" spans="1:29">
      <c r="A63" s="379" t="s">
        <v>1719</v>
      </c>
      <c r="B63" s="460" t="s">
        <v>1685</v>
      </c>
      <c r="C63" s="461">
        <f>C9</f>
        <v>0</v>
      </c>
      <c r="D63" s="462"/>
      <c r="E63" s="462"/>
      <c r="F63" s="462"/>
      <c r="G63" s="462"/>
      <c r="H63" s="462"/>
      <c r="I63" s="462"/>
      <c r="J63" s="462"/>
      <c r="K63" s="463"/>
      <c r="L63" s="464"/>
      <c r="M63" s="465"/>
      <c r="N63" s="875"/>
      <c r="O63" s="875"/>
      <c r="P63" s="1772"/>
      <c r="Q63" s="439"/>
    </row>
    <row r="64" spans="1:29" ht="15.75" thickBot="1">
      <c r="A64" s="367"/>
      <c r="B64" s="466"/>
      <c r="C64" s="467">
        <v>100</v>
      </c>
      <c r="D64" s="467"/>
      <c r="E64" s="467"/>
      <c r="F64" s="467"/>
      <c r="G64" s="467"/>
      <c r="H64" s="467"/>
      <c r="I64" s="467"/>
      <c r="J64" s="467"/>
      <c r="K64" s="467"/>
      <c r="L64" s="467"/>
      <c r="M64" s="468"/>
      <c r="N64" s="876"/>
      <c r="O64" s="876"/>
      <c r="P64" s="1772"/>
      <c r="Q64" s="439"/>
    </row>
    <row r="65" spans="1:17" ht="27.75" thickTop="1">
      <c r="A65" s="367"/>
      <c r="B65" s="469" t="s">
        <v>1688</v>
      </c>
      <c r="C65" s="513"/>
      <c r="D65" s="513"/>
      <c r="E65" s="513"/>
      <c r="F65" s="513"/>
      <c r="G65" s="513"/>
      <c r="H65" s="513"/>
      <c r="I65" s="513"/>
      <c r="J65" s="513"/>
      <c r="K65" s="513"/>
      <c r="L65" s="513"/>
      <c r="M65" s="513"/>
      <c r="N65" s="876"/>
      <c r="O65" s="876"/>
      <c r="P65" s="1772"/>
      <c r="Q65" s="439"/>
    </row>
    <row r="66" spans="1:17" ht="15.75" thickBot="1">
      <c r="A66" s="367"/>
      <c r="B66" s="474"/>
      <c r="C66" s="467"/>
      <c r="D66" s="467"/>
      <c r="E66" s="467"/>
      <c r="F66" s="467"/>
      <c r="G66" s="467"/>
      <c r="H66" s="467"/>
      <c r="I66" s="467"/>
      <c r="J66" s="467"/>
      <c r="K66" s="467"/>
      <c r="L66" s="467"/>
      <c r="M66" s="468"/>
      <c r="N66" s="876"/>
      <c r="O66" s="876"/>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2"/>
      <c r="Q67" s="439"/>
    </row>
    <row r="68" spans="1:17" ht="15">
      <c r="A68" s="367"/>
      <c r="B68" s="479"/>
      <c r="C68" s="480"/>
      <c r="D68" s="480"/>
      <c r="E68" s="480"/>
      <c r="F68" s="480"/>
      <c r="G68" s="480"/>
      <c r="H68" s="480"/>
      <c r="I68" s="480"/>
      <c r="J68" s="480"/>
      <c r="K68" s="481"/>
      <c r="L68" s="482"/>
      <c r="M68" s="483"/>
      <c r="N68" s="875"/>
      <c r="O68" s="875"/>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2"/>
      <c r="Q69" s="439"/>
    </row>
    <row r="70" spans="1:17" s="408" customFormat="1" ht="15.75" thickTop="1">
      <c r="A70" s="484"/>
      <c r="B70" s="469">
        <f>B12</f>
        <v>111</v>
      </c>
      <c r="C70" s="485"/>
      <c r="D70" s="485"/>
      <c r="E70" s="485"/>
      <c r="F70" s="485"/>
      <c r="G70" s="485"/>
      <c r="H70" s="486"/>
      <c r="I70" s="486"/>
      <c r="J70" s="486"/>
      <c r="K70" s="486"/>
      <c r="L70" s="487"/>
      <c r="M70" s="488"/>
      <c r="N70" s="877"/>
      <c r="O70" s="877"/>
      <c r="P70" s="1773"/>
      <c r="Q70" s="490"/>
    </row>
    <row r="71" spans="1:17" s="408" customFormat="1" ht="15.75" thickBot="1">
      <c r="A71" s="484"/>
      <c r="B71" s="474"/>
      <c r="C71" s="491"/>
      <c r="D71" s="467"/>
      <c r="E71" s="467"/>
      <c r="F71" s="467"/>
      <c r="G71" s="467"/>
      <c r="H71" s="467"/>
      <c r="I71" s="467"/>
      <c r="J71" s="467"/>
      <c r="K71" s="467"/>
      <c r="L71" s="467"/>
      <c r="M71" s="468"/>
      <c r="N71" s="876"/>
      <c r="O71" s="876"/>
      <c r="P71" s="1773"/>
      <c r="Q71" s="490"/>
    </row>
    <row r="72" spans="1:17" s="408" customFormat="1" ht="15.75" thickTop="1">
      <c r="A72" s="484"/>
      <c r="B72" s="469">
        <f>B13</f>
        <v>111</v>
      </c>
      <c r="C72" s="485"/>
      <c r="D72" s="485"/>
      <c r="E72" s="485"/>
      <c r="F72" s="485"/>
      <c r="G72" s="485"/>
      <c r="H72" s="486"/>
      <c r="I72" s="486"/>
      <c r="J72" s="486"/>
      <c r="K72" s="486"/>
      <c r="L72" s="487"/>
      <c r="M72" s="488"/>
      <c r="N72" s="877"/>
      <c r="O72" s="877"/>
      <c r="P72" s="1774"/>
      <c r="Q72" s="492"/>
    </row>
    <row r="73" spans="1:17" s="408" customFormat="1" ht="15.75" thickBot="1">
      <c r="A73" s="484"/>
      <c r="B73" s="474"/>
      <c r="C73" s="491"/>
      <c r="D73" s="491"/>
      <c r="E73" s="491"/>
      <c r="F73" s="491"/>
      <c r="G73" s="491"/>
      <c r="H73" s="493"/>
      <c r="I73" s="493"/>
      <c r="J73" s="493"/>
      <c r="K73" s="493"/>
      <c r="L73" s="493"/>
      <c r="M73" s="494"/>
      <c r="N73" s="877"/>
      <c r="O73" s="877"/>
      <c r="P73" s="1773"/>
      <c r="Q73" s="490"/>
    </row>
    <row r="74" spans="1:17" s="408" customFormat="1" ht="15.75" thickTop="1">
      <c r="A74" s="484"/>
      <c r="B74" s="477">
        <f>B14</f>
        <v>111</v>
      </c>
      <c r="C74" s="485"/>
      <c r="D74" s="485"/>
      <c r="E74" s="485"/>
      <c r="F74" s="485"/>
      <c r="G74" s="31"/>
      <c r="H74" s="495"/>
      <c r="I74" s="495"/>
      <c r="J74" s="495"/>
      <c r="K74" s="495"/>
      <c r="L74" s="496"/>
      <c r="M74" s="497"/>
      <c r="N74" s="877"/>
      <c r="O74" s="877"/>
      <c r="P74" s="1775"/>
      <c r="Q74" s="490"/>
    </row>
    <row r="75" spans="1:17" s="408" customFormat="1" ht="15.75" thickBot="1">
      <c r="A75" s="499"/>
      <c r="B75" s="500"/>
      <c r="C75" s="501"/>
      <c r="D75" s="501"/>
      <c r="E75" s="501"/>
      <c r="F75" s="501"/>
      <c r="G75" s="501"/>
      <c r="H75" s="502"/>
      <c r="I75" s="502"/>
      <c r="J75" s="502"/>
      <c r="K75" s="502"/>
      <c r="L75" s="502"/>
      <c r="M75" s="503"/>
      <c r="N75" s="877"/>
      <c r="O75" s="877"/>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5"/>
      <c r="O76" s="875"/>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5"/>
      <c r="O78" s="875"/>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5"/>
      <c r="O80" s="875"/>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6"/>
      <c r="O82" s="876"/>
      <c r="P82" s="1772"/>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6"/>
      <c r="O83" s="876"/>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5"/>
      <c r="O84" s="875"/>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72"/>
      <c r="Q85" s="439"/>
    </row>
    <row r="86" spans="1:17" s="102" customFormat="1" ht="15.75" thickTop="1">
      <c r="A86" s="370"/>
      <c r="B86" s="469" t="s">
        <v>1734</v>
      </c>
      <c r="C86" s="485"/>
      <c r="D86" s="485"/>
      <c r="E86" s="485"/>
      <c r="F86" s="485"/>
      <c r="G86" s="485"/>
      <c r="H86" s="485"/>
      <c r="I86" s="485"/>
      <c r="J86" s="485"/>
      <c r="K86" s="485"/>
      <c r="L86" s="510"/>
      <c r="M86" s="511"/>
      <c r="N86" s="874"/>
      <c r="O86" s="874"/>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2"/>
      <c r="Q87" s="439"/>
    </row>
    <row r="88" spans="1:17" s="102" customFormat="1" ht="15.75" thickTop="1">
      <c r="A88" s="370"/>
      <c r="B88" s="469" t="s">
        <v>1735</v>
      </c>
      <c r="C88" s="485"/>
      <c r="D88" s="485"/>
      <c r="E88" s="485"/>
      <c r="F88" s="1777"/>
      <c r="G88" s="485"/>
      <c r="H88" s="485"/>
      <c r="I88" s="485"/>
      <c r="J88" s="485"/>
      <c r="K88" s="485"/>
      <c r="L88" s="485"/>
      <c r="M88" s="511"/>
      <c r="N88" s="874"/>
      <c r="O88" s="874"/>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2"/>
      <c r="Q89" s="439"/>
    </row>
    <row r="90" spans="1:17" s="408" customFormat="1" ht="15.75" thickTop="1">
      <c r="A90" s="484"/>
      <c r="B90" s="469">
        <f>B27</f>
        <v>111</v>
      </c>
      <c r="C90" s="485"/>
      <c r="D90" s="485"/>
      <c r="E90" s="485"/>
      <c r="F90" s="485"/>
      <c r="G90" s="485"/>
      <c r="H90" s="486"/>
      <c r="I90" s="486"/>
      <c r="J90" s="486"/>
      <c r="K90" s="486"/>
      <c r="L90" s="487"/>
      <c r="M90" s="488"/>
      <c r="N90" s="877"/>
      <c r="O90" s="877"/>
      <c r="P90" s="1773"/>
      <c r="Q90" s="490"/>
    </row>
    <row r="91" spans="1:17" s="408" customFormat="1" ht="15.75" thickBot="1">
      <c r="A91" s="484"/>
      <c r="B91" s="474"/>
      <c r="C91" s="491"/>
      <c r="D91" s="491"/>
      <c r="E91" s="491"/>
      <c r="F91" s="491"/>
      <c r="G91" s="491"/>
      <c r="H91" s="493"/>
      <c r="I91" s="493"/>
      <c r="J91" s="493"/>
      <c r="K91" s="493"/>
      <c r="L91" s="493"/>
      <c r="M91" s="494"/>
      <c r="N91" s="877"/>
      <c r="O91" s="877"/>
      <c r="P91" s="1773"/>
      <c r="Q91" s="490"/>
    </row>
    <row r="92" spans="1:17" ht="15.75" thickTop="1">
      <c r="A92" s="367"/>
      <c r="B92" s="469">
        <f>B28</f>
        <v>111</v>
      </c>
      <c r="C92" s="485"/>
      <c r="D92" s="485"/>
      <c r="E92" s="485"/>
      <c r="F92" s="485"/>
      <c r="G92" s="513"/>
      <c r="H92" s="513"/>
      <c r="I92" s="513"/>
      <c r="J92" s="513"/>
      <c r="K92" s="514"/>
      <c r="L92" s="515"/>
      <c r="M92" s="516"/>
      <c r="N92" s="875"/>
      <c r="O92" s="875"/>
      <c r="P92" s="1772"/>
      <c r="Q92" s="439"/>
    </row>
    <row r="93" spans="1:17" ht="15.75" thickBot="1">
      <c r="A93" s="367"/>
      <c r="B93" s="474"/>
      <c r="C93" s="491"/>
      <c r="D93" s="467"/>
      <c r="E93" s="467"/>
      <c r="F93" s="467"/>
      <c r="G93" s="467"/>
      <c r="H93" s="467"/>
      <c r="I93" s="467"/>
      <c r="J93" s="467"/>
      <c r="K93" s="467"/>
      <c r="L93" s="467"/>
      <c r="M93" s="468"/>
      <c r="N93" s="876"/>
      <c r="O93" s="876"/>
      <c r="P93" s="1772"/>
      <c r="Q93" s="439"/>
    </row>
    <row r="94" spans="1:17" ht="15.75" thickTop="1">
      <c r="A94" s="367"/>
      <c r="B94" s="469">
        <f>B29</f>
        <v>111</v>
      </c>
      <c r="C94" s="485"/>
      <c r="D94" s="485"/>
      <c r="E94" s="485"/>
      <c r="F94" s="485"/>
      <c r="G94" s="513"/>
      <c r="H94" s="513"/>
      <c r="I94" s="513"/>
      <c r="J94" s="513"/>
      <c r="K94" s="514"/>
      <c r="L94" s="515"/>
      <c r="M94" s="516"/>
      <c r="N94" s="875"/>
      <c r="O94" s="875"/>
      <c r="P94" s="1772"/>
      <c r="Q94" s="439"/>
    </row>
    <row r="95" spans="1:17" ht="15.75" thickBot="1">
      <c r="A95" s="367"/>
      <c r="B95" s="474"/>
      <c r="C95" s="491"/>
      <c r="D95" s="491"/>
      <c r="E95" s="491"/>
      <c r="F95" s="491"/>
      <c r="G95" s="467"/>
      <c r="H95" s="467"/>
      <c r="I95" s="467"/>
      <c r="J95" s="467"/>
      <c r="K95" s="467"/>
      <c r="L95" s="467"/>
      <c r="M95" s="468"/>
      <c r="N95" s="876"/>
      <c r="O95" s="876"/>
      <c r="P95" s="1772"/>
      <c r="Q95" s="439"/>
    </row>
    <row r="96" spans="1:17" ht="15.75" thickTop="1">
      <c r="A96" s="367"/>
      <c r="B96" s="469">
        <f>B30</f>
        <v>111</v>
      </c>
      <c r="C96" s="485"/>
      <c r="D96" s="485"/>
      <c r="E96" s="485"/>
      <c r="F96" s="485"/>
      <c r="G96" s="513"/>
      <c r="H96" s="513"/>
      <c r="I96" s="513"/>
      <c r="J96" s="513"/>
      <c r="K96" s="514"/>
      <c r="L96" s="515"/>
      <c r="M96" s="516"/>
      <c r="N96" s="875"/>
      <c r="O96" s="875"/>
      <c r="P96" s="1772"/>
      <c r="Q96" s="439"/>
    </row>
    <row r="97" spans="1:17" ht="15.75" thickBot="1">
      <c r="A97" s="367"/>
      <c r="B97" s="474"/>
      <c r="C97" s="501"/>
      <c r="D97" s="501"/>
      <c r="E97" s="501"/>
      <c r="F97" s="501"/>
      <c r="G97" s="467"/>
      <c r="H97" s="467"/>
      <c r="I97" s="467"/>
      <c r="J97" s="467"/>
      <c r="K97" s="467"/>
      <c r="L97" s="467"/>
      <c r="M97" s="468"/>
      <c r="N97" s="876"/>
      <c r="O97" s="876"/>
      <c r="P97" s="1772"/>
      <c r="Q97" s="439"/>
    </row>
    <row r="98" spans="1:17" ht="15.75" thickTop="1">
      <c r="A98" s="367"/>
      <c r="B98" s="477">
        <f>B31</f>
        <v>111</v>
      </c>
      <c r="C98" s="517"/>
      <c r="D98" s="517"/>
      <c r="E98" s="517"/>
      <c r="F98" s="517"/>
      <c r="G98" s="517"/>
      <c r="H98" s="517"/>
      <c r="I98" s="517"/>
      <c r="J98" s="517"/>
      <c r="K98" s="518"/>
      <c r="L98" s="519"/>
      <c r="M98" s="520"/>
      <c r="N98" s="875"/>
      <c r="O98" s="875"/>
      <c r="P98" s="1772"/>
      <c r="Q98" s="439"/>
    </row>
    <row r="99" spans="1:17" ht="15.75" thickBot="1">
      <c r="A99" s="375"/>
      <c r="B99" s="500"/>
      <c r="C99" s="521"/>
      <c r="D99" s="521"/>
      <c r="E99" s="521"/>
      <c r="F99" s="521"/>
      <c r="G99" s="521"/>
      <c r="H99" s="521"/>
      <c r="I99" s="521"/>
      <c r="J99" s="521"/>
      <c r="K99" s="521"/>
      <c r="L99" s="521"/>
      <c r="M99" s="522"/>
      <c r="N99" s="876"/>
      <c r="O99" s="876"/>
      <c r="P99" s="1772"/>
      <c r="Q99" s="439"/>
    </row>
    <row r="100" spans="1:17">
      <c r="A100" s="379" t="s">
        <v>1694</v>
      </c>
      <c r="B100" s="460" t="s">
        <v>1736</v>
      </c>
      <c r="C100" s="462"/>
      <c r="D100" s="462"/>
      <c r="E100" s="462"/>
      <c r="F100" s="462"/>
      <c r="G100" s="462"/>
      <c r="H100" s="462"/>
      <c r="I100" s="462"/>
      <c r="J100" s="462"/>
      <c r="K100" s="463"/>
      <c r="L100" s="464"/>
      <c r="M100" s="465"/>
      <c r="N100" s="875"/>
      <c r="O100" s="875"/>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2"/>
      <c r="Q102" s="439"/>
    </row>
    <row r="103" spans="1:17" s="408" customFormat="1">
      <c r="A103" s="406"/>
      <c r="B103" s="523"/>
      <c r="C103" s="6"/>
      <c r="D103" s="6"/>
      <c r="E103" s="6"/>
      <c r="F103" s="6"/>
      <c r="G103" s="6"/>
      <c r="H103" s="6"/>
      <c r="I103" s="6"/>
      <c r="J103" s="524"/>
      <c r="K103" s="524"/>
      <c r="L103" s="525"/>
      <c r="M103" s="526"/>
      <c r="N103" s="877"/>
      <c r="O103" s="877"/>
      <c r="P103" s="1773"/>
      <c r="Q103" s="490"/>
    </row>
    <row r="104" spans="1:17" s="408" customFormat="1" ht="15.75" thickBot="1">
      <c r="A104" s="484"/>
      <c r="B104" s="474"/>
      <c r="C104" s="491"/>
      <c r="D104" s="467"/>
      <c r="E104" s="467"/>
      <c r="F104" s="467"/>
      <c r="G104" s="467"/>
      <c r="H104" s="467"/>
      <c r="I104" s="467"/>
      <c r="J104" s="467"/>
      <c r="K104" s="467"/>
      <c r="L104" s="467"/>
      <c r="M104" s="467"/>
      <c r="N104" s="876"/>
      <c r="O104" s="876"/>
      <c r="P104" s="1773"/>
      <c r="Q104" s="490"/>
    </row>
    <row r="105" spans="1:17" ht="15" thickTop="1">
      <c r="A105" s="409"/>
      <c r="B105" s="469" t="s">
        <v>1738</v>
      </c>
      <c r="C105" s="485"/>
      <c r="D105" s="485"/>
      <c r="E105" s="513"/>
      <c r="F105" s="513"/>
      <c r="G105" s="513"/>
      <c r="H105" s="513"/>
      <c r="I105" s="513"/>
      <c r="J105" s="513"/>
      <c r="K105" s="514"/>
      <c r="L105" s="515"/>
      <c r="M105" s="516"/>
      <c r="N105" s="875"/>
      <c r="O105" s="875"/>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2"/>
      <c r="Q106" s="439"/>
    </row>
    <row r="107" spans="1:17" ht="15" thickTop="1">
      <c r="A107" s="409"/>
      <c r="B107" s="469" t="s">
        <v>1739</v>
      </c>
      <c r="C107" s="513"/>
      <c r="D107" s="513"/>
      <c r="E107" s="513"/>
      <c r="F107" s="513"/>
      <c r="G107" s="513"/>
      <c r="H107" s="513"/>
      <c r="I107" s="513"/>
      <c r="J107" s="513"/>
      <c r="K107" s="514"/>
      <c r="L107" s="515"/>
      <c r="M107" s="516"/>
      <c r="N107" s="875"/>
      <c r="O107" s="875"/>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2"/>
      <c r="Q108" s="439"/>
    </row>
    <row r="109" spans="1:17" ht="15" thickTop="1">
      <c r="A109" s="409"/>
      <c r="B109" s="469" t="s">
        <v>1740</v>
      </c>
      <c r="C109" s="485"/>
      <c r="D109" s="485"/>
      <c r="E109" s="485"/>
      <c r="F109" s="513"/>
      <c r="G109" s="513"/>
      <c r="H109" s="513"/>
      <c r="I109" s="513"/>
      <c r="J109" s="513"/>
      <c r="K109" s="514"/>
      <c r="L109" s="515"/>
      <c r="M109" s="516"/>
      <c r="N109" s="875"/>
      <c r="O109" s="875"/>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3"/>
      <c r="Q113" s="490"/>
    </row>
    <row r="114" spans="1:17" ht="15" thickTop="1">
      <c r="A114" s="409"/>
      <c r="B114" s="469" t="s">
        <v>1741</v>
      </c>
      <c r="C114" s="485"/>
      <c r="D114" s="485"/>
      <c r="E114" s="513"/>
      <c r="F114" s="513"/>
      <c r="G114" s="513"/>
      <c r="H114" s="513"/>
      <c r="I114" s="513"/>
      <c r="J114" s="513"/>
      <c r="K114" s="514"/>
      <c r="L114" s="515"/>
      <c r="M114" s="516"/>
      <c r="N114" s="875"/>
      <c r="O114" s="875"/>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2"/>
      <c r="Q115" s="439"/>
    </row>
    <row r="116" spans="1:17" ht="15" thickTop="1">
      <c r="A116" s="409"/>
      <c r="B116" s="469" t="s">
        <v>1742</v>
      </c>
      <c r="C116" s="485"/>
      <c r="D116" s="485"/>
      <c r="E116" s="485"/>
      <c r="F116" s="485"/>
      <c r="G116" s="485"/>
      <c r="H116" s="513"/>
      <c r="I116" s="513"/>
      <c r="J116" s="513"/>
      <c r="K116" s="514"/>
      <c r="L116" s="515"/>
      <c r="M116" s="516"/>
      <c r="N116" s="875"/>
      <c r="O116" s="875"/>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2"/>
      <c r="Q117" s="439"/>
    </row>
    <row r="118" spans="1:17" ht="15" thickTop="1">
      <c r="A118" s="409"/>
      <c r="B118" s="469" t="s">
        <v>1743</v>
      </c>
      <c r="C118" s="513"/>
      <c r="D118" s="513"/>
      <c r="E118" s="513"/>
      <c r="F118" s="513"/>
      <c r="G118" s="513"/>
      <c r="H118" s="513"/>
      <c r="I118" s="513"/>
      <c r="J118" s="513"/>
      <c r="K118" s="514"/>
      <c r="L118" s="515"/>
      <c r="M118" s="516"/>
      <c r="N118" s="875"/>
      <c r="O118" s="875"/>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2"/>
      <c r="Q119" s="439"/>
    </row>
    <row r="120" spans="1:17" s="408" customFormat="1" ht="28.5" thickTop="1">
      <c r="A120" s="406"/>
      <c r="B120" s="469" t="s">
        <v>1705</v>
      </c>
      <c r="C120" s="485"/>
      <c r="D120" s="485"/>
      <c r="E120" s="485"/>
      <c r="F120" s="485"/>
      <c r="G120" s="485"/>
      <c r="H120" s="485"/>
      <c r="I120" s="485"/>
      <c r="J120" s="485"/>
      <c r="K120" s="485"/>
      <c r="L120" s="510"/>
      <c r="M120" s="511"/>
      <c r="N120" s="877"/>
      <c r="O120" s="877"/>
      <c r="P120" s="1773"/>
      <c r="Q120" s="490"/>
    </row>
    <row r="121" spans="1:17" s="408" customFormat="1" ht="15.75" thickBot="1">
      <c r="A121" s="484"/>
      <c r="B121" s="466"/>
      <c r="C121" s="491"/>
      <c r="D121" s="467"/>
      <c r="E121" s="467"/>
      <c r="F121" s="467"/>
      <c r="G121" s="467"/>
      <c r="H121" s="467"/>
      <c r="I121" s="467"/>
      <c r="J121" s="467"/>
      <c r="K121" s="467"/>
      <c r="L121" s="467"/>
      <c r="M121" s="467"/>
      <c r="N121" s="877"/>
      <c r="O121" s="877"/>
      <c r="P121" s="1773"/>
      <c r="Q121" s="490"/>
    </row>
    <row r="122" spans="1:17" ht="15" thickTop="1">
      <c r="A122" s="409"/>
      <c r="B122" s="469" t="s">
        <v>1744</v>
      </c>
      <c r="C122" s="485"/>
      <c r="D122" s="485"/>
      <c r="E122" s="485"/>
      <c r="F122" s="513"/>
      <c r="G122" s="513"/>
      <c r="H122" s="513"/>
      <c r="I122" s="513"/>
      <c r="J122" s="513"/>
      <c r="K122" s="514"/>
      <c r="L122" s="515"/>
      <c r="M122" s="516"/>
      <c r="N122" s="875"/>
      <c r="O122" s="875"/>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5"/>
      <c r="O124" s="875"/>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2"/>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3"/>
      <c r="Q126" s="490"/>
    </row>
    <row r="127" spans="1:17" s="408" customFormat="1" ht="15.75" thickBot="1">
      <c r="A127" s="484"/>
      <c r="B127" s="474"/>
      <c r="C127" s="491"/>
      <c r="D127" s="467"/>
      <c r="E127" s="467"/>
      <c r="F127" s="467"/>
      <c r="G127" s="491"/>
      <c r="H127" s="493"/>
      <c r="I127" s="493"/>
      <c r="J127" s="493"/>
      <c r="K127" s="493"/>
      <c r="L127" s="493"/>
      <c r="M127" s="494"/>
      <c r="N127" s="877"/>
      <c r="O127" s="877"/>
      <c r="P127" s="1773"/>
      <c r="Q127" s="490"/>
    </row>
    <row r="128" spans="1:17" ht="15" thickTop="1">
      <c r="A128" s="409"/>
      <c r="B128" s="469">
        <f>B45</f>
        <v>111</v>
      </c>
      <c r="C128" s="485"/>
      <c r="D128" s="485"/>
      <c r="E128" s="485"/>
      <c r="F128" s="485"/>
      <c r="G128" s="513"/>
      <c r="H128" s="513"/>
      <c r="I128" s="513"/>
      <c r="J128" s="513"/>
      <c r="K128" s="514"/>
      <c r="L128" s="515"/>
      <c r="M128" s="516"/>
      <c r="N128" s="875"/>
      <c r="O128" s="875"/>
      <c r="P128" s="1772"/>
      <c r="Q128" s="439"/>
    </row>
    <row r="129" spans="1:17" ht="15.75" thickBot="1">
      <c r="A129" s="367"/>
      <c r="B129" s="474"/>
      <c r="C129" s="491"/>
      <c r="D129" s="491"/>
      <c r="E129" s="491"/>
      <c r="F129" s="491"/>
      <c r="G129" s="467"/>
      <c r="H129" s="467"/>
      <c r="I129" s="467"/>
      <c r="J129" s="467"/>
      <c r="K129" s="467"/>
      <c r="L129" s="467"/>
      <c r="M129" s="468"/>
      <c r="N129" s="876"/>
      <c r="O129" s="876"/>
      <c r="P129" s="1772"/>
      <c r="Q129" s="439"/>
    </row>
    <row r="130" spans="1:17" ht="15" thickTop="1">
      <c r="A130" s="409"/>
      <c r="B130" s="477">
        <f>B46</f>
        <v>111</v>
      </c>
      <c r="C130" s="485"/>
      <c r="D130" s="485"/>
      <c r="E130" s="485"/>
      <c r="F130" s="485"/>
      <c r="G130" s="517"/>
      <c r="H130" s="517"/>
      <c r="I130" s="517"/>
      <c r="J130" s="517"/>
      <c r="K130" s="31"/>
      <c r="L130" s="457"/>
      <c r="M130" s="520"/>
      <c r="N130" s="875"/>
      <c r="O130" s="875"/>
      <c r="P130" s="1772"/>
      <c r="Q130" s="439"/>
    </row>
    <row r="131" spans="1:17" ht="15.75" thickBot="1">
      <c r="A131" s="375"/>
      <c r="B131" s="500"/>
      <c r="C131" s="501"/>
      <c r="D131" s="501"/>
      <c r="E131" s="501"/>
      <c r="F131" s="501"/>
      <c r="G131" s="521"/>
      <c r="H131" s="521"/>
      <c r="I131" s="521"/>
      <c r="J131" s="521"/>
      <c r="K131" s="521"/>
      <c r="L131" s="521"/>
      <c r="M131" s="522"/>
      <c r="N131" s="876"/>
      <c r="O131" s="876"/>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0">
        <v>6</v>
      </c>
      <c r="C139" s="811">
        <v>96</v>
      </c>
      <c r="D139" s="1789" t="s">
        <v>1755</v>
      </c>
      <c r="E139" s="812">
        <v>100</v>
      </c>
      <c r="F139" s="813">
        <v>102.5</v>
      </c>
      <c r="G139" s="1789" t="s">
        <v>1755</v>
      </c>
      <c r="H139" s="814">
        <v>105</v>
      </c>
      <c r="I139" s="1790" t="s">
        <v>1756</v>
      </c>
      <c r="J139" s="811">
        <v>20</v>
      </c>
      <c r="K139" s="815">
        <f>C145/(J139-2)</f>
        <v>4.0555555555555553E-3</v>
      </c>
    </row>
    <row r="140" spans="1:17" ht="15">
      <c r="B140" s="816">
        <v>5</v>
      </c>
      <c r="C140" s="817">
        <v>100</v>
      </c>
      <c r="D140" s="817"/>
      <c r="E140" s="818"/>
      <c r="F140" s="819">
        <v>102</v>
      </c>
      <c r="G140" s="817"/>
      <c r="H140" s="820"/>
      <c r="I140" s="1791" t="s">
        <v>1757</v>
      </c>
      <c r="J140" s="263">
        <f>ROUNDUP((J139-1)/2,0)</f>
        <v>10</v>
      </c>
      <c r="K140" s="821">
        <v>100</v>
      </c>
    </row>
    <row r="141" spans="1:17" ht="15">
      <c r="B141" s="816">
        <v>4</v>
      </c>
      <c r="C141" s="817">
        <v>102</v>
      </c>
      <c r="D141" s="817"/>
      <c r="E141" s="818"/>
      <c r="F141" s="819">
        <v>101.5</v>
      </c>
      <c r="G141" s="817"/>
      <c r="H141" s="820"/>
      <c r="I141" s="1791" t="s">
        <v>1758</v>
      </c>
      <c r="J141" s="263">
        <v>1</v>
      </c>
      <c r="K141" s="822">
        <f>ROUND(100+(J141-J140)*K139*100,1)</f>
        <v>96.4</v>
      </c>
    </row>
    <row r="142" spans="1:17" ht="15">
      <c r="B142" s="816">
        <v>3</v>
      </c>
      <c r="C142" s="817">
        <v>103</v>
      </c>
      <c r="D142" s="817"/>
      <c r="E142" s="818"/>
      <c r="F142" s="819">
        <v>101</v>
      </c>
      <c r="G142" s="817"/>
      <c r="H142" s="820"/>
      <c r="I142" s="1791" t="s">
        <v>1759</v>
      </c>
      <c r="J142" s="263">
        <f>J139</f>
        <v>20</v>
      </c>
      <c r="K142" s="823">
        <v>95</v>
      </c>
    </row>
    <row r="143" spans="1:17" ht="15">
      <c r="B143" s="816">
        <v>2</v>
      </c>
      <c r="C143" s="817">
        <v>100</v>
      </c>
      <c r="D143" s="817"/>
      <c r="E143" s="818"/>
      <c r="F143" s="819">
        <v>100.5</v>
      </c>
      <c r="G143" s="817"/>
      <c r="H143" s="820"/>
      <c r="I143" s="1791" t="s">
        <v>1760</v>
      </c>
      <c r="J143" s="817">
        <v>15</v>
      </c>
      <c r="K143" s="822">
        <f>ROUND(100+(J143-J140)*K139*100,1)</f>
        <v>102</v>
      </c>
    </row>
    <row r="144" spans="1:17" ht="15">
      <c r="B144" s="816">
        <v>1</v>
      </c>
      <c r="C144" s="817">
        <v>98</v>
      </c>
      <c r="D144" s="1792" t="s">
        <v>1761</v>
      </c>
      <c r="E144" s="818">
        <v>102</v>
      </c>
      <c r="F144" s="824">
        <v>100</v>
      </c>
      <c r="G144" s="1792" t="s">
        <v>1761</v>
      </c>
      <c r="H144" s="820">
        <v>105</v>
      </c>
      <c r="I144" s="1791" t="s">
        <v>1760</v>
      </c>
      <c r="J144" s="817">
        <v>18</v>
      </c>
      <c r="K144" s="822">
        <f>ROUND(100+(J144-J140)*K139*100,1)</f>
        <v>103.2</v>
      </c>
    </row>
    <row r="145" spans="2:11" ht="15.75" thickBot="1">
      <c r="B145" s="1793" t="s">
        <v>1762</v>
      </c>
      <c r="C145" s="825">
        <f>ROUND(MAX(C139:C144)/MIN(C139:C144)-1,3)</f>
        <v>7.2999999999999995E-2</v>
      </c>
      <c r="D145" s="826"/>
      <c r="E145" s="826"/>
      <c r="F145" s="1794" t="s">
        <v>1763</v>
      </c>
      <c r="G145" s="1795"/>
      <c r="H145" s="1796"/>
      <c r="I145" s="1797" t="s">
        <v>1760</v>
      </c>
      <c r="J145" s="827">
        <v>8</v>
      </c>
      <c r="K145" s="828">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受贵公司委托，我公司对北京市房地产市场价值进行了预评估。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2023年10月16日（评估专业人员实地查勘之日）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本次评估采用的主估价方法为基准地价系数修正法和基准地价系数修正法。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85" zoomScaleNormal="70" zoomScaleSheetLayoutView="85" workbookViewId="0">
      <selection activeCell="C86" sqref="C86:F86"/>
    </sheetView>
  </sheetViews>
  <sheetFormatPr defaultColWidth="9" defaultRowHeight="14.25"/>
  <cols>
    <col min="1" max="1" width="10.5" style="347" customWidth="1"/>
    <col min="2" max="2" width="15.75" style="347" customWidth="1"/>
    <col min="3" max="3" width="17.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t="s">
        <v>3511</v>
      </c>
      <c r="E1" s="3120" t="s">
        <v>3517</v>
      </c>
      <c r="F1" s="1732" t="s">
        <v>3518</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0</v>
      </c>
      <c r="C2" s="1734" t="s">
        <v>43</v>
      </c>
      <c r="D2" s="1049" t="e">
        <f ca="1">IF(E1="项目模式",SUMIF(INDIRECT("'"&amp;F2&amp;"'"&amp;"!A:A"),"承租人权益价值",INDIRECT("'"&amp;F2&amp;"'"&amp;"!c:c")),SUMIF(INDIRECT("'"&amp;F2&amp;"'"&amp;"!A:A"),"承租人权益价值（单套）",INDIRECT("'"&amp;F2&amp;"'"&amp;"!c:c")))</f>
        <v>#REF!</v>
      </c>
      <c r="E2" s="1735" t="s">
        <v>1463</v>
      </c>
      <c r="F2" s="1736"/>
      <c r="G2" s="851"/>
      <c r="H2" s="851"/>
      <c r="I2" s="851"/>
      <c r="J2" s="851"/>
      <c r="K2" s="851"/>
      <c r="L2" s="2499"/>
      <c r="M2" s="2500"/>
      <c r="N2" s="2500"/>
      <c r="O2" s="2500"/>
      <c r="P2" s="1801"/>
      <c r="Q2" s="855"/>
      <c r="R2" s="855"/>
      <c r="S2" s="855"/>
      <c r="T2" s="855"/>
      <c r="U2" s="855"/>
      <c r="V2" s="855"/>
      <c r="W2" s="855"/>
      <c r="X2" s="855"/>
      <c r="Y2" s="855"/>
      <c r="Z2" s="855"/>
      <c r="AA2" s="855"/>
      <c r="AB2" s="855"/>
      <c r="AC2" s="1802"/>
    </row>
    <row r="3" spans="1:29" s="342" customFormat="1" ht="28.5" customHeight="1" thickBot="1">
      <c r="A3" s="195" t="s">
        <v>1464</v>
      </c>
      <c r="B3" s="536">
        <f>IF(C2="——",C49,ROUND(B2*10000/D3,0))</f>
        <v>2.6</v>
      </c>
      <c r="C3" s="344" t="s">
        <v>1768</v>
      </c>
      <c r="D3" s="343">
        <f>IF(D1="",'数据-汇总表'!E3,SUMIF('数据-汇总表'!$C19:$C33,D1,'数据-汇总表'!$E19:$E33))</f>
        <v>0</v>
      </c>
      <c r="E3" s="1802"/>
      <c r="F3" s="852"/>
      <c r="G3" s="851"/>
      <c r="H3" s="851"/>
      <c r="I3" s="851"/>
      <c r="J3" s="851"/>
      <c r="K3" s="853"/>
      <c r="L3" s="2499"/>
      <c r="M3" s="2500"/>
      <c r="N3" s="2500"/>
      <c r="O3" s="2500"/>
      <c r="P3" s="1801"/>
      <c r="Q3" s="855"/>
      <c r="R3" s="855"/>
      <c r="S3" s="855"/>
      <c r="T3" s="855"/>
      <c r="U3" s="855"/>
      <c r="V3" s="855"/>
      <c r="W3" s="855"/>
      <c r="X3" s="855"/>
      <c r="Y3" s="855"/>
      <c r="Z3" s="855"/>
      <c r="AA3" s="855"/>
      <c r="AB3" s="855"/>
      <c r="AC3" s="1802"/>
    </row>
    <row r="4" spans="1:29" ht="15">
      <c r="A4" s="345" t="s">
        <v>1769</v>
      </c>
      <c r="B4" s="346"/>
      <c r="C4" s="3493" t="s">
        <v>1770</v>
      </c>
      <c r="D4" s="3494"/>
      <c r="E4" s="3495" t="s">
        <v>1771</v>
      </c>
      <c r="F4" s="3496"/>
      <c r="G4" s="3493" t="s">
        <v>1772</v>
      </c>
      <c r="H4" s="3494"/>
      <c r="I4" s="3493" t="s">
        <v>1773</v>
      </c>
      <c r="J4" s="3494"/>
      <c r="K4" s="537" t="s">
        <v>1774</v>
      </c>
      <c r="L4" s="2482"/>
      <c r="M4" s="2483"/>
      <c r="N4" s="2483"/>
      <c r="O4" s="2483"/>
      <c r="P4" s="3497" t="s">
        <v>1775</v>
      </c>
      <c r="Q4" s="3498"/>
      <c r="R4" s="3503" t="s">
        <v>1771</v>
      </c>
      <c r="S4" s="3504"/>
      <c r="T4" s="3503" t="s">
        <v>1772</v>
      </c>
      <c r="U4" s="3504"/>
      <c r="V4" s="3479" t="s">
        <v>1773</v>
      </c>
      <c r="W4" s="3479"/>
      <c r="X4" s="1262"/>
      <c r="Y4" s="3503" t="s">
        <v>1775</v>
      </c>
      <c r="Z4" s="3504"/>
      <c r="AA4" s="3490" t="s">
        <v>1771</v>
      </c>
      <c r="AB4" s="3479" t="s">
        <v>1772</v>
      </c>
      <c r="AC4" s="3490" t="s">
        <v>1773</v>
      </c>
    </row>
    <row r="5" spans="1:29" ht="15">
      <c r="A5" s="348"/>
      <c r="B5" s="349"/>
      <c r="C5" s="3511" t="s">
        <v>1673</v>
      </c>
      <c r="D5" s="3512"/>
      <c r="E5" s="3521" t="s">
        <v>3583</v>
      </c>
      <c r="F5" s="3519"/>
      <c r="G5" s="3520" t="s">
        <v>3584</v>
      </c>
      <c r="H5" s="3512"/>
      <c r="I5" s="3520" t="s">
        <v>3585</v>
      </c>
      <c r="J5" s="3512"/>
      <c r="K5" s="537"/>
      <c r="L5" s="2482"/>
      <c r="M5" s="2483"/>
      <c r="N5" s="2483"/>
      <c r="O5" s="2483"/>
      <c r="P5" s="3499"/>
      <c r="Q5" s="3500"/>
      <c r="R5" s="3505"/>
      <c r="S5" s="3506"/>
      <c r="T5" s="3505"/>
      <c r="U5" s="3506"/>
      <c r="V5" s="3479"/>
      <c r="W5" s="3479"/>
      <c r="X5" s="1262"/>
      <c r="Y5" s="3505"/>
      <c r="Z5" s="3506"/>
      <c r="AA5" s="3491"/>
      <c r="AB5" s="3479"/>
      <c r="AC5" s="3491"/>
    </row>
    <row r="6" spans="1:29" ht="15.75" thickBot="1">
      <c r="A6" s="350"/>
      <c r="B6" s="351"/>
      <c r="C6" s="3509" t="s">
        <v>1677</v>
      </c>
      <c r="D6" s="3510"/>
      <c r="E6" s="3516" t="s">
        <v>1677</v>
      </c>
      <c r="F6" s="3517"/>
      <c r="G6" s="3509" t="s">
        <v>1677</v>
      </c>
      <c r="H6" s="3510"/>
      <c r="I6" s="3509" t="s">
        <v>1677</v>
      </c>
      <c r="J6" s="3510"/>
      <c r="K6" s="537" t="s">
        <v>1678</v>
      </c>
      <c r="L6" s="2482"/>
      <c r="M6" s="2483"/>
      <c r="N6" s="2483"/>
      <c r="O6" s="2483"/>
      <c r="P6" s="3501"/>
      <c r="Q6" s="3502"/>
      <c r="R6" s="3505"/>
      <c r="S6" s="3506"/>
      <c r="T6" s="3507"/>
      <c r="U6" s="3508"/>
      <c r="V6" s="3479"/>
      <c r="W6" s="3479"/>
      <c r="X6" s="1262"/>
      <c r="Y6" s="3507"/>
      <c r="Z6" s="3508"/>
      <c r="AA6" s="3492"/>
      <c r="AB6" s="3479"/>
      <c r="AC6" s="3492"/>
    </row>
    <row r="7" spans="1:29" s="102" customFormat="1" ht="15.75" thickBot="1">
      <c r="A7" s="352" t="s">
        <v>1679</v>
      </c>
      <c r="B7" s="353"/>
      <c r="C7" s="354">
        <f>'数据-取费表'!B2</f>
        <v>45215</v>
      </c>
      <c r="D7" s="355">
        <v>100</v>
      </c>
      <c r="E7" s="356">
        <v>45200</v>
      </c>
      <c r="F7" s="357">
        <f>SUMIF(58:58,YEAR(E7)&amp;"-"&amp;MONTH(E7),59:59)</f>
        <v>100</v>
      </c>
      <c r="G7" s="356">
        <v>45200</v>
      </c>
      <c r="H7" s="355">
        <f>SUMIF(58:58,YEAR(G7)&amp;"-"&amp;MONTH(G7),59:59)</f>
        <v>100</v>
      </c>
      <c r="I7" s="356">
        <v>45200</v>
      </c>
      <c r="J7" s="355">
        <f>SUMIF(58:58,YEAR(I7)&amp;"-"&amp;MONTH(I7),59:59)</f>
        <v>100</v>
      </c>
      <c r="K7" s="38"/>
      <c r="L7" s="2484"/>
      <c r="M7" s="2435"/>
      <c r="N7" s="2435"/>
      <c r="O7" s="2435"/>
      <c r="P7" s="3513" t="s">
        <v>1680</v>
      </c>
      <c r="Q7" s="3515"/>
      <c r="R7" s="660" t="s">
        <v>14</v>
      </c>
      <c r="S7" s="661">
        <f t="shared" ref="S7:S15" si="0">F7</f>
        <v>100</v>
      </c>
      <c r="T7" s="660" t="s">
        <v>14</v>
      </c>
      <c r="U7" s="661">
        <f t="shared" ref="U7:U15" si="1">H7</f>
        <v>100</v>
      </c>
      <c r="V7" s="660" t="s">
        <v>14</v>
      </c>
      <c r="W7" s="661">
        <f t="shared" ref="W7:W15" si="2">J7</f>
        <v>100</v>
      </c>
      <c r="X7" s="662"/>
      <c r="Y7" s="3513" t="s">
        <v>1680</v>
      </c>
      <c r="Z7" s="3514"/>
      <c r="AA7" s="50">
        <f>D7/F7</f>
        <v>1</v>
      </c>
      <c r="AB7" s="50">
        <f>D7/H7</f>
        <v>1</v>
      </c>
      <c r="AC7" s="50">
        <f>D7/J7</f>
        <v>1</v>
      </c>
    </row>
    <row r="8" spans="1:29" s="102" customFormat="1" ht="15.75" thickBot="1">
      <c r="A8" s="352" t="s">
        <v>1681</v>
      </c>
      <c r="B8" s="353"/>
      <c r="C8" s="358" t="s">
        <v>3455</v>
      </c>
      <c r="D8" s="355">
        <v>100</v>
      </c>
      <c r="E8" s="358" t="s">
        <v>3456</v>
      </c>
      <c r="F8" s="357">
        <f>SUMIF(61:61,E8,62:62)-SUMIF(61:61,C8,62:62)+100</f>
        <v>102</v>
      </c>
      <c r="G8" s="358" t="s">
        <v>3456</v>
      </c>
      <c r="H8" s="355">
        <f>SUMIF(61:61,G8,62:62)-SUMIF(61:61,C8,62:62)+100</f>
        <v>102</v>
      </c>
      <c r="I8" s="358" t="s">
        <v>3456</v>
      </c>
      <c r="J8" s="355">
        <f>SUMIF(61:61,I8,62:62)-SUMIF(61:61,C8,62:62)+100</f>
        <v>102</v>
      </c>
      <c r="K8" s="38"/>
      <c r="L8" s="2484"/>
      <c r="M8" s="2435"/>
      <c r="N8" s="2435"/>
      <c r="O8" s="2435"/>
      <c r="P8" s="3513" t="s">
        <v>1683</v>
      </c>
      <c r="Q8" s="3514"/>
      <c r="R8" s="660" t="s">
        <v>14</v>
      </c>
      <c r="S8" s="661">
        <f t="shared" si="0"/>
        <v>102</v>
      </c>
      <c r="T8" s="660" t="s">
        <v>14</v>
      </c>
      <c r="U8" s="661">
        <f t="shared" si="1"/>
        <v>102</v>
      </c>
      <c r="V8" s="660" t="s">
        <v>14</v>
      </c>
      <c r="W8" s="661">
        <f t="shared" si="2"/>
        <v>102</v>
      </c>
      <c r="X8" s="662"/>
      <c r="Y8" s="3513" t="s">
        <v>1683</v>
      </c>
      <c r="Z8" s="3514"/>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45" t="s">
        <v>3454</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5"/>
      <c r="N9" s="2435"/>
      <c r="O9" s="2435"/>
      <c r="P9" s="3489" t="s">
        <v>1686</v>
      </c>
      <c r="Q9" s="530" t="str">
        <f t="shared" ref="Q9:Q15" si="6">B9</f>
        <v>用途</v>
      </c>
      <c r="R9" s="660" t="s">
        <v>14</v>
      </c>
      <c r="S9" s="661">
        <f t="shared" si="0"/>
        <v>100</v>
      </c>
      <c r="T9" s="660" t="s">
        <v>14</v>
      </c>
      <c r="U9" s="661">
        <f t="shared" si="1"/>
        <v>100</v>
      </c>
      <c r="V9" s="660" t="s">
        <v>14</v>
      </c>
      <c r="W9" s="661">
        <f t="shared" si="2"/>
        <v>100</v>
      </c>
      <c r="X9" s="662"/>
      <c r="Y9" s="3353"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89"/>
      <c r="Q10" s="530" t="str">
        <f t="shared" si="6"/>
        <v>土地使用年限（年）</v>
      </c>
      <c r="R10" s="660" t="s">
        <v>14</v>
      </c>
      <c r="S10" s="661">
        <f t="shared" si="0"/>
        <v>100</v>
      </c>
      <c r="T10" s="660" t="s">
        <v>14</v>
      </c>
      <c r="U10" s="661">
        <f t="shared" si="1"/>
        <v>100</v>
      </c>
      <c r="V10" s="660" t="s">
        <v>14</v>
      </c>
      <c r="W10" s="661">
        <f t="shared" si="2"/>
        <v>100</v>
      </c>
      <c r="X10" s="662"/>
      <c r="Y10" s="3353"/>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538"/>
      <c r="L11" s="2487"/>
      <c r="M11" s="2483"/>
      <c r="N11" s="2483"/>
      <c r="O11" s="2483"/>
      <c r="P11" s="3489"/>
      <c r="Q11" s="530" t="str">
        <f t="shared" si="6"/>
        <v>容积率</v>
      </c>
      <c r="R11" s="660" t="s">
        <v>14</v>
      </c>
      <c r="S11" s="661">
        <f t="shared" si="0"/>
        <v>100</v>
      </c>
      <c r="T11" s="660" t="s">
        <v>14</v>
      </c>
      <c r="U11" s="661">
        <f t="shared" si="1"/>
        <v>100</v>
      </c>
      <c r="V11" s="660" t="s">
        <v>14</v>
      </c>
      <c r="W11" s="661">
        <f t="shared" si="2"/>
        <v>100</v>
      </c>
      <c r="X11" s="662"/>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89"/>
      <c r="Q12" s="530">
        <f t="shared" si="6"/>
        <v>111</v>
      </c>
      <c r="R12" s="660" t="s">
        <v>14</v>
      </c>
      <c r="S12" s="661">
        <f t="shared" si="0"/>
        <v>100</v>
      </c>
      <c r="T12" s="660" t="s">
        <v>14</v>
      </c>
      <c r="U12" s="661">
        <f t="shared" si="1"/>
        <v>100</v>
      </c>
      <c r="V12" s="660" t="s">
        <v>14</v>
      </c>
      <c r="W12" s="661">
        <f t="shared" si="2"/>
        <v>100</v>
      </c>
      <c r="X12" s="662"/>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89"/>
      <c r="Q13" s="530">
        <f t="shared" si="6"/>
        <v>111</v>
      </c>
      <c r="R13" s="660" t="s">
        <v>14</v>
      </c>
      <c r="S13" s="661">
        <f t="shared" si="0"/>
        <v>100</v>
      </c>
      <c r="T13" s="660" t="s">
        <v>14</v>
      </c>
      <c r="U13" s="661">
        <f t="shared" si="1"/>
        <v>100</v>
      </c>
      <c r="V13" s="660" t="s">
        <v>14</v>
      </c>
      <c r="W13" s="661">
        <f t="shared" si="2"/>
        <v>100</v>
      </c>
      <c r="X13" s="662"/>
      <c r="Y13" s="3353"/>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89"/>
      <c r="Q14" s="530">
        <f t="shared" si="6"/>
        <v>111</v>
      </c>
      <c r="R14" s="660" t="s">
        <v>14</v>
      </c>
      <c r="S14" s="661">
        <f t="shared" si="0"/>
        <v>100</v>
      </c>
      <c r="T14" s="660" t="s">
        <v>14</v>
      </c>
      <c r="U14" s="661">
        <f t="shared" si="1"/>
        <v>100</v>
      </c>
      <c r="V14" s="660" t="s">
        <v>14</v>
      </c>
      <c r="W14" s="661">
        <f t="shared" si="2"/>
        <v>100</v>
      </c>
      <c r="X14" s="662"/>
      <c r="Y14" s="3353"/>
      <c r="Z14" s="50">
        <f t="shared" si="7"/>
        <v>111</v>
      </c>
      <c r="AA14" s="50">
        <f t="shared" si="3"/>
        <v>1</v>
      </c>
      <c r="AB14" s="50">
        <f t="shared" si="4"/>
        <v>1</v>
      </c>
      <c r="AC14" s="50">
        <f t="shared" si="5"/>
        <v>1</v>
      </c>
    </row>
    <row r="15" spans="1:29" ht="71.25">
      <c r="A15" s="379" t="s">
        <v>1690</v>
      </c>
      <c r="B15" s="58" t="s">
        <v>1777</v>
      </c>
      <c r="C15" s="1747" t="str">
        <f>估价对象房地状况!C4</f>
        <v>估价对象位于丁各庄，为住宅配套项目，周边商业氛围成熟度较差，人流量较小，商业繁华度较差</v>
      </c>
      <c r="D15" s="380">
        <v>100</v>
      </c>
      <c r="E15" s="381"/>
      <c r="F15" s="382">
        <f>SUMIF(76:76,E16,77:77)-SUMIF(76:76,C16,77:77)+100</f>
        <v>104</v>
      </c>
      <c r="G15" s="383"/>
      <c r="H15" s="380">
        <f>SUMIF(76:76,G16,77:77)-SUMIF(76:76,C16,77:77)+100</f>
        <v>104</v>
      </c>
      <c r="I15" s="381"/>
      <c r="J15" s="380">
        <f>SUMIF(76:76,I16,77:77)-SUMIF(76:76,C16,77:77)+100</f>
        <v>102</v>
      </c>
      <c r="K15" s="540">
        <v>2</v>
      </c>
      <c r="L15" s="2488"/>
      <c r="M15" s="2483"/>
      <c r="N15" s="2483"/>
      <c r="O15" s="2483"/>
      <c r="P15" s="3487" t="s">
        <v>1691</v>
      </c>
      <c r="Q15" s="1260" t="str">
        <f t="shared" si="6"/>
        <v>商业繁华度</v>
      </c>
      <c r="R15" s="663" t="s">
        <v>14</v>
      </c>
      <c r="S15" s="664">
        <f t="shared" si="0"/>
        <v>104</v>
      </c>
      <c r="T15" s="663" t="s">
        <v>14</v>
      </c>
      <c r="U15" s="664">
        <f t="shared" si="1"/>
        <v>104</v>
      </c>
      <c r="V15" s="663" t="s">
        <v>14</v>
      </c>
      <c r="W15" s="664">
        <f t="shared" si="2"/>
        <v>102</v>
      </c>
      <c r="X15" s="1262"/>
      <c r="Y15" s="3480" t="s">
        <v>1691</v>
      </c>
      <c r="Z15" s="1261" t="str">
        <f t="shared" si="7"/>
        <v>商业繁华度</v>
      </c>
      <c r="AA15" s="1261">
        <f t="shared" si="3"/>
        <v>0.96153846153846156</v>
      </c>
      <c r="AB15" s="1261">
        <f t="shared" si="4"/>
        <v>0.96153846153846156</v>
      </c>
      <c r="AC15" s="1261">
        <f t="shared" si="5"/>
        <v>0.98039215686274506</v>
      </c>
    </row>
    <row r="16" spans="1:29" ht="15">
      <c r="A16" s="367"/>
      <c r="B16" s="385"/>
      <c r="C16" s="386" t="s">
        <v>3458</v>
      </c>
      <c r="D16" s="387"/>
      <c r="E16" s="386" t="s">
        <v>3459</v>
      </c>
      <c r="F16" s="388"/>
      <c r="G16" s="386" t="s">
        <v>3459</v>
      </c>
      <c r="H16" s="389"/>
      <c r="I16" s="386" t="s">
        <v>3460</v>
      </c>
      <c r="J16" s="387"/>
      <c r="K16" s="541"/>
      <c r="L16" s="2488"/>
      <c r="M16" s="2483"/>
      <c r="N16" s="2483"/>
      <c r="O16" s="2483"/>
      <c r="P16" s="3488"/>
      <c r="Q16" s="1260"/>
      <c r="R16" s="663"/>
      <c r="S16" s="664"/>
      <c r="T16" s="663"/>
      <c r="U16" s="664"/>
      <c r="V16" s="663"/>
      <c r="W16" s="664"/>
      <c r="X16" s="1262"/>
      <c r="Y16" s="3481"/>
      <c r="Z16" s="1261"/>
      <c r="AA16" s="1261">
        <v>1</v>
      </c>
      <c r="AB16" s="1261">
        <v>1</v>
      </c>
      <c r="AC16" s="1261">
        <v>1</v>
      </c>
    </row>
    <row r="17" spans="1:29" ht="85.5">
      <c r="A17" s="367"/>
      <c r="B17" s="390" t="s">
        <v>1259</v>
      </c>
      <c r="C17" s="1751" t="str">
        <f>估价对象房地状况!C6</f>
        <v>估价对象周边道路状况、公共交通通达情况808、809等、停车便捷程度较好，综合评价交通便捷度一般</v>
      </c>
      <c r="D17" s="389">
        <v>100</v>
      </c>
      <c r="E17" s="391"/>
      <c r="F17" s="392">
        <f>SUMIF(78:78,E18,79:79)-SUMIF(78:78,C18,79:79)+100</f>
        <v>102</v>
      </c>
      <c r="G17" s="393"/>
      <c r="H17" s="394">
        <f>SUMIF(78:78,G18,79:79)-SUMIF(78:78,C18,79:79)+100</f>
        <v>102</v>
      </c>
      <c r="I17" s="391"/>
      <c r="J17" s="394">
        <f>SUMIF(78:78,I18,79:79)-SUMIF(78:78,C18,79:79)+100</f>
        <v>100</v>
      </c>
      <c r="K17" s="540">
        <v>2</v>
      </c>
      <c r="L17" s="2488"/>
      <c r="M17" s="2483"/>
      <c r="N17" s="2483"/>
      <c r="O17" s="2483"/>
      <c r="P17" s="3488"/>
      <c r="Q17" s="1260" t="str">
        <f>B17</f>
        <v>交通便捷度</v>
      </c>
      <c r="R17" s="663" t="s">
        <v>14</v>
      </c>
      <c r="S17" s="664">
        <f>F17</f>
        <v>102</v>
      </c>
      <c r="T17" s="663" t="s">
        <v>14</v>
      </c>
      <c r="U17" s="664">
        <f>H17</f>
        <v>102</v>
      </c>
      <c r="V17" s="663" t="s">
        <v>14</v>
      </c>
      <c r="W17" s="664">
        <f>J17</f>
        <v>100</v>
      </c>
      <c r="X17" s="1262"/>
      <c r="Y17" s="3481"/>
      <c r="Z17" s="1261" t="str">
        <f>Q17</f>
        <v>交通便捷度</v>
      </c>
      <c r="AA17" s="1261">
        <f t="shared" si="3"/>
        <v>0.98039215686274506</v>
      </c>
      <c r="AB17" s="1261">
        <f t="shared" si="4"/>
        <v>0.98039215686274506</v>
      </c>
      <c r="AC17" s="1261">
        <f t="shared" si="5"/>
        <v>1</v>
      </c>
    </row>
    <row r="18" spans="1:29" ht="15">
      <c r="A18" s="367"/>
      <c r="B18" s="395"/>
      <c r="C18" s="1752" t="s">
        <v>3460</v>
      </c>
      <c r="D18" s="389"/>
      <c r="E18" s="1754" t="s">
        <v>3459</v>
      </c>
      <c r="F18" s="392"/>
      <c r="G18" s="1754" t="s">
        <v>3459</v>
      </c>
      <c r="H18" s="387"/>
      <c r="I18" s="1752" t="s">
        <v>3460</v>
      </c>
      <c r="J18" s="387"/>
      <c r="K18" s="541"/>
      <c r="L18" s="2488"/>
      <c r="M18" s="2483"/>
      <c r="N18" s="2483"/>
      <c r="O18" s="2483"/>
      <c r="P18" s="3488"/>
      <c r="Q18" s="1260"/>
      <c r="R18" s="663"/>
      <c r="S18" s="664"/>
      <c r="T18" s="663"/>
      <c r="U18" s="664"/>
      <c r="V18" s="663"/>
      <c r="W18" s="664"/>
      <c r="X18" s="1262"/>
      <c r="Y18" s="3481"/>
      <c r="Z18" s="1261"/>
      <c r="AA18" s="1261">
        <v>1</v>
      </c>
      <c r="AB18" s="1261">
        <v>1</v>
      </c>
      <c r="AC18" s="1261">
        <v>1</v>
      </c>
    </row>
    <row r="19" spans="1:29" ht="199.5">
      <c r="A19" s="367"/>
      <c r="B19" s="390" t="s">
        <v>1778</v>
      </c>
      <c r="C19" s="1751" t="str">
        <f>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9" s="394">
        <v>100</v>
      </c>
      <c r="E19" s="396"/>
      <c r="F19" s="397">
        <f>SUMIF(80:80,E20,81:81)-SUMIF(80:80,C20,81:81)+100</f>
        <v>102</v>
      </c>
      <c r="G19" s="398"/>
      <c r="H19" s="389">
        <f>SUMIF(80:80,G20,81:81)-SUMIF(80:80,C20,81:81)+100</f>
        <v>104</v>
      </c>
      <c r="I19" s="396"/>
      <c r="J19" s="389">
        <f>SUMIF(80:80,I20,81:81)-SUMIF(80:80,C20,81:81)+100</f>
        <v>102</v>
      </c>
      <c r="K19" s="540">
        <v>2</v>
      </c>
      <c r="L19" s="2488"/>
      <c r="M19" s="2483"/>
      <c r="N19" s="2483"/>
      <c r="O19" s="2483"/>
      <c r="P19" s="3488"/>
      <c r="Q19" s="1260" t="str">
        <f>B19</f>
        <v>公共配套设施</v>
      </c>
      <c r="R19" s="663" t="s">
        <v>14</v>
      </c>
      <c r="S19" s="664">
        <f>F19</f>
        <v>102</v>
      </c>
      <c r="T19" s="663" t="s">
        <v>14</v>
      </c>
      <c r="U19" s="664">
        <f>H19</f>
        <v>104</v>
      </c>
      <c r="V19" s="663" t="s">
        <v>14</v>
      </c>
      <c r="W19" s="664">
        <f>J19</f>
        <v>102</v>
      </c>
      <c r="X19" s="1262"/>
      <c r="Y19" s="3481"/>
      <c r="Z19" s="1261" t="str">
        <f>Q19</f>
        <v>公共配套设施</v>
      </c>
      <c r="AA19" s="1261">
        <f t="shared" si="3"/>
        <v>0.98039215686274506</v>
      </c>
      <c r="AB19" s="1261">
        <f t="shared" si="4"/>
        <v>0.96153846153846156</v>
      </c>
      <c r="AC19" s="1261">
        <f t="shared" si="5"/>
        <v>0.98039215686274506</v>
      </c>
    </row>
    <row r="20" spans="1:29" ht="15">
      <c r="A20" s="367"/>
      <c r="B20" s="395"/>
      <c r="C20" s="386" t="s">
        <v>3458</v>
      </c>
      <c r="D20" s="387"/>
      <c r="E20" s="1748" t="s">
        <v>3460</v>
      </c>
      <c r="F20" s="388"/>
      <c r="G20" s="1748" t="s">
        <v>3459</v>
      </c>
      <c r="H20" s="387"/>
      <c r="I20" s="1748" t="s">
        <v>3460</v>
      </c>
      <c r="J20" s="387"/>
      <c r="K20" s="541"/>
      <c r="L20" s="2488"/>
      <c r="M20" s="2483"/>
      <c r="N20" s="2483"/>
      <c r="O20" s="2483"/>
      <c r="P20" s="3488"/>
      <c r="Q20" s="1260"/>
      <c r="R20" s="663"/>
      <c r="S20" s="664"/>
      <c r="T20" s="663"/>
      <c r="U20" s="664"/>
      <c r="V20" s="663"/>
      <c r="W20" s="664"/>
      <c r="X20" s="1262"/>
      <c r="Y20" s="3481"/>
      <c r="Z20" s="1261"/>
      <c r="AA20" s="1261">
        <v>1</v>
      </c>
      <c r="AB20" s="1261">
        <v>1</v>
      </c>
      <c r="AC20" s="1261">
        <v>1</v>
      </c>
    </row>
    <row r="21" spans="1:29" ht="28.5">
      <c r="A21" s="367"/>
      <c r="B21" s="585" t="s">
        <v>1779</v>
      </c>
      <c r="C21" s="1751"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88"/>
      <c r="Q21" s="1260" t="str">
        <f>B21</f>
        <v>基础设施水平</v>
      </c>
      <c r="R21" s="663" t="s">
        <v>14</v>
      </c>
      <c r="S21" s="664">
        <f>F21</f>
        <v>100</v>
      </c>
      <c r="T21" s="663" t="s">
        <v>14</v>
      </c>
      <c r="U21" s="664">
        <f>H21</f>
        <v>100</v>
      </c>
      <c r="V21" s="663" t="s">
        <v>14</v>
      </c>
      <c r="W21" s="664">
        <f>J21</f>
        <v>100</v>
      </c>
      <c r="X21" s="1262"/>
      <c r="Y21" s="3481"/>
      <c r="Z21" s="1261" t="str">
        <f>Q21</f>
        <v>基础设施水平</v>
      </c>
      <c r="AA21" s="1261">
        <f t="shared" ref="AA21" si="8">D21/F21</f>
        <v>1</v>
      </c>
      <c r="AB21" s="1261">
        <f t="shared" ref="AB21" si="9">D21/H21</f>
        <v>1</v>
      </c>
      <c r="AC21" s="1261">
        <f t="shared" ref="AC21" si="10">D21/J21</f>
        <v>1</v>
      </c>
    </row>
    <row r="22" spans="1:29" ht="15">
      <c r="A22" s="367"/>
      <c r="B22" s="585"/>
      <c r="C22" s="1752" t="s">
        <v>3505</v>
      </c>
      <c r="D22" s="387"/>
      <c r="E22" s="1752" t="s">
        <v>3505</v>
      </c>
      <c r="F22" s="388"/>
      <c r="G22" s="386" t="s">
        <v>3505</v>
      </c>
      <c r="H22" s="387"/>
      <c r="I22" s="1752" t="s">
        <v>3505</v>
      </c>
      <c r="J22" s="387"/>
      <c r="K22" s="1061"/>
      <c r="L22" s="2488"/>
      <c r="M22" s="2483"/>
      <c r="N22" s="2483"/>
      <c r="O22" s="2483"/>
      <c r="P22" s="3488"/>
      <c r="Q22" s="1260"/>
      <c r="R22" s="663"/>
      <c r="S22" s="664"/>
      <c r="T22" s="663"/>
      <c r="U22" s="664"/>
      <c r="V22" s="663"/>
      <c r="W22" s="664"/>
      <c r="X22" s="1262"/>
      <c r="Y22" s="3481"/>
      <c r="Z22" s="1261"/>
      <c r="AA22" s="1261">
        <v>1</v>
      </c>
      <c r="AB22" s="1261">
        <v>1</v>
      </c>
      <c r="AC22" s="1261">
        <v>1</v>
      </c>
    </row>
    <row r="23" spans="1:29" ht="71.25">
      <c r="A23" s="367"/>
      <c r="B23" s="390" t="s">
        <v>1261</v>
      </c>
      <c r="C23" s="1803" t="str">
        <f>估价对象房地状况!C9</f>
        <v>区域自然环境：潞城中心公园；人文环境：工商大学嘉华学院；综合评价环境状况一般</v>
      </c>
      <c r="D23" s="389">
        <v>100</v>
      </c>
      <c r="E23" s="391"/>
      <c r="F23" s="392">
        <f>SUMIF(84:84,E24,85:85)-SUMIF(84:84,C24,85:85)+100</f>
        <v>102</v>
      </c>
      <c r="G23" s="393"/>
      <c r="H23" s="389">
        <f>SUMIF(84:84,G24,85:85)-SUMIF(84:84,C24,85:85)+100</f>
        <v>100</v>
      </c>
      <c r="I23" s="391"/>
      <c r="J23" s="389">
        <f>SUMIF(84:84,I24,85:85)-SUMIF(84:84,C24,85:85)+100</f>
        <v>100</v>
      </c>
      <c r="K23" s="540">
        <v>2</v>
      </c>
      <c r="L23" s="2488"/>
      <c r="M23" s="2483"/>
      <c r="N23" s="2483"/>
      <c r="O23" s="2483"/>
      <c r="P23" s="3488"/>
      <c r="Q23" s="1260" t="str">
        <f>B23</f>
        <v>自然及人文环境</v>
      </c>
      <c r="R23" s="663" t="s">
        <v>14</v>
      </c>
      <c r="S23" s="664">
        <f>F23</f>
        <v>102</v>
      </c>
      <c r="T23" s="663" t="s">
        <v>14</v>
      </c>
      <c r="U23" s="664">
        <f>H23</f>
        <v>100</v>
      </c>
      <c r="V23" s="663" t="s">
        <v>14</v>
      </c>
      <c r="W23" s="664">
        <f>J23</f>
        <v>100</v>
      </c>
      <c r="X23" s="1262"/>
      <c r="Y23" s="3481"/>
      <c r="Z23" s="1261" t="str">
        <f>Q23</f>
        <v>自然及人文环境</v>
      </c>
      <c r="AA23" s="1261">
        <f t="shared" si="3"/>
        <v>0.98039215686274506</v>
      </c>
      <c r="AB23" s="1261">
        <f t="shared" si="4"/>
        <v>1</v>
      </c>
      <c r="AC23" s="1261">
        <f t="shared" si="5"/>
        <v>1</v>
      </c>
    </row>
    <row r="24" spans="1:29" ht="15">
      <c r="A24" s="367"/>
      <c r="B24" s="395"/>
      <c r="C24" s="386" t="s">
        <v>3460</v>
      </c>
      <c r="D24" s="387"/>
      <c r="E24" s="1748" t="s">
        <v>3459</v>
      </c>
      <c r="F24" s="388"/>
      <c r="G24" s="1748" t="s">
        <v>3460</v>
      </c>
      <c r="H24" s="387"/>
      <c r="I24" s="1748" t="s">
        <v>3460</v>
      </c>
      <c r="J24" s="387"/>
      <c r="K24" s="541"/>
      <c r="L24" s="2488"/>
      <c r="M24" s="2483"/>
      <c r="N24" s="2483"/>
      <c r="O24" s="2483"/>
      <c r="P24" s="3488"/>
      <c r="Q24" s="1260"/>
      <c r="R24" s="663"/>
      <c r="S24" s="664"/>
      <c r="T24" s="663"/>
      <c r="U24" s="664"/>
      <c r="V24" s="663"/>
      <c r="W24" s="664"/>
      <c r="X24" s="1262"/>
      <c r="Y24" s="3481"/>
      <c r="Z24" s="1261"/>
      <c r="AA24" s="1261">
        <v>1</v>
      </c>
      <c r="AB24" s="1261">
        <v>1</v>
      </c>
      <c r="AC24" s="1261">
        <v>1</v>
      </c>
    </row>
    <row r="25" spans="1:29" ht="15">
      <c r="A25" s="367"/>
      <c r="B25" s="364" t="s">
        <v>1780</v>
      </c>
      <c r="C25" s="542" t="s">
        <v>3484</v>
      </c>
      <c r="D25" s="374">
        <v>100</v>
      </c>
      <c r="E25" s="542" t="s">
        <v>3484</v>
      </c>
      <c r="F25" s="400">
        <f>SUMIF(86:86,E25,87:87)-SUMIF(86:86,C25,87:87)+100</f>
        <v>100</v>
      </c>
      <c r="G25" s="542" t="s">
        <v>3484</v>
      </c>
      <c r="H25" s="374">
        <f>SUMIF(86:86,G25,87:87)-SUMIF(86:86,C25,87:87)+100</f>
        <v>100</v>
      </c>
      <c r="I25" s="542" t="s">
        <v>3484</v>
      </c>
      <c r="J25" s="374">
        <f>SUMIF(86:86,I25,87:87)-SUMIF(86:86,C25,87:87)+100</f>
        <v>100</v>
      </c>
      <c r="K25" s="538">
        <v>2</v>
      </c>
      <c r="L25" s="2488"/>
      <c r="M25" s="2483"/>
      <c r="N25" s="2483"/>
      <c r="O25" s="2483"/>
      <c r="P25" s="3488"/>
      <c r="Q25" s="1260" t="str">
        <f t="shared" ref="Q25:Q46" si="11">B25</f>
        <v>临街状况</v>
      </c>
      <c r="R25" s="663" t="s">
        <v>14</v>
      </c>
      <c r="S25" s="664">
        <f>F25</f>
        <v>100</v>
      </c>
      <c r="T25" s="663" t="s">
        <v>14</v>
      </c>
      <c r="U25" s="664">
        <f>H25</f>
        <v>100</v>
      </c>
      <c r="V25" s="663" t="s">
        <v>14</v>
      </c>
      <c r="W25" s="664">
        <f>J25</f>
        <v>100</v>
      </c>
      <c r="X25" s="1262"/>
      <c r="Y25" s="3481"/>
      <c r="Z25" s="1261" t="str">
        <f>Q25</f>
        <v>临街状况</v>
      </c>
      <c r="AA25" s="1261">
        <f t="shared" si="3"/>
        <v>1</v>
      </c>
      <c r="AB25" s="1261">
        <f t="shared" si="4"/>
        <v>1</v>
      </c>
      <c r="AC25" s="1261">
        <f t="shared" si="5"/>
        <v>1</v>
      </c>
    </row>
    <row r="26" spans="1:29" ht="15">
      <c r="A26" s="367"/>
      <c r="B26" s="1063" t="s">
        <v>1781</v>
      </c>
      <c r="C26" s="3187" t="s">
        <v>3541</v>
      </c>
      <c r="D26" s="374">
        <v>100</v>
      </c>
      <c r="E26" s="3156" t="s">
        <v>3506</v>
      </c>
      <c r="F26" s="400">
        <f>SUMIF(88:88,E26,89:89)-SUMIF(88:88,C26,89:89)+100</f>
        <v>100</v>
      </c>
      <c r="G26" s="3156" t="s">
        <v>3506</v>
      </c>
      <c r="H26" s="374">
        <f>SUMIF(88:88,G26,89:89)-SUMIF(88:88,C26,89:89)+100</f>
        <v>100</v>
      </c>
      <c r="I26" s="3156" t="s">
        <v>3506</v>
      </c>
      <c r="J26" s="374">
        <f>SUMIF(88:88,I26,89:89)-SUMIF(88:88,C26,89:89)+100</f>
        <v>100</v>
      </c>
      <c r="K26" s="539"/>
      <c r="L26" s="2488"/>
      <c r="M26" s="2483"/>
      <c r="N26" s="2483"/>
      <c r="O26" s="2483"/>
      <c r="P26" s="3488"/>
      <c r="Q26" s="1260" t="str">
        <f t="shared" si="11"/>
        <v>平面位置/可视性</v>
      </c>
      <c r="R26" s="663" t="s">
        <v>14</v>
      </c>
      <c r="S26" s="664">
        <f>F26</f>
        <v>100</v>
      </c>
      <c r="T26" s="663" t="s">
        <v>14</v>
      </c>
      <c r="U26" s="664">
        <f>H26</f>
        <v>100</v>
      </c>
      <c r="V26" s="663" t="s">
        <v>14</v>
      </c>
      <c r="W26" s="664">
        <f>J26</f>
        <v>100</v>
      </c>
      <c r="X26" s="1262"/>
      <c r="Y26" s="3481"/>
      <c r="Z26" s="1261" t="str">
        <f>Q26</f>
        <v>平面位置/可视性</v>
      </c>
      <c r="AA26" s="1261">
        <f t="shared" si="3"/>
        <v>1</v>
      </c>
      <c r="AB26" s="1261">
        <f t="shared" si="4"/>
        <v>1</v>
      </c>
      <c r="AC26" s="1261">
        <f t="shared" si="5"/>
        <v>1</v>
      </c>
    </row>
    <row r="27" spans="1:29" s="102" customFormat="1" ht="15">
      <c r="A27" s="370"/>
      <c r="B27" s="390" t="s">
        <v>1782</v>
      </c>
      <c r="C27" s="1804" t="s">
        <v>3507</v>
      </c>
      <c r="D27" s="401">
        <v>100</v>
      </c>
      <c r="E27" s="1804" t="s">
        <v>3488</v>
      </c>
      <c r="F27" s="395">
        <f>SUMIF(90:90,E27,91:91)-SUMIF(90:90,C27,91:91)+100</f>
        <v>104</v>
      </c>
      <c r="G27" s="1804" t="s">
        <v>3488</v>
      </c>
      <c r="H27" s="401">
        <f>SUMIF(90:90,G27,91:91)-SUMIF(90:90,C27,91:91)+100</f>
        <v>104</v>
      </c>
      <c r="I27" s="1804" t="s">
        <v>3460</v>
      </c>
      <c r="J27" s="401">
        <f>SUMIF(90:90,I27,91:91)-SUMIF(90:90,C27,91:91)+100</f>
        <v>102</v>
      </c>
      <c r="K27" s="538">
        <v>2</v>
      </c>
      <c r="L27" s="2484"/>
      <c r="M27" s="2435"/>
      <c r="N27" s="2435"/>
      <c r="O27" s="2435"/>
      <c r="P27" s="3488"/>
      <c r="Q27" s="530" t="str">
        <f t="shared" si="11"/>
        <v>人流量</v>
      </c>
      <c r="R27" s="660" t="s">
        <v>14</v>
      </c>
      <c r="S27" s="661">
        <f>F27</f>
        <v>104</v>
      </c>
      <c r="T27" s="660" t="s">
        <v>14</v>
      </c>
      <c r="U27" s="661">
        <f>H27</f>
        <v>104</v>
      </c>
      <c r="V27" s="660" t="s">
        <v>14</v>
      </c>
      <c r="W27" s="661">
        <f>J27</f>
        <v>102</v>
      </c>
      <c r="X27" s="662"/>
      <c r="Y27" s="3481"/>
      <c r="Z27" s="50" t="str">
        <f>Q27</f>
        <v>人流量</v>
      </c>
      <c r="AA27" s="1261">
        <f>D27/F27</f>
        <v>0.96153846153846156</v>
      </c>
      <c r="AB27" s="1261">
        <f>D27/H27</f>
        <v>0.96153846153846156</v>
      </c>
      <c r="AC27" s="1261">
        <f>D27/J27</f>
        <v>0.98039215686274506</v>
      </c>
    </row>
    <row r="28" spans="1:29" ht="15">
      <c r="A28" s="367"/>
      <c r="B28" s="364" t="s">
        <v>1783</v>
      </c>
      <c r="C28" s="542" t="s">
        <v>3509</v>
      </c>
      <c r="D28" s="374">
        <v>100</v>
      </c>
      <c r="E28" s="542" t="s">
        <v>3509</v>
      </c>
      <c r="F28" s="400">
        <f>SUMIF(92:92,E28,93:93)-SUMIF(92:92,C28,93:93)+100</f>
        <v>100</v>
      </c>
      <c r="G28" s="542" t="s">
        <v>3509</v>
      </c>
      <c r="H28" s="374">
        <f>SUMIF(92:92,G28,93:93)-SUMIF(92:92,C28,93:93)+100</f>
        <v>100</v>
      </c>
      <c r="I28" s="542" t="s">
        <v>3509</v>
      </c>
      <c r="J28" s="374">
        <f>SUMIF(92:92,I28,93:93)-SUMIF(92:92,C28,93:93)+100</f>
        <v>100</v>
      </c>
      <c r="K28" s="539"/>
      <c r="L28" s="2488"/>
      <c r="M28" s="2483"/>
      <c r="N28" s="2483"/>
      <c r="O28" s="2483"/>
      <c r="P28" s="3488"/>
      <c r="Q28" s="1260" t="str">
        <f t="shared" si="11"/>
        <v>楼层</v>
      </c>
      <c r="R28" s="663" t="s">
        <v>14</v>
      </c>
      <c r="S28" s="664">
        <f t="shared" ref="S28:S46" si="12">F28</f>
        <v>100</v>
      </c>
      <c r="T28" s="663" t="s">
        <v>14</v>
      </c>
      <c r="U28" s="664">
        <f t="shared" ref="U28:U46" si="13">H28</f>
        <v>100</v>
      </c>
      <c r="V28" s="663" t="s">
        <v>14</v>
      </c>
      <c r="W28" s="664">
        <f t="shared" ref="W28:W46" si="14">J28</f>
        <v>100</v>
      </c>
      <c r="X28" s="1262"/>
      <c r="Y28" s="3481"/>
      <c r="Z28" s="1261" t="str">
        <f t="shared" ref="Z28:Z46" si="15">Q28</f>
        <v>楼层</v>
      </c>
      <c r="AA28" s="1261">
        <f t="shared" si="3"/>
        <v>1</v>
      </c>
      <c r="AB28" s="1261">
        <f t="shared" si="4"/>
        <v>1</v>
      </c>
      <c r="AC28" s="1261">
        <f t="shared" si="5"/>
        <v>1</v>
      </c>
    </row>
    <row r="29" spans="1:29" ht="15">
      <c r="A29" s="367"/>
      <c r="B29" s="1063" t="s">
        <v>3533</v>
      </c>
      <c r="C29" s="3156" t="s">
        <v>3539</v>
      </c>
      <c r="D29" s="374">
        <v>100</v>
      </c>
      <c r="E29" s="3156" t="s">
        <v>3539</v>
      </c>
      <c r="F29" s="400">
        <f>SUMIF(94:94,E29,95:95)-SUMIF(94:94,C29,95:95)+100</f>
        <v>100</v>
      </c>
      <c r="G29" s="3156" t="s">
        <v>3539</v>
      </c>
      <c r="H29" s="374">
        <f>SUMIF(94:94,G29,95:95)-SUMIF(94:94,C29,95:95)+100</f>
        <v>100</v>
      </c>
      <c r="I29" s="3156" t="s">
        <v>3539</v>
      </c>
      <c r="J29" s="374">
        <f>SUMIF(94:94,I29,95:95)-SUMIF(94:94,C29,95:95)+100</f>
        <v>100</v>
      </c>
      <c r="K29" s="539"/>
      <c r="L29" s="2488"/>
      <c r="M29" s="2483"/>
      <c r="N29" s="2483"/>
      <c r="O29" s="2483"/>
      <c r="P29" s="3488"/>
      <c r="Q29" s="1260" t="str">
        <f t="shared" si="11"/>
        <v>对外营业</v>
      </c>
      <c r="R29" s="663" t="s">
        <v>14</v>
      </c>
      <c r="S29" s="664">
        <f t="shared" si="12"/>
        <v>100</v>
      </c>
      <c r="T29" s="663" t="s">
        <v>14</v>
      </c>
      <c r="U29" s="664">
        <f t="shared" si="13"/>
        <v>100</v>
      </c>
      <c r="V29" s="663" t="s">
        <v>14</v>
      </c>
      <c r="W29" s="664">
        <f t="shared" si="14"/>
        <v>100</v>
      </c>
      <c r="X29" s="1262"/>
      <c r="Y29" s="3481"/>
      <c r="Z29" s="1261" t="str">
        <f t="shared" si="15"/>
        <v>对外营业</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88"/>
      <c r="Q30" s="1260">
        <f t="shared" si="11"/>
        <v>111</v>
      </c>
      <c r="R30" s="663" t="s">
        <v>14</v>
      </c>
      <c r="S30" s="664">
        <f t="shared" si="12"/>
        <v>100</v>
      </c>
      <c r="T30" s="663" t="s">
        <v>14</v>
      </c>
      <c r="U30" s="664">
        <f t="shared" si="13"/>
        <v>100</v>
      </c>
      <c r="V30" s="663" t="s">
        <v>14</v>
      </c>
      <c r="W30" s="664">
        <f t="shared" si="14"/>
        <v>100</v>
      </c>
      <c r="X30" s="1262"/>
      <c r="Y30" s="3481"/>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88"/>
      <c r="Q31" s="1260">
        <f t="shared" si="11"/>
        <v>111</v>
      </c>
      <c r="R31" s="663" t="s">
        <v>14</v>
      </c>
      <c r="S31" s="664">
        <f t="shared" si="12"/>
        <v>100</v>
      </c>
      <c r="T31" s="663" t="s">
        <v>14</v>
      </c>
      <c r="U31" s="664">
        <f t="shared" si="13"/>
        <v>100</v>
      </c>
      <c r="V31" s="663" t="s">
        <v>14</v>
      </c>
      <c r="W31" s="664">
        <f t="shared" si="14"/>
        <v>100</v>
      </c>
      <c r="X31" s="1262"/>
      <c r="Y31" s="3481"/>
      <c r="Z31" s="1261">
        <f t="shared" si="15"/>
        <v>111</v>
      </c>
      <c r="AA31" s="1261">
        <f t="shared" si="3"/>
        <v>1</v>
      </c>
      <c r="AB31" s="1261">
        <f t="shared" si="4"/>
        <v>1</v>
      </c>
      <c r="AC31" s="1261">
        <f t="shared" si="5"/>
        <v>1</v>
      </c>
    </row>
    <row r="32" spans="1:29" ht="15">
      <c r="A32" s="379" t="s">
        <v>1694</v>
      </c>
      <c r="B32" s="60" t="s">
        <v>1784</v>
      </c>
      <c r="C32" s="1761" t="s">
        <v>3461</v>
      </c>
      <c r="D32" s="405">
        <v>100</v>
      </c>
      <c r="E32" s="1761" t="s">
        <v>3461</v>
      </c>
      <c r="F32" s="400">
        <f>SUMIF(100:100,E32,101:101)-SUMIF(100:100,C32,101:101)+100</f>
        <v>100</v>
      </c>
      <c r="G32" s="1761" t="s">
        <v>3461</v>
      </c>
      <c r="H32" s="374">
        <f>SUMIF(100:100,G32,101:101)-SUMIF(100:100,C32,101:101)+100</f>
        <v>100</v>
      </c>
      <c r="I32" s="1761" t="s">
        <v>3461</v>
      </c>
      <c r="J32" s="405">
        <f>SUMIF(100:100,I32,101:101)-SUMIF(100:100,C32,101:101)+100</f>
        <v>100</v>
      </c>
      <c r="K32" s="538">
        <v>3</v>
      </c>
      <c r="L32" s="2488"/>
      <c r="M32" s="2483"/>
      <c r="N32" s="2483"/>
      <c r="O32" s="2483"/>
      <c r="P32" s="3482" t="s">
        <v>1696</v>
      </c>
      <c r="Q32" s="1260" t="str">
        <f t="shared" si="11"/>
        <v>商业类型</v>
      </c>
      <c r="R32" s="663" t="s">
        <v>14</v>
      </c>
      <c r="S32" s="664">
        <f t="shared" si="12"/>
        <v>100</v>
      </c>
      <c r="T32" s="663" t="s">
        <v>14</v>
      </c>
      <c r="U32" s="664">
        <f t="shared" si="13"/>
        <v>100</v>
      </c>
      <c r="V32" s="663" t="s">
        <v>14</v>
      </c>
      <c r="W32" s="664">
        <f t="shared" si="14"/>
        <v>100</v>
      </c>
      <c r="X32" s="1262"/>
      <c r="Y32" s="3485" t="s">
        <v>1696</v>
      </c>
      <c r="Z32" s="1261" t="str">
        <f t="shared" si="15"/>
        <v>商业类型</v>
      </c>
      <c r="AA32" s="1261">
        <f t="shared" si="3"/>
        <v>1</v>
      </c>
      <c r="AB32" s="1261">
        <f t="shared" si="4"/>
        <v>1</v>
      </c>
      <c r="AC32" s="1261">
        <f t="shared" si="5"/>
        <v>1</v>
      </c>
    </row>
    <row r="33" spans="1:29" s="408" customFormat="1" ht="15">
      <c r="A33" s="406"/>
      <c r="B33" s="364" t="s">
        <v>1697</v>
      </c>
      <c r="C33" s="407">
        <f>明细表!F5</f>
        <v>678.32999999999993</v>
      </c>
      <c r="D33" s="119">
        <v>100</v>
      </c>
      <c r="E33" s="407">
        <v>198.71</v>
      </c>
      <c r="F33" s="364">
        <f>LOOKUP(E33,103:103,104:104)-LOOKUP(C33,103:103,104:104)+100</f>
        <v>103</v>
      </c>
      <c r="G33" s="407">
        <v>1081</v>
      </c>
      <c r="H33" s="119">
        <f>LOOKUP(G33,103:103,104:104)-LOOKUP(C33,103:103,104:104)+100</f>
        <v>98</v>
      </c>
      <c r="I33" s="407">
        <v>406.73</v>
      </c>
      <c r="J33" s="119">
        <f>LOOKUP(I33,103:103,104:104)-LOOKUP(C33,103:103,104:104)+100</f>
        <v>101</v>
      </c>
      <c r="K33" s="539"/>
      <c r="L33" s="2487"/>
      <c r="M33" s="2489"/>
      <c r="N33" s="2489"/>
      <c r="O33" s="2489"/>
      <c r="P33" s="3483"/>
      <c r="Q33" s="531" t="str">
        <f t="shared" si="11"/>
        <v>项目建筑规模</v>
      </c>
      <c r="R33" s="665" t="s">
        <v>14</v>
      </c>
      <c r="S33" s="666">
        <f t="shared" si="12"/>
        <v>103</v>
      </c>
      <c r="T33" s="665" t="s">
        <v>14</v>
      </c>
      <c r="U33" s="666">
        <f t="shared" si="13"/>
        <v>98</v>
      </c>
      <c r="V33" s="665" t="s">
        <v>14</v>
      </c>
      <c r="W33" s="666">
        <f t="shared" si="14"/>
        <v>101</v>
      </c>
      <c r="X33" s="667"/>
      <c r="Y33" s="3485"/>
      <c r="Z33" s="668" t="str">
        <f t="shared" si="15"/>
        <v>项目建筑规模</v>
      </c>
      <c r="AA33" s="1261">
        <f t="shared" si="3"/>
        <v>0.970873786407767</v>
      </c>
      <c r="AB33" s="1261">
        <f t="shared" si="4"/>
        <v>1.0204081632653061</v>
      </c>
      <c r="AC33" s="1261">
        <f t="shared" si="5"/>
        <v>0.99009900990099009</v>
      </c>
    </row>
    <row r="34" spans="1:29" ht="15">
      <c r="A34" s="409"/>
      <c r="B34" s="364" t="s">
        <v>1698</v>
      </c>
      <c r="C34" s="399" t="s">
        <v>3490</v>
      </c>
      <c r="D34" s="374">
        <v>100</v>
      </c>
      <c r="E34" s="399" t="s">
        <v>3490</v>
      </c>
      <c r="F34" s="400">
        <f>SUMIF(105:105,E34,106:106)-SUMIF(105:105,C34,106:106)+100</f>
        <v>100</v>
      </c>
      <c r="G34" s="399" t="s">
        <v>3490</v>
      </c>
      <c r="H34" s="374">
        <f>SUMIF(105:105,G34,106:106)-SUMIF(105:105,C34,106:106)+100</f>
        <v>100</v>
      </c>
      <c r="I34" s="399" t="s">
        <v>3490</v>
      </c>
      <c r="J34" s="374">
        <f>SUMIF(105:105,I34,106:106)-SUMIF(105:105,C34,106:106)+100</f>
        <v>100</v>
      </c>
      <c r="K34" s="538">
        <v>2</v>
      </c>
      <c r="L34" s="2488"/>
      <c r="M34" s="2483"/>
      <c r="N34" s="2483"/>
      <c r="O34" s="2483"/>
      <c r="P34" s="3483"/>
      <c r="Q34" s="1260" t="str">
        <f t="shared" si="11"/>
        <v>建筑结构</v>
      </c>
      <c r="R34" s="663" t="s">
        <v>14</v>
      </c>
      <c r="S34" s="664">
        <f t="shared" si="12"/>
        <v>100</v>
      </c>
      <c r="T34" s="663" t="s">
        <v>14</v>
      </c>
      <c r="U34" s="664">
        <f t="shared" si="13"/>
        <v>100</v>
      </c>
      <c r="V34" s="663" t="s">
        <v>14</v>
      </c>
      <c r="W34" s="664">
        <f t="shared" si="14"/>
        <v>100</v>
      </c>
      <c r="X34" s="1262"/>
      <c r="Y34" s="3485"/>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8"/>
      <c r="M35" s="2483"/>
      <c r="N35" s="2483"/>
      <c r="O35" s="2483"/>
      <c r="P35" s="3483"/>
      <c r="Q35" s="1260" t="str">
        <f t="shared" si="11"/>
        <v>公共部分装修</v>
      </c>
      <c r="R35" s="663" t="s">
        <v>14</v>
      </c>
      <c r="S35" s="664">
        <f t="shared" si="12"/>
        <v>100</v>
      </c>
      <c r="T35" s="663" t="s">
        <v>14</v>
      </c>
      <c r="U35" s="664">
        <f t="shared" si="13"/>
        <v>100</v>
      </c>
      <c r="V35" s="663" t="s">
        <v>14</v>
      </c>
      <c r="W35" s="664">
        <f t="shared" si="14"/>
        <v>100</v>
      </c>
      <c r="X35" s="1262"/>
      <c r="Y35" s="3485"/>
      <c r="Z35" s="1261" t="str">
        <f t="shared" si="15"/>
        <v>公共部分装修</v>
      </c>
      <c r="AA35" s="1261">
        <f t="shared" si="3"/>
        <v>1</v>
      </c>
      <c r="AB35" s="1261">
        <f t="shared" si="4"/>
        <v>1</v>
      </c>
      <c r="AC35" s="1261">
        <f t="shared" si="5"/>
        <v>1</v>
      </c>
    </row>
    <row r="36" spans="1:29" ht="15">
      <c r="A36" s="409"/>
      <c r="B36" s="364" t="s">
        <v>1786</v>
      </c>
      <c r="C36" s="411">
        <v>1</v>
      </c>
      <c r="D36" s="374">
        <v>100</v>
      </c>
      <c r="E36" s="411">
        <f>1-(2023-2017)/60</f>
        <v>0.9</v>
      </c>
      <c r="F36" s="400">
        <f>LOOKUP(E36,110:110,111:111)-LOOKUP(C36,110:110,111:111)+100</f>
        <v>100</v>
      </c>
      <c r="G36" s="411">
        <f>1-(2023-2009)/60</f>
        <v>0.76666666666666661</v>
      </c>
      <c r="H36" s="400">
        <f>LOOKUP(G36,110:110,111:111)-LOOKUP(C36,110:110,111:111)+100</f>
        <v>98</v>
      </c>
      <c r="I36" s="411">
        <f>1-(2023-2004)/60</f>
        <v>0.68333333333333335</v>
      </c>
      <c r="J36" s="374">
        <f>LOOKUP(I36,110:110,111:111)-LOOKUP(C36,110:110,111:111)+100</f>
        <v>97</v>
      </c>
      <c r="K36" s="538">
        <v>1</v>
      </c>
      <c r="L36" s="2488"/>
      <c r="M36" s="2483"/>
      <c r="N36" s="2483"/>
      <c r="O36" s="2483"/>
      <c r="P36" s="3483"/>
      <c r="Q36" s="1260" t="str">
        <f t="shared" si="11"/>
        <v>成新度</v>
      </c>
      <c r="R36" s="663" t="s">
        <v>14</v>
      </c>
      <c r="S36" s="664">
        <f t="shared" si="12"/>
        <v>100</v>
      </c>
      <c r="T36" s="663" t="s">
        <v>14</v>
      </c>
      <c r="U36" s="664">
        <f t="shared" si="13"/>
        <v>98</v>
      </c>
      <c r="V36" s="663" t="s">
        <v>14</v>
      </c>
      <c r="W36" s="664">
        <f t="shared" si="14"/>
        <v>97</v>
      </c>
      <c r="X36" s="1262"/>
      <c r="Y36" s="3485"/>
      <c r="Z36" s="1261" t="str">
        <f t="shared" si="15"/>
        <v>成新度</v>
      </c>
      <c r="AA36" s="1261">
        <f t="shared" si="3"/>
        <v>1</v>
      </c>
      <c r="AB36" s="1261">
        <f t="shared" si="4"/>
        <v>1.0204081632653061</v>
      </c>
      <c r="AC36" s="1261">
        <f t="shared" si="5"/>
        <v>1.0309278350515463</v>
      </c>
    </row>
    <row r="37" spans="1:29" s="102" customFormat="1" ht="15">
      <c r="A37" s="410"/>
      <c r="B37" s="364" t="s">
        <v>1787</v>
      </c>
      <c r="C37" s="1757" t="s">
        <v>3510</v>
      </c>
      <c r="D37" s="119">
        <v>100</v>
      </c>
      <c r="E37" s="1757" t="s">
        <v>3510</v>
      </c>
      <c r="F37" s="400">
        <f>SUMIF(112:112,E37,113:113)-SUMIF(112:112,C37,113:113)+100</f>
        <v>100</v>
      </c>
      <c r="G37" s="1757" t="s">
        <v>3510</v>
      </c>
      <c r="H37" s="374">
        <f>SUMIF(112:112,G37,113:113)-SUMIF(112:112,C37,113:113)+100</f>
        <v>100</v>
      </c>
      <c r="I37" s="1757" t="s">
        <v>3510</v>
      </c>
      <c r="J37" s="374">
        <f>SUMIF(112:112,I37,113:113)-SUMIF(112:112,C37,113:113)+100</f>
        <v>100</v>
      </c>
      <c r="K37" s="538">
        <v>1</v>
      </c>
      <c r="L37" s="2484"/>
      <c r="M37" s="2435"/>
      <c r="N37" s="2435"/>
      <c r="O37" s="2435"/>
      <c r="P37" s="3483"/>
      <c r="Q37" s="530" t="str">
        <f t="shared" si="11"/>
        <v>市政基础设施</v>
      </c>
      <c r="R37" s="660" t="s">
        <v>14</v>
      </c>
      <c r="S37" s="661">
        <f t="shared" si="12"/>
        <v>100</v>
      </c>
      <c r="T37" s="660" t="s">
        <v>14</v>
      </c>
      <c r="U37" s="661">
        <f t="shared" si="13"/>
        <v>100</v>
      </c>
      <c r="V37" s="660" t="s">
        <v>14</v>
      </c>
      <c r="W37" s="661">
        <f t="shared" si="14"/>
        <v>100</v>
      </c>
      <c r="X37" s="662"/>
      <c r="Y37" s="3485"/>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8"/>
      <c r="M38" s="2483"/>
      <c r="N38" s="2483"/>
      <c r="O38" s="2483"/>
      <c r="P38" s="3483" t="s">
        <v>1696</v>
      </c>
      <c r="Q38" s="1260" t="str">
        <f t="shared" si="11"/>
        <v>业态</v>
      </c>
      <c r="R38" s="663" t="s">
        <v>14</v>
      </c>
      <c r="S38" s="664">
        <f t="shared" si="12"/>
        <v>100</v>
      </c>
      <c r="T38" s="663" t="s">
        <v>14</v>
      </c>
      <c r="U38" s="664">
        <f t="shared" si="13"/>
        <v>100</v>
      </c>
      <c r="V38" s="663" t="s">
        <v>14</v>
      </c>
      <c r="W38" s="664">
        <f t="shared" si="14"/>
        <v>100</v>
      </c>
      <c r="X38" s="1262"/>
      <c r="Y38" s="3485" t="s">
        <v>1696</v>
      </c>
      <c r="Z38" s="1261" t="str">
        <f t="shared" si="15"/>
        <v>业态</v>
      </c>
      <c r="AA38" s="1261">
        <f t="shared" si="3"/>
        <v>1</v>
      </c>
      <c r="AB38" s="1261">
        <f t="shared" si="4"/>
        <v>1</v>
      </c>
      <c r="AC38" s="1261">
        <f t="shared" si="5"/>
        <v>1</v>
      </c>
    </row>
    <row r="39" spans="1:29" ht="15">
      <c r="A39" s="409"/>
      <c r="B39" s="364" t="s">
        <v>1789</v>
      </c>
      <c r="C39" s="1757" t="s">
        <v>3481</v>
      </c>
      <c r="D39" s="374">
        <v>100</v>
      </c>
      <c r="E39" s="1757" t="s">
        <v>3481</v>
      </c>
      <c r="F39" s="400">
        <f>SUMIF(116:116,E39,117:117)-SUMIF(116:116,C39,117:117)+100</f>
        <v>100</v>
      </c>
      <c r="G39" s="1757" t="s">
        <v>3481</v>
      </c>
      <c r="H39" s="374">
        <f>SUMIF(116:116,G39,117:117)-SUMIF(116:116,C39,117:117)+100</f>
        <v>100</v>
      </c>
      <c r="I39" s="1757" t="s">
        <v>3481</v>
      </c>
      <c r="J39" s="374">
        <f>SUMIF(116:116,I39,117:117)-SUMIF(116:116,C39,117:117)+100</f>
        <v>100</v>
      </c>
      <c r="K39" s="538">
        <v>2</v>
      </c>
      <c r="L39" s="2488"/>
      <c r="M39" s="2483"/>
      <c r="N39" s="2483"/>
      <c r="O39" s="2483"/>
      <c r="P39" s="3483"/>
      <c r="Q39" s="1260" t="str">
        <f t="shared" si="11"/>
        <v>层高</v>
      </c>
      <c r="R39" s="663" t="s">
        <v>14</v>
      </c>
      <c r="S39" s="664">
        <f t="shared" si="12"/>
        <v>100</v>
      </c>
      <c r="T39" s="663" t="s">
        <v>14</v>
      </c>
      <c r="U39" s="664">
        <f t="shared" si="13"/>
        <v>100</v>
      </c>
      <c r="V39" s="663" t="s">
        <v>14</v>
      </c>
      <c r="W39" s="664">
        <f t="shared" si="14"/>
        <v>100</v>
      </c>
      <c r="X39" s="1262"/>
      <c r="Y39" s="3485"/>
      <c r="Z39" s="1261" t="str">
        <f t="shared" si="15"/>
        <v>层高</v>
      </c>
      <c r="AA39" s="1261">
        <f t="shared" si="3"/>
        <v>1</v>
      </c>
      <c r="AB39" s="1261">
        <f t="shared" si="4"/>
        <v>1</v>
      </c>
      <c r="AC39" s="1261">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8"/>
      <c r="M40" s="2483"/>
      <c r="N40" s="2483"/>
      <c r="O40" s="2483"/>
      <c r="P40" s="3483"/>
      <c r="Q40" s="1260" t="str">
        <f t="shared" si="11"/>
        <v>单套建筑面积</v>
      </c>
      <c r="R40" s="663" t="s">
        <v>14</v>
      </c>
      <c r="S40" s="664">
        <f t="shared" si="12"/>
        <v>100</v>
      </c>
      <c r="T40" s="663" t="s">
        <v>14</v>
      </c>
      <c r="U40" s="664">
        <f t="shared" si="13"/>
        <v>100</v>
      </c>
      <c r="V40" s="663" t="s">
        <v>14</v>
      </c>
      <c r="W40" s="664">
        <f t="shared" si="14"/>
        <v>100</v>
      </c>
      <c r="X40" s="1262"/>
      <c r="Y40" s="3485"/>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83"/>
      <c r="Q41" s="531" t="str">
        <f t="shared" si="11"/>
        <v>进深比</v>
      </c>
      <c r="R41" s="665" t="s">
        <v>14</v>
      </c>
      <c r="S41" s="666">
        <f t="shared" si="12"/>
        <v>100</v>
      </c>
      <c r="T41" s="665" t="s">
        <v>14</v>
      </c>
      <c r="U41" s="666">
        <f t="shared" si="13"/>
        <v>100</v>
      </c>
      <c r="V41" s="665" t="s">
        <v>14</v>
      </c>
      <c r="W41" s="666">
        <f t="shared" si="14"/>
        <v>100</v>
      </c>
      <c r="X41" s="667"/>
      <c r="Y41" s="3485"/>
      <c r="Z41" s="668" t="str">
        <f t="shared" si="15"/>
        <v>进深比</v>
      </c>
      <c r="AA41" s="1261">
        <f t="shared" si="3"/>
        <v>1</v>
      </c>
      <c r="AB41" s="1261">
        <f t="shared" si="4"/>
        <v>1</v>
      </c>
      <c r="AC41" s="1261">
        <f t="shared" si="5"/>
        <v>1</v>
      </c>
    </row>
    <row r="42" spans="1:29" ht="15">
      <c r="A42" s="409"/>
      <c r="B42" s="364" t="s">
        <v>1792</v>
      </c>
      <c r="C42" s="1757" t="s">
        <v>3495</v>
      </c>
      <c r="D42" s="374">
        <v>100</v>
      </c>
      <c r="E42" s="1757" t="s">
        <v>3495</v>
      </c>
      <c r="F42" s="400">
        <f>SUMIF(122:122,E42,123:123)-SUMIF(122:122,C42,123:123)+100</f>
        <v>100</v>
      </c>
      <c r="G42" s="1757" t="s">
        <v>3495</v>
      </c>
      <c r="H42" s="374">
        <f>SUMIF(122:122,G42,123:123)-SUMIF(122:122,C42,123:123)+100</f>
        <v>100</v>
      </c>
      <c r="I42" s="1757" t="s">
        <v>3496</v>
      </c>
      <c r="J42" s="374">
        <f>SUMIF(122:122,I42,123:123)-SUMIF(122:122,C42,123:123)+100</f>
        <v>98</v>
      </c>
      <c r="K42" s="538">
        <v>2</v>
      </c>
      <c r="L42" s="2488"/>
      <c r="M42" s="2483"/>
      <c r="N42" s="2483"/>
      <c r="O42" s="2483"/>
      <c r="P42" s="3483"/>
      <c r="Q42" s="1260" t="str">
        <f t="shared" si="11"/>
        <v>内部装修</v>
      </c>
      <c r="R42" s="663" t="s">
        <v>14</v>
      </c>
      <c r="S42" s="664">
        <f t="shared" si="12"/>
        <v>100</v>
      </c>
      <c r="T42" s="663" t="s">
        <v>14</v>
      </c>
      <c r="U42" s="664">
        <f t="shared" si="13"/>
        <v>100</v>
      </c>
      <c r="V42" s="663" t="s">
        <v>14</v>
      </c>
      <c r="W42" s="664">
        <f t="shared" si="14"/>
        <v>98</v>
      </c>
      <c r="X42" s="1262"/>
      <c r="Y42" s="3485"/>
      <c r="Z42" s="1261" t="str">
        <f t="shared" si="15"/>
        <v>内部装修</v>
      </c>
      <c r="AA42" s="1261">
        <f t="shared" si="3"/>
        <v>1</v>
      </c>
      <c r="AB42" s="1261">
        <f t="shared" si="4"/>
        <v>1</v>
      </c>
      <c r="AC42" s="1261">
        <f t="shared" si="5"/>
        <v>1.0204081632653061</v>
      </c>
    </row>
    <row r="43" spans="1:29" ht="15">
      <c r="A43" s="409"/>
      <c r="B43" s="364" t="s">
        <v>1707</v>
      </c>
      <c r="C43" s="1757" t="s">
        <v>3459</v>
      </c>
      <c r="D43" s="374">
        <v>100</v>
      </c>
      <c r="E43" s="1757" t="s">
        <v>3459</v>
      </c>
      <c r="F43" s="400">
        <f>SUMIF(124:124,E43,125:125)-SUMIF(124:124,C43,125:125)+100</f>
        <v>100</v>
      </c>
      <c r="G43" s="1757" t="s">
        <v>3459</v>
      </c>
      <c r="H43" s="374">
        <f>SUMIF(124:124,G43,125:125)-SUMIF(124:124,C43,125:125)+100</f>
        <v>100</v>
      </c>
      <c r="I43" s="1757" t="s">
        <v>3459</v>
      </c>
      <c r="J43" s="374">
        <f>SUMIF(124:124,I43,125:125)-SUMIF(124:124,C43,125:125)+100</f>
        <v>100</v>
      </c>
      <c r="K43" s="538">
        <v>2</v>
      </c>
      <c r="L43" s="2488"/>
      <c r="M43" s="2483"/>
      <c r="N43" s="2483"/>
      <c r="O43" s="2483"/>
      <c r="P43" s="3483"/>
      <c r="Q43" s="1260" t="str">
        <f t="shared" si="11"/>
        <v>内部装修维护情况</v>
      </c>
      <c r="R43" s="663" t="s">
        <v>14</v>
      </c>
      <c r="S43" s="664">
        <f t="shared" si="12"/>
        <v>100</v>
      </c>
      <c r="T43" s="663" t="s">
        <v>14</v>
      </c>
      <c r="U43" s="664">
        <f t="shared" si="13"/>
        <v>100</v>
      </c>
      <c r="V43" s="663" t="s">
        <v>14</v>
      </c>
      <c r="W43" s="664">
        <f t="shared" si="14"/>
        <v>100</v>
      </c>
      <c r="X43" s="1262"/>
      <c r="Y43" s="3485"/>
      <c r="Z43" s="1261" t="str">
        <f t="shared" si="15"/>
        <v>内部装修维护情况</v>
      </c>
      <c r="AA43" s="1261">
        <f t="shared" si="3"/>
        <v>1</v>
      </c>
      <c r="AB43" s="1261">
        <f t="shared" si="4"/>
        <v>1</v>
      </c>
      <c r="AC43" s="1261">
        <f t="shared" si="5"/>
        <v>1</v>
      </c>
    </row>
    <row r="44" spans="1:29" s="102" customFormat="1" ht="15">
      <c r="A44" s="410"/>
      <c r="B44" s="3188" t="s">
        <v>3586</v>
      </c>
      <c r="C44" s="3189" t="s">
        <v>3588</v>
      </c>
      <c r="D44" s="119">
        <v>100</v>
      </c>
      <c r="E44" s="3156" t="s">
        <v>3589</v>
      </c>
      <c r="F44" s="364">
        <f>SUMIF(126:126,E44,127:127)-SUMIF(126:126,C44,127:127)+100</f>
        <v>105</v>
      </c>
      <c r="G44" s="3156" t="s">
        <v>3589</v>
      </c>
      <c r="H44" s="119">
        <f>SUMIF(126:126,G44,127:127)-SUMIF(126:126,C44,127:127)+100</f>
        <v>105</v>
      </c>
      <c r="I44" s="3156" t="s">
        <v>3589</v>
      </c>
      <c r="J44" s="119">
        <f>SUMIF(126:126,I44,127:127)-SUMIF(126:126,C44,127:127)+100</f>
        <v>105</v>
      </c>
      <c r="K44" s="539"/>
      <c r="L44" s="2484"/>
      <c r="M44" s="2435"/>
      <c r="N44" s="2435"/>
      <c r="O44" s="2435"/>
      <c r="P44" s="3483"/>
      <c r="Q44" s="530" t="str">
        <f t="shared" si="11"/>
        <v>利用率</v>
      </c>
      <c r="R44" s="660" t="s">
        <v>14</v>
      </c>
      <c r="S44" s="661">
        <f t="shared" si="12"/>
        <v>105</v>
      </c>
      <c r="T44" s="660" t="s">
        <v>14</v>
      </c>
      <c r="U44" s="661">
        <f t="shared" si="13"/>
        <v>105</v>
      </c>
      <c r="V44" s="660" t="s">
        <v>14</v>
      </c>
      <c r="W44" s="661">
        <f t="shared" si="14"/>
        <v>105</v>
      </c>
      <c r="X44" s="662"/>
      <c r="Y44" s="3485"/>
      <c r="Z44" s="50" t="str">
        <f t="shared" si="15"/>
        <v>利用率</v>
      </c>
      <c r="AA44" s="50">
        <f t="shared" si="3"/>
        <v>0.95238095238095233</v>
      </c>
      <c r="AB44" s="50">
        <f t="shared" si="4"/>
        <v>0.95238095238095233</v>
      </c>
      <c r="AC44" s="50">
        <f t="shared" si="5"/>
        <v>0.95238095238095233</v>
      </c>
    </row>
    <row r="45" spans="1:29" ht="15">
      <c r="A45" s="409"/>
      <c r="B45" s="3188" t="s">
        <v>3587</v>
      </c>
      <c r="C45" s="3156" t="s">
        <v>3590</v>
      </c>
      <c r="D45" s="374">
        <v>100</v>
      </c>
      <c r="E45" s="3156" t="s">
        <v>3591</v>
      </c>
      <c r="F45" s="400">
        <f>SUMIF(128:128,E45,129:129)-SUMIF(128:128,C45,129:129)+100</f>
        <v>105</v>
      </c>
      <c r="G45" s="3156" t="s">
        <v>3591</v>
      </c>
      <c r="H45" s="374">
        <f>SUMIF(128:128,G45,129:129)-SUMIF(128:128,C45,129:129)+100</f>
        <v>105</v>
      </c>
      <c r="I45" s="3156" t="s">
        <v>3591</v>
      </c>
      <c r="J45" s="374">
        <f>SUMIF(128:128,I45,129:129)-SUMIF(128:128,C45,129:129)+100</f>
        <v>105</v>
      </c>
      <c r="K45" s="539"/>
      <c r="L45" s="2488"/>
      <c r="M45" s="2483"/>
      <c r="N45" s="2483"/>
      <c r="O45" s="2483"/>
      <c r="P45" s="3483"/>
      <c r="Q45" s="1260" t="str">
        <f t="shared" si="11"/>
        <v>商铺位置</v>
      </c>
      <c r="R45" s="663" t="s">
        <v>14</v>
      </c>
      <c r="S45" s="664">
        <f t="shared" si="12"/>
        <v>105</v>
      </c>
      <c r="T45" s="663" t="s">
        <v>14</v>
      </c>
      <c r="U45" s="664">
        <f t="shared" si="13"/>
        <v>105</v>
      </c>
      <c r="V45" s="663" t="s">
        <v>14</v>
      </c>
      <c r="W45" s="664">
        <f t="shared" si="14"/>
        <v>105</v>
      </c>
      <c r="X45" s="1262"/>
      <c r="Y45" s="3485"/>
      <c r="Z45" s="1261" t="str">
        <f t="shared" si="15"/>
        <v>商铺位置</v>
      </c>
      <c r="AA45" s="1261">
        <f t="shared" si="3"/>
        <v>0.95238095238095233</v>
      </c>
      <c r="AB45" s="1261">
        <f t="shared" si="4"/>
        <v>0.95238095238095233</v>
      </c>
      <c r="AC45" s="1261">
        <f t="shared" si="5"/>
        <v>0.95238095238095233</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84"/>
      <c r="Q46" s="1260">
        <f t="shared" si="11"/>
        <v>111</v>
      </c>
      <c r="R46" s="663" t="s">
        <v>14</v>
      </c>
      <c r="S46" s="664">
        <f t="shared" si="12"/>
        <v>100</v>
      </c>
      <c r="T46" s="663" t="s">
        <v>14</v>
      </c>
      <c r="U46" s="664">
        <f t="shared" si="13"/>
        <v>100</v>
      </c>
      <c r="V46" s="663" t="s">
        <v>14</v>
      </c>
      <c r="W46" s="664">
        <f t="shared" si="14"/>
        <v>100</v>
      </c>
      <c r="X46" s="1262"/>
      <c r="Y46" s="3486"/>
      <c r="Z46" s="1261">
        <f t="shared" si="15"/>
        <v>111</v>
      </c>
      <c r="AA46" s="1261">
        <f t="shared" si="3"/>
        <v>1</v>
      </c>
      <c r="AB46" s="1261">
        <f t="shared" si="4"/>
        <v>1</v>
      </c>
      <c r="AC46" s="1261">
        <f t="shared" si="5"/>
        <v>1</v>
      </c>
    </row>
    <row r="47" spans="1:29" ht="15">
      <c r="A47" s="416" t="s">
        <v>1708</v>
      </c>
      <c r="B47" s="417"/>
      <c r="C47" s="1078" t="s">
        <v>0</v>
      </c>
      <c r="D47" s="418"/>
      <c r="E47" s="419">
        <v>3.6</v>
      </c>
      <c r="F47" s="420"/>
      <c r="G47" s="421">
        <v>3.23</v>
      </c>
      <c r="H47" s="422"/>
      <c r="I47" s="419">
        <v>2.99</v>
      </c>
      <c r="J47" s="422"/>
      <c r="K47" s="670"/>
      <c r="L47" s="2490"/>
      <c r="M47" s="2483"/>
      <c r="N47" s="2483"/>
      <c r="O47" s="2483"/>
      <c r="P47" s="3478" t="str">
        <f>A47</f>
        <v>成交单价（元/平方米）</v>
      </c>
      <c r="Q47" s="3478"/>
      <c r="R47" s="3479">
        <f>E47</f>
        <v>3.6</v>
      </c>
      <c r="S47" s="3479"/>
      <c r="T47" s="3479">
        <f>G47</f>
        <v>3.23</v>
      </c>
      <c r="U47" s="3479"/>
      <c r="V47" s="3479">
        <f>I47</f>
        <v>2.99</v>
      </c>
      <c r="W47" s="3479"/>
      <c r="X47" s="385"/>
      <c r="Y47" s="669"/>
      <c r="Z47" s="385"/>
      <c r="AA47" s="385"/>
      <c r="AB47" s="385"/>
      <c r="AC47" s="385"/>
    </row>
    <row r="48" spans="1:29" ht="15.75" thickBot="1">
      <c r="A48" s="423" t="s">
        <v>1793</v>
      </c>
      <c r="B48" s="424"/>
      <c r="C48" s="1079">
        <f>R49</f>
        <v>2.6</v>
      </c>
      <c r="D48" s="2138" t="s">
        <v>2135</v>
      </c>
      <c r="E48" s="1080">
        <f>R48</f>
        <v>2.7</v>
      </c>
      <c r="F48" s="2139"/>
      <c r="G48" s="1079">
        <f>T48</f>
        <v>2.6</v>
      </c>
      <c r="H48" s="2139"/>
      <c r="I48" s="1080">
        <f>V48</f>
        <v>2.6</v>
      </c>
      <c r="J48" s="2139"/>
      <c r="K48" s="2141">
        <f>F48+H48+J48</f>
        <v>0</v>
      </c>
      <c r="L48" s="2490"/>
      <c r="M48" s="2483"/>
      <c r="N48" s="2483"/>
      <c r="O48" s="2483"/>
      <c r="P48" s="3478" t="str">
        <f>A48</f>
        <v>比较价值（元/平方米）</v>
      </c>
      <c r="Q48" s="3478"/>
      <c r="R48" s="3479">
        <f>IF(F1="售价",ROUND(PRODUCT(R47,AA7:AA46),0),ROUND(PRODUCT(R47,AA7:AA46),1))</f>
        <v>2.7</v>
      </c>
      <c r="S48" s="3479"/>
      <c r="T48" s="3479">
        <f>IF(F1="售价",ROUND(PRODUCT(T47,AB7:AB46),0),ROUND(PRODUCT(T47,AB7:AB46),1))</f>
        <v>2.6</v>
      </c>
      <c r="U48" s="3479"/>
      <c r="V48" s="3479">
        <f>IF(F1="售价",ROUND(PRODUCT(V47,AC7:AC46),0),ROUND(PRODUCT(V47,AC7:AC46),1))</f>
        <v>2.6</v>
      </c>
      <c r="W48" s="3479"/>
      <c r="X48" s="385"/>
      <c r="Y48" s="385"/>
      <c r="Z48" s="385"/>
      <c r="AA48" s="385"/>
      <c r="AB48" s="385"/>
      <c r="AC48" s="385"/>
    </row>
    <row r="49" spans="1:29" ht="15.75" thickBot="1">
      <c r="A49" s="427" t="s">
        <v>1794</v>
      </c>
      <c r="B49" s="428"/>
      <c r="C49" s="351">
        <f>R49</f>
        <v>2.6</v>
      </c>
      <c r="D49" s="351"/>
      <c r="E49" s="351"/>
      <c r="F49" s="351"/>
      <c r="G49" s="351"/>
      <c r="H49" s="351"/>
      <c r="I49" s="351"/>
      <c r="J49" s="351"/>
      <c r="K49" s="671"/>
      <c r="L49" s="2490"/>
      <c r="M49" s="2483"/>
      <c r="N49" s="2483"/>
      <c r="O49" s="2483"/>
      <c r="P49" s="3475" t="str">
        <f>A49</f>
        <v>估价对象XX用房的比较价值（楼面单价，元/平方米）</v>
      </c>
      <c r="Q49" s="3476"/>
      <c r="R49" s="3477">
        <f>IF(F1="售价",ROUND(IF(D48="简单平均",AVERAGE(R48:V48),R48*F48+T48*H48+V48*J48),0),ROUND(IF(D48="简单平均",AVERAGE(R48:V48),R48*F48+T48*H48+V48*J48),1))</f>
        <v>2.6</v>
      </c>
      <c r="S49" s="3477"/>
      <c r="T49" s="3477"/>
      <c r="U49" s="3477"/>
      <c r="V49" s="3477"/>
      <c r="W49" s="347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0.33333333333333326</v>
      </c>
      <c r="F52" s="435" t="str">
        <f>IF(OR(E52&gt;=0.3,E52&lt;=-0.3),"超过30%","")</f>
        <v>超过30%</v>
      </c>
      <c r="G52" s="434">
        <f>IF(G47&lt;G48,G48/G47-1,G47/G48-1)</f>
        <v>0.24230769230769234</v>
      </c>
      <c r="H52" s="435" t="str">
        <f>IF(OR(G52&gt;=0.3,G52&lt;=-0.3),"超过30%","")</f>
        <v/>
      </c>
      <c r="I52" s="434">
        <f>IF(I47&lt;I48,I48/I47-1,I47/I48-1)</f>
        <v>0.15000000000000013</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3.8461538461538547E-2</v>
      </c>
      <c r="F53" s="435" t="str">
        <f>IF(OR(E53&gt;=0.2,E53&lt;=-0.2),"超过20%","")</f>
        <v/>
      </c>
      <c r="G53" s="434">
        <f>IF(G48&lt;I48,I48/G48-1,G48/I48-1)</f>
        <v>0</v>
      </c>
      <c r="H53" s="435" t="str">
        <f>IF(OR(G53&gt;=0.2,G53&lt;=-0.2),"超过20%","")</f>
        <v/>
      </c>
      <c r="I53" s="434">
        <f>IF(I48&lt;E48,E48/I48-1,I48/E48-1)</f>
        <v>3.8461538461538547E-2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0.11455108359133126</v>
      </c>
      <c r="F54" s="435" t="str">
        <f>IF(OR(E54&gt;=0.3,E54&lt;=-0.3),"超过30%","")</f>
        <v/>
      </c>
      <c r="G54" s="434">
        <f>IF(G47&lt;I47,I47/G47-1,G47/I47-1)</f>
        <v>8.026755852842804E-2</v>
      </c>
      <c r="H54" s="435" t="str">
        <f>IF(OR(G54&gt;=0.3,G54&lt;=-0.3),"超过30%","")</f>
        <v/>
      </c>
      <c r="I54" s="434">
        <f>IF(I47&lt;E47,E47/I47-1,I47/E47-1)</f>
        <v>0.20401337792642127</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4" t="s">
        <v>1798</v>
      </c>
      <c r="B57" s="385"/>
      <c r="C57" s="655"/>
      <c r="D57" s="655"/>
      <c r="E57" s="655"/>
      <c r="F57" s="656"/>
      <c r="G57" s="656"/>
      <c r="H57" s="655"/>
      <c r="I57" s="655"/>
      <c r="J57" s="655"/>
      <c r="K57" s="657"/>
      <c r="L57" s="884"/>
      <c r="M57" s="882"/>
      <c r="N57" s="882"/>
      <c r="O57" s="882"/>
      <c r="P57" s="2503"/>
      <c r="Q57" s="2504"/>
      <c r="R57" s="2483"/>
      <c r="S57" s="2483"/>
      <c r="T57" s="2483"/>
      <c r="U57" s="2483"/>
      <c r="V57" s="2483"/>
      <c r="W57" s="2483"/>
      <c r="X57" s="2483"/>
      <c r="Y57" s="2483"/>
      <c r="Z57" s="2483"/>
      <c r="AA57" s="2483"/>
      <c r="AB57" s="2483"/>
      <c r="AC57" s="2483"/>
    </row>
    <row r="58" spans="1:29" s="442" customFormat="1" ht="15">
      <c r="A58" s="440" t="s">
        <v>1679</v>
      </c>
      <c r="B58" s="441"/>
      <c r="C58" s="1100" t="str">
        <f>YEAR(C7)&amp;"-"&amp;MONTH(C7)</f>
        <v>2023-10</v>
      </c>
      <c r="D58" s="1101">
        <f>EDATE(C58,-1)</f>
        <v>45170</v>
      </c>
      <c r="E58" s="1101">
        <f t="shared" ref="E58:N58" si="16">EDATE(D58,-1)</f>
        <v>45139</v>
      </c>
      <c r="F58" s="1101">
        <f t="shared" si="16"/>
        <v>45108</v>
      </c>
      <c r="G58" s="1101">
        <f t="shared" si="16"/>
        <v>45078</v>
      </c>
      <c r="H58" s="1101">
        <f t="shared" si="16"/>
        <v>45047</v>
      </c>
      <c r="I58" s="1101">
        <f t="shared" si="16"/>
        <v>45017</v>
      </c>
      <c r="J58" s="1101">
        <f t="shared" si="16"/>
        <v>44986</v>
      </c>
      <c r="K58" s="1101">
        <f t="shared" si="16"/>
        <v>44958</v>
      </c>
      <c r="L58" s="1101">
        <f t="shared" si="16"/>
        <v>44927</v>
      </c>
      <c r="M58" s="1101">
        <f t="shared" si="16"/>
        <v>44896</v>
      </c>
      <c r="N58" s="1101">
        <f t="shared" si="16"/>
        <v>44866</v>
      </c>
      <c r="O58" s="1101">
        <f>EDATE(N58,-1)</f>
        <v>44835</v>
      </c>
      <c r="P58" s="2505"/>
      <c r="Q58" s="2506"/>
      <c r="R58" s="2506"/>
      <c r="S58" s="2506"/>
      <c r="T58" s="2506"/>
      <c r="U58" s="2506"/>
      <c r="V58" s="2506"/>
      <c r="W58" s="2506"/>
      <c r="X58" s="2506"/>
      <c r="Y58" s="2506"/>
      <c r="Z58" s="2506"/>
      <c r="AA58" s="2506"/>
      <c r="AB58" s="2506"/>
      <c r="AC58" s="2506"/>
    </row>
    <row r="59" spans="1:29" s="102" customFormat="1" ht="15">
      <c r="A59" s="443"/>
      <c r="B59" s="444"/>
      <c r="C59" s="1099">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1776</v>
      </c>
      <c r="D61" s="3146" t="s">
        <v>3457</v>
      </c>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v>102</v>
      </c>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v>0</v>
      </c>
      <c r="D68" s="480">
        <v>1</v>
      </c>
      <c r="E68" s="480">
        <v>2</v>
      </c>
      <c r="F68" s="480">
        <v>3</v>
      </c>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98</v>
      </c>
      <c r="E77" s="475">
        <f>D77-$K15</f>
        <v>96</v>
      </c>
      <c r="F77" s="475">
        <f>E77-$K15</f>
        <v>94</v>
      </c>
      <c r="G77" s="475">
        <f>F77-$K15</f>
        <v>92</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0" t="s">
        <v>1799</v>
      </c>
      <c r="D82" s="580" t="s">
        <v>1800</v>
      </c>
      <c r="E82" s="580" t="s">
        <v>1801</v>
      </c>
      <c r="F82" s="580" t="s">
        <v>1802</v>
      </c>
      <c r="G82" s="580" t="s">
        <v>1803</v>
      </c>
      <c r="H82" s="470"/>
      <c r="I82" s="470"/>
      <c r="J82" s="470"/>
      <c r="K82" s="470"/>
      <c r="L82" s="470"/>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3150" t="s">
        <v>3482</v>
      </c>
      <c r="D86" s="3150" t="s">
        <v>3483</v>
      </c>
      <c r="E86" s="3150" t="s">
        <v>3484</v>
      </c>
      <c r="F86" s="3150" t="s">
        <v>3485</v>
      </c>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3150" t="s">
        <v>3486</v>
      </c>
      <c r="D88" s="3150" t="s">
        <v>3459</v>
      </c>
      <c r="E88" s="3150" t="s">
        <v>3460</v>
      </c>
      <c r="F88" s="3173" t="s">
        <v>3542</v>
      </c>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v>100</v>
      </c>
      <c r="D89" s="467">
        <f>C89-M89</f>
        <v>97</v>
      </c>
      <c r="E89" s="467">
        <f t="shared" ref="E89:F89" si="21">D89-N89</f>
        <v>97</v>
      </c>
      <c r="F89" s="467">
        <f t="shared" si="21"/>
        <v>97</v>
      </c>
      <c r="G89" s="467"/>
      <c r="H89" s="467"/>
      <c r="I89" s="467"/>
      <c r="J89" s="467"/>
      <c r="K89" s="467"/>
      <c r="L89" s="467"/>
      <c r="M89" s="467">
        <v>3</v>
      </c>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3150" t="s">
        <v>3487</v>
      </c>
      <c r="D90" s="3150" t="s">
        <v>3488</v>
      </c>
      <c r="E90" s="3150" t="s">
        <v>3460</v>
      </c>
      <c r="F90" s="3148" t="s">
        <v>3508</v>
      </c>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3151" t="s">
        <v>3489</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t="str">
        <f>B29</f>
        <v>对外营业</v>
      </c>
      <c r="C94" s="3148" t="s">
        <v>3539</v>
      </c>
      <c r="D94" s="3148" t="s">
        <v>3540</v>
      </c>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v>100</v>
      </c>
      <c r="D95" s="467">
        <v>95</v>
      </c>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3147" t="s">
        <v>3463</v>
      </c>
      <c r="D100" s="3147" t="s">
        <v>3462</v>
      </c>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0(含)-100</v>
      </c>
      <c r="D102" s="509" t="str">
        <f t="shared" ref="D102:L102" si="24">D103&amp;"(含)"&amp;"-"&amp;E103</f>
        <v>100(含)-200</v>
      </c>
      <c r="E102" s="509" t="str">
        <f t="shared" si="24"/>
        <v>200(含)-300</v>
      </c>
      <c r="F102" s="509" t="str">
        <f t="shared" si="24"/>
        <v>300(含)-500</v>
      </c>
      <c r="G102" s="509" t="str">
        <f t="shared" si="24"/>
        <v>500(含)-800</v>
      </c>
      <c r="H102" s="509" t="str">
        <f t="shared" si="24"/>
        <v>800(含)-1000</v>
      </c>
      <c r="I102" s="509" t="str">
        <f t="shared" si="24"/>
        <v>1000(含)-1500</v>
      </c>
      <c r="J102" s="509" t="str">
        <f t="shared" si="24"/>
        <v>1500(含)-</v>
      </c>
      <c r="K102" s="509" t="str">
        <f t="shared" si="24"/>
        <v>(含)-</v>
      </c>
      <c r="L102" s="509" t="str">
        <f t="shared" si="24"/>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100</v>
      </c>
      <c r="E103" s="6">
        <v>200</v>
      </c>
      <c r="F103" s="6">
        <v>300</v>
      </c>
      <c r="G103" s="6">
        <v>500</v>
      </c>
      <c r="H103" s="524">
        <v>800</v>
      </c>
      <c r="I103" s="524">
        <v>1000</v>
      </c>
      <c r="J103" s="524">
        <v>1500</v>
      </c>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v>100</v>
      </c>
      <c r="D104" s="467">
        <f>C104-1</f>
        <v>99</v>
      </c>
      <c r="E104" s="467">
        <f t="shared" ref="E104:K104" si="25">D104-1</f>
        <v>98</v>
      </c>
      <c r="F104" s="467">
        <f t="shared" si="25"/>
        <v>97</v>
      </c>
      <c r="G104" s="467">
        <f t="shared" si="25"/>
        <v>96</v>
      </c>
      <c r="H104" s="467">
        <f t="shared" si="25"/>
        <v>95</v>
      </c>
      <c r="I104" s="467">
        <f t="shared" si="25"/>
        <v>94</v>
      </c>
      <c r="J104" s="467">
        <f t="shared" si="25"/>
        <v>93</v>
      </c>
      <c r="K104" s="467">
        <f t="shared" si="25"/>
        <v>92</v>
      </c>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50" t="s">
        <v>3490</v>
      </c>
      <c r="D105" s="3150" t="s">
        <v>3491</v>
      </c>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3150" t="s">
        <v>3494</v>
      </c>
      <c r="D107" s="3150" t="s">
        <v>3495</v>
      </c>
      <c r="E107" s="3150" t="s">
        <v>3496</v>
      </c>
      <c r="F107" s="3149" t="s">
        <v>3497</v>
      </c>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48" t="s">
        <v>3476</v>
      </c>
      <c r="D112" s="3148" t="s">
        <v>3477</v>
      </c>
      <c r="E112" s="3148" t="s">
        <v>3478</v>
      </c>
      <c r="F112" s="3148" t="s">
        <v>3479</v>
      </c>
      <c r="G112" s="3148" t="s">
        <v>3480</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50" t="s">
        <v>3492</v>
      </c>
      <c r="D114" s="3150" t="s">
        <v>3493</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50" t="s">
        <v>3498</v>
      </c>
      <c r="D116" s="3150" t="s">
        <v>3499</v>
      </c>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1"/>
      <c r="D118" s="551"/>
      <c r="E118" s="551"/>
      <c r="F118" s="551"/>
      <c r="G118" s="551"/>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3150" t="s">
        <v>3494</v>
      </c>
      <c r="D122" s="3150" t="s">
        <v>3495</v>
      </c>
      <c r="E122" s="3150" t="s">
        <v>3496</v>
      </c>
      <c r="F122" s="3149" t="s">
        <v>3497</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t="str">
        <f>B44</f>
        <v>利用率</v>
      </c>
      <c r="C126" s="3148" t="s">
        <v>3592</v>
      </c>
      <c r="D126" s="3148" t="s">
        <v>3593</v>
      </c>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v>100</v>
      </c>
      <c r="D127" s="467">
        <v>95</v>
      </c>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t="str">
        <f>B45</f>
        <v>商铺位置</v>
      </c>
      <c r="C128" s="3148" t="s">
        <v>3594</v>
      </c>
      <c r="D128" s="3148" t="s">
        <v>3595</v>
      </c>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v>100</v>
      </c>
      <c r="D129" s="467">
        <v>95</v>
      </c>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Normal="70" zoomScaleSheetLayoutView="100" workbookViewId="0">
      <selection activeCell="E17" sqref="E17"/>
    </sheetView>
  </sheetViews>
  <sheetFormatPr defaultColWidth="9" defaultRowHeight="14.25"/>
  <cols>
    <col min="1" max="1" width="10.5" style="347" customWidth="1"/>
    <col min="2" max="2" width="15.75" style="347" customWidth="1"/>
    <col min="3" max="3" width="18.8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t="s">
        <v>3511</v>
      </c>
      <c r="E1" s="3127" t="s">
        <v>3517</v>
      </c>
      <c r="F1" s="1732" t="s">
        <v>3518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0</v>
      </c>
      <c r="C2" s="1734" t="s">
        <v>43</v>
      </c>
      <c r="D2" s="1049" t="e">
        <f ca="1">IF(E1="项目模式",SUMIF(INDIRECT("'"&amp;F2&amp;"'"&amp;"!A:A"),"承租人权益价值",INDIRECT("'"&amp;F2&amp;"'"&amp;"!c:c")),SUMIF(INDIRECT("'"&amp;F2&amp;"'"&amp;"!A:A"),"承租人权益价值（单套）",INDIRECT("'"&amp;F2&amp;"'"&amp;"!c:c")))</f>
        <v>#REF!</v>
      </c>
      <c r="E2" s="1735" t="s">
        <v>1463</v>
      </c>
      <c r="F2" s="1736"/>
      <c r="G2" s="851"/>
      <c r="H2" s="851"/>
      <c r="I2" s="851"/>
      <c r="J2" s="851"/>
      <c r="K2" s="851"/>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f>IF(C2="——",C50,ROUND(B2*10000/D3,0))</f>
        <v>1.7</v>
      </c>
      <c r="C3" s="344" t="s">
        <v>1768</v>
      </c>
      <c r="D3" s="343">
        <f>IF(D1="",'数据-汇总表'!E3,SUMIF('数据-汇总表'!$C19:$C33,D1,'数据-汇总表'!$E19:$E33))</f>
        <v>0</v>
      </c>
      <c r="E3" s="1802"/>
      <c r="F3" s="852"/>
      <c r="G3" s="851"/>
      <c r="H3" s="851"/>
      <c r="I3" s="851"/>
      <c r="J3" s="851"/>
      <c r="K3" s="853"/>
      <c r="L3" s="2499"/>
      <c r="M3" s="2500"/>
      <c r="N3" s="2500"/>
      <c r="O3" s="2500"/>
      <c r="P3" s="341"/>
      <c r="Q3" s="341"/>
      <c r="R3" s="341"/>
      <c r="S3" s="341"/>
      <c r="T3" s="341"/>
      <c r="U3" s="341"/>
      <c r="V3" s="341"/>
      <c r="W3" s="341"/>
      <c r="X3" s="341"/>
      <c r="Y3" s="341"/>
      <c r="Z3" s="341"/>
      <c r="AA3" s="341"/>
      <c r="AB3" s="341"/>
      <c r="AC3" s="659"/>
    </row>
    <row r="4" spans="1:29" ht="15">
      <c r="A4" s="345" t="s">
        <v>1769</v>
      </c>
      <c r="B4" s="346"/>
      <c r="C4" s="3493" t="s">
        <v>1770</v>
      </c>
      <c r="D4" s="3494"/>
      <c r="E4" s="3495" t="s">
        <v>1771</v>
      </c>
      <c r="F4" s="3496"/>
      <c r="G4" s="3493" t="s">
        <v>1772</v>
      </c>
      <c r="H4" s="3494"/>
      <c r="I4" s="3493" t="s">
        <v>1773</v>
      </c>
      <c r="J4" s="3494"/>
      <c r="K4" s="537" t="s">
        <v>1774</v>
      </c>
      <c r="L4" s="2482"/>
      <c r="M4" s="2483"/>
      <c r="N4" s="2483"/>
      <c r="O4" s="2483"/>
      <c r="P4" s="3528" t="s">
        <v>1775</v>
      </c>
      <c r="Q4" s="3529"/>
      <c r="R4" s="3532" t="s">
        <v>1771</v>
      </c>
      <c r="S4" s="3533"/>
      <c r="T4" s="3532" t="s">
        <v>1772</v>
      </c>
      <c r="U4" s="3533"/>
      <c r="V4" s="3534" t="s">
        <v>1773</v>
      </c>
      <c r="W4" s="3534"/>
      <c r="X4" s="1806"/>
      <c r="Y4" s="3532" t="s">
        <v>1775</v>
      </c>
      <c r="Z4" s="3533"/>
      <c r="AA4" s="3536" t="s">
        <v>1771</v>
      </c>
      <c r="AB4" s="3536" t="s">
        <v>1772</v>
      </c>
      <c r="AC4" s="3525" t="s">
        <v>1773</v>
      </c>
    </row>
    <row r="5" spans="1:29" ht="15">
      <c r="A5" s="348"/>
      <c r="B5" s="349"/>
      <c r="C5" s="3511" t="s">
        <v>1673</v>
      </c>
      <c r="D5" s="3512"/>
      <c r="E5" s="3521" t="s">
        <v>3654</v>
      </c>
      <c r="F5" s="3519"/>
      <c r="G5" s="3520" t="s">
        <v>3700</v>
      </c>
      <c r="H5" s="3512"/>
      <c r="I5" s="3520" t="s">
        <v>3701</v>
      </c>
      <c r="J5" s="3512"/>
      <c r="K5" s="537"/>
      <c r="L5" s="2482"/>
      <c r="M5" s="2483"/>
      <c r="N5" s="2483"/>
      <c r="O5" s="2483"/>
      <c r="P5" s="3530"/>
      <c r="Q5" s="3500"/>
      <c r="R5" s="3505"/>
      <c r="S5" s="3506"/>
      <c r="T5" s="3505"/>
      <c r="U5" s="3506"/>
      <c r="V5" s="3479"/>
      <c r="W5" s="3479"/>
      <c r="X5" s="1262"/>
      <c r="Y5" s="3505"/>
      <c r="Z5" s="3506"/>
      <c r="AA5" s="3491"/>
      <c r="AB5" s="3491"/>
      <c r="AC5" s="3526"/>
    </row>
    <row r="6" spans="1:29" ht="15.75" thickBot="1">
      <c r="A6" s="350"/>
      <c r="B6" s="351"/>
      <c r="C6" s="3509" t="s">
        <v>1677</v>
      </c>
      <c r="D6" s="3510"/>
      <c r="E6" s="3516" t="s">
        <v>1677</v>
      </c>
      <c r="F6" s="3517"/>
      <c r="G6" s="3509" t="s">
        <v>1677</v>
      </c>
      <c r="H6" s="3510"/>
      <c r="I6" s="3509" t="s">
        <v>1677</v>
      </c>
      <c r="J6" s="3510"/>
      <c r="K6" s="537" t="s">
        <v>1678</v>
      </c>
      <c r="L6" s="2482"/>
      <c r="M6" s="2483"/>
      <c r="N6" s="2483"/>
      <c r="O6" s="2483"/>
      <c r="P6" s="3531"/>
      <c r="Q6" s="3502"/>
      <c r="R6" s="3505"/>
      <c r="S6" s="3506"/>
      <c r="T6" s="3507"/>
      <c r="U6" s="3508"/>
      <c r="V6" s="3479"/>
      <c r="W6" s="3479"/>
      <c r="X6" s="1262"/>
      <c r="Y6" s="3507"/>
      <c r="Z6" s="3508"/>
      <c r="AA6" s="3492"/>
      <c r="AB6" s="3492"/>
      <c r="AC6" s="3527"/>
    </row>
    <row r="7" spans="1:29" s="102" customFormat="1" ht="15.75" thickBot="1">
      <c r="A7" s="352" t="s">
        <v>1679</v>
      </c>
      <c r="B7" s="353"/>
      <c r="C7" s="354">
        <f>'数据-取费表'!B2</f>
        <v>45215</v>
      </c>
      <c r="D7" s="355">
        <v>100</v>
      </c>
      <c r="E7" s="356">
        <v>45200</v>
      </c>
      <c r="F7" s="357">
        <f>SUMIF(59:59,YEAR(E7)&amp;"-"&amp;MONTH(E7),60:60)</f>
        <v>100</v>
      </c>
      <c r="G7" s="356">
        <v>45200</v>
      </c>
      <c r="H7" s="355">
        <f>SUMIF(59:59,YEAR(G7)&amp;"-"&amp;MONTH(G7),60:60)</f>
        <v>100</v>
      </c>
      <c r="I7" s="356">
        <v>45200</v>
      </c>
      <c r="J7" s="355">
        <f>SUMIF(59:59,YEAR(I7)&amp;"-"&amp;MONTH(I7),60:60)</f>
        <v>100</v>
      </c>
      <c r="K7" s="38"/>
      <c r="L7" s="2484"/>
      <c r="M7" s="2435"/>
      <c r="N7" s="2435"/>
      <c r="O7" s="2435"/>
      <c r="P7" s="3535" t="s">
        <v>1680</v>
      </c>
      <c r="Q7" s="3515"/>
      <c r="R7" s="660" t="s">
        <v>14</v>
      </c>
      <c r="S7" s="661">
        <f t="shared" ref="S7:S15" si="0">F7</f>
        <v>100</v>
      </c>
      <c r="T7" s="660" t="s">
        <v>14</v>
      </c>
      <c r="U7" s="661">
        <f t="shared" ref="U7:U15" si="1">H7</f>
        <v>100</v>
      </c>
      <c r="V7" s="660" t="s">
        <v>14</v>
      </c>
      <c r="W7" s="661">
        <f t="shared" ref="W7:W15" si="2">J7</f>
        <v>100</v>
      </c>
      <c r="X7" s="662"/>
      <c r="Y7" s="3513" t="s">
        <v>1680</v>
      </c>
      <c r="Z7" s="3514"/>
      <c r="AA7" s="50">
        <f>D7/F7</f>
        <v>1</v>
      </c>
      <c r="AB7" s="50">
        <f>D7/H7</f>
        <v>1</v>
      </c>
      <c r="AC7" s="798">
        <f>D7/J7</f>
        <v>1</v>
      </c>
    </row>
    <row r="8" spans="1:29" s="102" customFormat="1" ht="15.75" thickBot="1">
      <c r="A8" s="352" t="s">
        <v>1681</v>
      </c>
      <c r="B8" s="353"/>
      <c r="C8" s="358" t="s">
        <v>3455</v>
      </c>
      <c r="D8" s="355">
        <v>100</v>
      </c>
      <c r="E8" s="358" t="s">
        <v>3456</v>
      </c>
      <c r="F8" s="357">
        <f>SUMIF(62:62,E8,63:63)-SUMIF(62:62,C8,63:63)+100</f>
        <v>102</v>
      </c>
      <c r="G8" s="358" t="s">
        <v>3456</v>
      </c>
      <c r="H8" s="355">
        <f>SUMIF(62:62,G8,63:63)-SUMIF(62:62,C8,63:63)+100</f>
        <v>102</v>
      </c>
      <c r="I8" s="358" t="s">
        <v>3456</v>
      </c>
      <c r="J8" s="355">
        <f>SUMIF(62:62,I8,63:63)-SUMIF(62:62,C8,63:63)+100</f>
        <v>102</v>
      </c>
      <c r="K8" s="38"/>
      <c r="L8" s="2484"/>
      <c r="M8" s="2435"/>
      <c r="N8" s="2435"/>
      <c r="O8" s="2435"/>
      <c r="P8" s="3535" t="s">
        <v>1683</v>
      </c>
      <c r="Q8" s="3514"/>
      <c r="R8" s="660" t="s">
        <v>14</v>
      </c>
      <c r="S8" s="661">
        <f t="shared" si="0"/>
        <v>102</v>
      </c>
      <c r="T8" s="660" t="s">
        <v>14</v>
      </c>
      <c r="U8" s="661">
        <f t="shared" si="1"/>
        <v>102</v>
      </c>
      <c r="V8" s="660" t="s">
        <v>14</v>
      </c>
      <c r="W8" s="661">
        <f t="shared" si="2"/>
        <v>102</v>
      </c>
      <c r="X8" s="662"/>
      <c r="Y8" s="3513" t="s">
        <v>1683</v>
      </c>
      <c r="Z8" s="3514"/>
      <c r="AA8" s="50">
        <f t="shared" ref="AA8:AA47" si="3">D8/F8</f>
        <v>0.98039215686274506</v>
      </c>
      <c r="AB8" s="50">
        <f t="shared" ref="AB8:AB47" si="4">D8/H8</f>
        <v>0.98039215686274506</v>
      </c>
      <c r="AC8" s="798">
        <f t="shared" ref="AC8:AC47" si="5">D8/J8</f>
        <v>0.98039215686274506</v>
      </c>
    </row>
    <row r="9" spans="1:29" s="102" customFormat="1">
      <c r="A9" s="359" t="s">
        <v>1684</v>
      </c>
      <c r="B9" s="60" t="s">
        <v>1685</v>
      </c>
      <c r="C9" s="3145" t="s">
        <v>3651</v>
      </c>
      <c r="D9" s="59">
        <v>100</v>
      </c>
      <c r="E9" s="362" t="s">
        <v>3650</v>
      </c>
      <c r="F9" s="59">
        <f>SUMIF(64:64,E9,65:65)-SUMIF(64:64,C9,65:65)+100</f>
        <v>100</v>
      </c>
      <c r="G9" s="362" t="s">
        <v>3650</v>
      </c>
      <c r="H9" s="59">
        <f>SUMIF(64:64,G9,65:65)-SUMIF(64:64,C9,65:65)+100</f>
        <v>100</v>
      </c>
      <c r="I9" s="362" t="s">
        <v>3650</v>
      </c>
      <c r="J9" s="59">
        <f>SUMIF(64:64,I9,65:65)-SUMIF(64:64,C9,65:65)+100</f>
        <v>100</v>
      </c>
      <c r="K9" s="38"/>
      <c r="L9" s="2484"/>
      <c r="M9" s="2435"/>
      <c r="N9" s="2435"/>
      <c r="O9" s="2435"/>
      <c r="P9" s="3489" t="s">
        <v>1686</v>
      </c>
      <c r="Q9" s="530" t="str">
        <f t="shared" ref="Q9:Q15" si="6">B9</f>
        <v>用途</v>
      </c>
      <c r="R9" s="660" t="s">
        <v>14</v>
      </c>
      <c r="S9" s="661">
        <f t="shared" si="0"/>
        <v>100</v>
      </c>
      <c r="T9" s="660" t="s">
        <v>14</v>
      </c>
      <c r="U9" s="661">
        <f t="shared" si="1"/>
        <v>100</v>
      </c>
      <c r="V9" s="660" t="s">
        <v>14</v>
      </c>
      <c r="W9" s="661">
        <f t="shared" si="2"/>
        <v>100</v>
      </c>
      <c r="X9" s="662"/>
      <c r="Y9" s="3353" t="s">
        <v>1687</v>
      </c>
      <c r="Z9" s="50" t="str">
        <f t="shared" ref="Z9:Z15" si="7">Q9</f>
        <v>用途</v>
      </c>
      <c r="AA9" s="50">
        <f t="shared" si="3"/>
        <v>1</v>
      </c>
      <c r="AB9" s="50">
        <f t="shared" si="4"/>
        <v>1</v>
      </c>
      <c r="AC9" s="798">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89"/>
      <c r="Q10" s="530" t="str">
        <f t="shared" si="6"/>
        <v>土地使用年限（年）</v>
      </c>
      <c r="R10" s="660" t="s">
        <v>14</v>
      </c>
      <c r="S10" s="661">
        <f t="shared" si="0"/>
        <v>100</v>
      </c>
      <c r="T10" s="660" t="s">
        <v>14</v>
      </c>
      <c r="U10" s="661">
        <f t="shared" si="1"/>
        <v>100</v>
      </c>
      <c r="V10" s="660" t="s">
        <v>14</v>
      </c>
      <c r="W10" s="661">
        <f t="shared" si="2"/>
        <v>100</v>
      </c>
      <c r="X10" s="662"/>
      <c r="Y10" s="3353"/>
      <c r="Z10" s="50" t="str">
        <f t="shared" si="7"/>
        <v>土地使用年限（年）</v>
      </c>
      <c r="AA10" s="50">
        <f t="shared" si="3"/>
        <v>1</v>
      </c>
      <c r="AB10" s="50">
        <f t="shared" si="4"/>
        <v>1</v>
      </c>
      <c r="AC10" s="798">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89"/>
      <c r="Q11" s="530" t="str">
        <f t="shared" si="6"/>
        <v>容积率</v>
      </c>
      <c r="R11" s="660" t="s">
        <v>14</v>
      </c>
      <c r="S11" s="661">
        <f t="shared" si="0"/>
        <v>100</v>
      </c>
      <c r="T11" s="660" t="s">
        <v>14</v>
      </c>
      <c r="U11" s="661">
        <f t="shared" si="1"/>
        <v>100</v>
      </c>
      <c r="V11" s="660" t="s">
        <v>14</v>
      </c>
      <c r="W11" s="661">
        <f t="shared" si="2"/>
        <v>100</v>
      </c>
      <c r="X11" s="662"/>
      <c r="Y11" s="3353"/>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4"/>
      <c r="M12" s="2435"/>
      <c r="N12" s="2435"/>
      <c r="O12" s="2435"/>
      <c r="P12" s="3489"/>
      <c r="Q12" s="530">
        <f t="shared" si="6"/>
        <v>111</v>
      </c>
      <c r="R12" s="660" t="s">
        <v>14</v>
      </c>
      <c r="S12" s="661">
        <f t="shared" si="0"/>
        <v>100</v>
      </c>
      <c r="T12" s="660" t="s">
        <v>14</v>
      </c>
      <c r="U12" s="661">
        <f t="shared" si="1"/>
        <v>100</v>
      </c>
      <c r="V12" s="660" t="s">
        <v>14</v>
      </c>
      <c r="W12" s="661">
        <f t="shared" si="2"/>
        <v>100</v>
      </c>
      <c r="X12" s="662"/>
      <c r="Y12" s="3353"/>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8"/>
      <c r="M13" s="2483"/>
      <c r="N13" s="2483"/>
      <c r="O13" s="2483"/>
      <c r="P13" s="3489"/>
      <c r="Q13" s="530">
        <f t="shared" si="6"/>
        <v>111</v>
      </c>
      <c r="R13" s="660" t="s">
        <v>14</v>
      </c>
      <c r="S13" s="661">
        <f t="shared" si="0"/>
        <v>100</v>
      </c>
      <c r="T13" s="660" t="s">
        <v>14</v>
      </c>
      <c r="U13" s="661">
        <f t="shared" si="1"/>
        <v>100</v>
      </c>
      <c r="V13" s="660" t="s">
        <v>14</v>
      </c>
      <c r="W13" s="661">
        <f t="shared" si="2"/>
        <v>100</v>
      </c>
      <c r="X13" s="662"/>
      <c r="Y13" s="3353"/>
      <c r="Z13" s="50">
        <f t="shared" si="7"/>
        <v>111</v>
      </c>
      <c r="AA13" s="50">
        <f t="shared" si="3"/>
        <v>1</v>
      </c>
      <c r="AB13" s="50">
        <f t="shared" si="4"/>
        <v>1</v>
      </c>
      <c r="AC13" s="798">
        <f t="shared" si="5"/>
        <v>1</v>
      </c>
    </row>
    <row r="14" spans="1:29" ht="15.75" thickBot="1">
      <c r="A14" s="375"/>
      <c r="B14" s="1746">
        <v>111</v>
      </c>
      <c r="C14" s="376"/>
      <c r="D14" s="377">
        <v>100</v>
      </c>
      <c r="E14" s="552"/>
      <c r="F14" s="377">
        <f>SUMIF(75:75,E14,76:76)-SUMIF(75:75,C14,76:76)+100</f>
        <v>100</v>
      </c>
      <c r="G14" s="1807"/>
      <c r="H14" s="377">
        <f>SUMIF(75:75,G14,76:76)-SUMIF(75:75,C14,76:76)+100</f>
        <v>100</v>
      </c>
      <c r="I14" s="371"/>
      <c r="J14" s="377">
        <f>SUMIF(75:75,I14,76:76)-SUMIF(75:75,C14,76:76)+100</f>
        <v>100</v>
      </c>
      <c r="K14" s="539"/>
      <c r="L14" s="2488"/>
      <c r="M14" s="2483"/>
      <c r="N14" s="2483"/>
      <c r="O14" s="2483"/>
      <c r="P14" s="3489"/>
      <c r="Q14" s="530">
        <f t="shared" si="6"/>
        <v>111</v>
      </c>
      <c r="R14" s="660" t="s">
        <v>14</v>
      </c>
      <c r="S14" s="661">
        <f t="shared" si="0"/>
        <v>100</v>
      </c>
      <c r="T14" s="660" t="s">
        <v>14</v>
      </c>
      <c r="U14" s="661">
        <f t="shared" si="1"/>
        <v>100</v>
      </c>
      <c r="V14" s="660" t="s">
        <v>14</v>
      </c>
      <c r="W14" s="661">
        <f t="shared" si="2"/>
        <v>100</v>
      </c>
      <c r="X14" s="662"/>
      <c r="Y14" s="3353"/>
      <c r="Z14" s="50">
        <f t="shared" si="7"/>
        <v>111</v>
      </c>
      <c r="AA14" s="50">
        <f t="shared" si="3"/>
        <v>1</v>
      </c>
      <c r="AB14" s="50">
        <f t="shared" si="4"/>
        <v>1</v>
      </c>
      <c r="AC14" s="798">
        <f t="shared" si="5"/>
        <v>1</v>
      </c>
    </row>
    <row r="15" spans="1:29" ht="94.5">
      <c r="A15" s="379" t="s">
        <v>1690</v>
      </c>
      <c r="B15" s="553" t="s">
        <v>1811</v>
      </c>
      <c r="C15" s="1808" t="str">
        <f>估价对象房地状况!C5</f>
        <v>估价对象位于丁各庄，为住宅配套项目，周边办公楼项目较少，入驻率较低，办公集聚程度较差</v>
      </c>
      <c r="D15" s="380">
        <v>100</v>
      </c>
      <c r="E15" s="3206" t="s">
        <v>3659</v>
      </c>
      <c r="F15" s="380">
        <f>SUMIF(77:77,E16,78:78)-SUMIF(77:77,C16,78:78)+100</f>
        <v>103</v>
      </c>
      <c r="G15" s="3206" t="s">
        <v>3656</v>
      </c>
      <c r="H15" s="380">
        <f>SUMIF(77:77,G16,78:78)-SUMIF(77:77,C16,78:78)+100</f>
        <v>103</v>
      </c>
      <c r="I15" s="3206" t="s">
        <v>3655</v>
      </c>
      <c r="J15" s="380">
        <f>SUMIF(77:77,I16,78:78)-SUMIF(77:77,C16,78:78)+100</f>
        <v>103</v>
      </c>
      <c r="K15" s="540">
        <v>3</v>
      </c>
      <c r="L15" s="2488"/>
      <c r="M15" s="2483"/>
      <c r="N15" s="2483"/>
      <c r="O15" s="2483"/>
      <c r="P15" s="3487" t="s">
        <v>1691</v>
      </c>
      <c r="Q15" s="1260" t="str">
        <f t="shared" si="6"/>
        <v>办公集聚程度</v>
      </c>
      <c r="R15" s="663" t="s">
        <v>14</v>
      </c>
      <c r="S15" s="664">
        <f t="shared" si="0"/>
        <v>103</v>
      </c>
      <c r="T15" s="663" t="s">
        <v>14</v>
      </c>
      <c r="U15" s="664">
        <f t="shared" si="1"/>
        <v>103</v>
      </c>
      <c r="V15" s="663" t="s">
        <v>14</v>
      </c>
      <c r="W15" s="664">
        <f t="shared" si="2"/>
        <v>103</v>
      </c>
      <c r="X15" s="1262"/>
      <c r="Y15" s="3480" t="s">
        <v>1691</v>
      </c>
      <c r="Z15" s="1261" t="str">
        <f t="shared" si="7"/>
        <v>办公集聚程度</v>
      </c>
      <c r="AA15" s="1261">
        <f t="shared" si="3"/>
        <v>0.970873786407767</v>
      </c>
      <c r="AB15" s="1261">
        <f t="shared" si="4"/>
        <v>0.970873786407767</v>
      </c>
      <c r="AC15" s="1809">
        <f t="shared" si="5"/>
        <v>0.970873786407767</v>
      </c>
    </row>
    <row r="16" spans="1:29" ht="15">
      <c r="A16" s="367"/>
      <c r="B16" s="554"/>
      <c r="C16" s="1755" t="s">
        <v>3458</v>
      </c>
      <c r="D16" s="387"/>
      <c r="E16" s="386" t="s">
        <v>3460</v>
      </c>
      <c r="F16" s="387"/>
      <c r="G16" s="386" t="s">
        <v>3460</v>
      </c>
      <c r="H16" s="389"/>
      <c r="I16" s="386" t="s">
        <v>3460</v>
      </c>
      <c r="J16" s="387"/>
      <c r="K16" s="541"/>
      <c r="L16" s="2488"/>
      <c r="M16" s="2483"/>
      <c r="N16" s="2483"/>
      <c r="O16" s="2483"/>
      <c r="P16" s="3488"/>
      <c r="Q16" s="1260"/>
      <c r="R16" s="663"/>
      <c r="S16" s="664"/>
      <c r="T16" s="663"/>
      <c r="U16" s="664"/>
      <c r="V16" s="663"/>
      <c r="W16" s="664"/>
      <c r="X16" s="1262"/>
      <c r="Y16" s="3481"/>
      <c r="Z16" s="1261"/>
      <c r="AA16" s="1261">
        <v>1</v>
      </c>
      <c r="AB16" s="1261">
        <v>1</v>
      </c>
      <c r="AC16" s="1809">
        <v>1</v>
      </c>
    </row>
    <row r="17" spans="1:29" ht="110.25">
      <c r="A17" s="367"/>
      <c r="B17" s="555" t="s">
        <v>1259</v>
      </c>
      <c r="C17" s="1810" t="str">
        <f>估价对象房地状况!C6</f>
        <v>估价对象周边道路状况、公共交通通达情况808、809等、停车便捷程度较好，综合评价交通便捷度一般</v>
      </c>
      <c r="D17" s="389">
        <v>100</v>
      </c>
      <c r="E17" s="393" t="s">
        <v>3657</v>
      </c>
      <c r="F17" s="389">
        <f>SUMIF(79:79,E18,80:80)-SUMIF(79:79,C18,80:80)+100</f>
        <v>102</v>
      </c>
      <c r="G17" s="393" t="s">
        <v>3657</v>
      </c>
      <c r="H17" s="394">
        <f>SUMIF(79:79,G18,80:80)-SUMIF(79:79,C18,80:80)+100</f>
        <v>102</v>
      </c>
      <c r="I17" s="393" t="s">
        <v>3657</v>
      </c>
      <c r="J17" s="394">
        <f>SUMIF(79:79,I18,80:80)-SUMIF(79:79,C18,80:80)+100</f>
        <v>102</v>
      </c>
      <c r="K17" s="540">
        <f>'比较法-商业'!K17</f>
        <v>2</v>
      </c>
      <c r="L17" s="2488"/>
      <c r="M17" s="2483"/>
      <c r="N17" s="2483"/>
      <c r="O17" s="2483"/>
      <c r="P17" s="3488"/>
      <c r="Q17" s="1260" t="str">
        <f>B17</f>
        <v>交通便捷度</v>
      </c>
      <c r="R17" s="663" t="s">
        <v>14</v>
      </c>
      <c r="S17" s="664">
        <f>F17</f>
        <v>102</v>
      </c>
      <c r="T17" s="663" t="s">
        <v>14</v>
      </c>
      <c r="U17" s="664">
        <f>H17</f>
        <v>102</v>
      </c>
      <c r="V17" s="663" t="s">
        <v>14</v>
      </c>
      <c r="W17" s="664">
        <f>J17</f>
        <v>102</v>
      </c>
      <c r="X17" s="1262"/>
      <c r="Y17" s="3481"/>
      <c r="Z17" s="1261" t="str">
        <f>Q17</f>
        <v>交通便捷度</v>
      </c>
      <c r="AA17" s="1261">
        <f t="shared" si="3"/>
        <v>0.98039215686274506</v>
      </c>
      <c r="AB17" s="1261">
        <f t="shared" si="4"/>
        <v>0.98039215686274506</v>
      </c>
      <c r="AC17" s="1809">
        <f t="shared" si="5"/>
        <v>0.98039215686274506</v>
      </c>
    </row>
    <row r="18" spans="1:29" ht="15">
      <c r="A18" s="367"/>
      <c r="B18" s="401"/>
      <c r="C18" s="1811" t="s">
        <v>3460</v>
      </c>
      <c r="D18" s="389"/>
      <c r="E18" s="1753" t="s">
        <v>3459</v>
      </c>
      <c r="F18" s="389"/>
      <c r="G18" s="1753" t="s">
        <v>3459</v>
      </c>
      <c r="H18" s="387"/>
      <c r="I18" s="1753" t="s">
        <v>3459</v>
      </c>
      <c r="J18" s="387"/>
      <c r="K18" s="541"/>
      <c r="L18" s="2488"/>
      <c r="M18" s="2483"/>
      <c r="N18" s="2483"/>
      <c r="O18" s="2483"/>
      <c r="P18" s="3488"/>
      <c r="Q18" s="1260"/>
      <c r="R18" s="663"/>
      <c r="S18" s="664"/>
      <c r="T18" s="663"/>
      <c r="U18" s="664"/>
      <c r="V18" s="663"/>
      <c r="W18" s="664"/>
      <c r="X18" s="1262"/>
      <c r="Y18" s="3481"/>
      <c r="Z18" s="1261"/>
      <c r="AA18" s="1261">
        <v>1</v>
      </c>
      <c r="AB18" s="1261">
        <v>1</v>
      </c>
      <c r="AC18" s="1809">
        <v>1</v>
      </c>
    </row>
    <row r="19" spans="1:29" ht="243">
      <c r="A19" s="367"/>
      <c r="B19" s="555" t="s">
        <v>1812</v>
      </c>
      <c r="C19" s="1810" t="str">
        <f>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9" s="394">
        <v>100</v>
      </c>
      <c r="E19" s="3205" t="s">
        <v>3658</v>
      </c>
      <c r="F19" s="394">
        <f>SUMIF(81:81,E20,82:82)-SUMIF(81:81,C20,82:82)+100</f>
        <v>100</v>
      </c>
      <c r="G19" s="3205" t="s">
        <v>3658</v>
      </c>
      <c r="H19" s="389">
        <f>SUMIF(81:81,G20,82:82)-SUMIF(81:81,C20,82:82)+100</f>
        <v>100</v>
      </c>
      <c r="I19" s="3205" t="s">
        <v>3658</v>
      </c>
      <c r="J19" s="389">
        <f>SUMIF(81:81,I20,82:82)-SUMIF(81:81,C20,82:82)+100</f>
        <v>100</v>
      </c>
      <c r="K19" s="540">
        <f>'比较法-商业'!K19</f>
        <v>2</v>
      </c>
      <c r="L19" s="2488"/>
      <c r="M19" s="2483"/>
      <c r="N19" s="2483"/>
      <c r="O19" s="2483"/>
      <c r="P19" s="3488"/>
      <c r="Q19" s="1260" t="str">
        <f>B19</f>
        <v>公共配套设施</v>
      </c>
      <c r="R19" s="663" t="s">
        <v>14</v>
      </c>
      <c r="S19" s="664">
        <f>F19</f>
        <v>100</v>
      </c>
      <c r="T19" s="663" t="s">
        <v>14</v>
      </c>
      <c r="U19" s="664">
        <f>H19</f>
        <v>100</v>
      </c>
      <c r="V19" s="663" t="s">
        <v>14</v>
      </c>
      <c r="W19" s="664">
        <f>J19</f>
        <v>100</v>
      </c>
      <c r="X19" s="1262"/>
      <c r="Y19" s="3481"/>
      <c r="Z19" s="1261" t="str">
        <f>Q19</f>
        <v>公共配套设施</v>
      </c>
      <c r="AA19" s="1261">
        <f t="shared" si="3"/>
        <v>1</v>
      </c>
      <c r="AB19" s="1261">
        <f t="shared" si="4"/>
        <v>1</v>
      </c>
      <c r="AC19" s="1809">
        <f t="shared" si="5"/>
        <v>1</v>
      </c>
    </row>
    <row r="20" spans="1:29" ht="15">
      <c r="A20" s="367"/>
      <c r="B20" s="401"/>
      <c r="C20" s="1755" t="s">
        <v>3460</v>
      </c>
      <c r="D20" s="387"/>
      <c r="E20" s="1755" t="s">
        <v>3460</v>
      </c>
      <c r="F20" s="387"/>
      <c r="G20" s="1755" t="s">
        <v>3460</v>
      </c>
      <c r="H20" s="387"/>
      <c r="I20" s="1755" t="s">
        <v>3460</v>
      </c>
      <c r="J20" s="387"/>
      <c r="K20" s="541"/>
      <c r="L20" s="2488"/>
      <c r="M20" s="2483"/>
      <c r="N20" s="2483"/>
      <c r="O20" s="2483"/>
      <c r="P20" s="3488"/>
      <c r="Q20" s="1260"/>
      <c r="R20" s="663"/>
      <c r="S20" s="664"/>
      <c r="T20" s="663"/>
      <c r="U20" s="664"/>
      <c r="V20" s="663"/>
      <c r="W20" s="664"/>
      <c r="X20" s="1262"/>
      <c r="Y20" s="3481"/>
      <c r="Z20" s="1261"/>
      <c r="AA20" s="1261">
        <v>1</v>
      </c>
      <c r="AB20" s="1261">
        <v>1</v>
      </c>
      <c r="AC20" s="1809">
        <v>1</v>
      </c>
    </row>
    <row r="21" spans="1:29" ht="28.5">
      <c r="A21" s="367"/>
      <c r="B21" s="556"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f>'比较法-商业'!K21</f>
        <v>1</v>
      </c>
      <c r="L21" s="2488"/>
      <c r="M21" s="2483"/>
      <c r="N21" s="2483"/>
      <c r="O21" s="2483"/>
      <c r="P21" s="3488"/>
      <c r="Q21" s="1260" t="str">
        <f>B21</f>
        <v>基础设施水平</v>
      </c>
      <c r="R21" s="663" t="s">
        <v>14</v>
      </c>
      <c r="S21" s="664">
        <f>F21</f>
        <v>100</v>
      </c>
      <c r="T21" s="663" t="s">
        <v>14</v>
      </c>
      <c r="U21" s="664">
        <f>H21</f>
        <v>100</v>
      </c>
      <c r="V21" s="663" t="s">
        <v>14</v>
      </c>
      <c r="W21" s="664">
        <f>J21</f>
        <v>100</v>
      </c>
      <c r="X21" s="1262"/>
      <c r="Y21" s="3481"/>
      <c r="Z21" s="1261" t="str">
        <f>Q21</f>
        <v>基础设施水平</v>
      </c>
      <c r="AA21" s="1261">
        <f t="shared" ref="AA21" si="8">D21/F21</f>
        <v>1</v>
      </c>
      <c r="AB21" s="1261">
        <f t="shared" ref="AB21" si="9">D21/H21</f>
        <v>1</v>
      </c>
      <c r="AC21" s="1809">
        <f t="shared" ref="AC21" si="10">D21/J21</f>
        <v>1</v>
      </c>
    </row>
    <row r="22" spans="1:29" ht="15">
      <c r="A22" s="367"/>
      <c r="B22" s="556"/>
      <c r="C22" s="1811" t="s">
        <v>3505</v>
      </c>
      <c r="D22" s="387"/>
      <c r="E22" s="1811" t="s">
        <v>3505</v>
      </c>
      <c r="F22" s="387"/>
      <c r="G22" s="1811" t="s">
        <v>3505</v>
      </c>
      <c r="H22" s="387"/>
      <c r="I22" s="1811" t="s">
        <v>3505</v>
      </c>
      <c r="J22" s="387"/>
      <c r="K22" s="1061"/>
      <c r="L22" s="2488"/>
      <c r="M22" s="2483"/>
      <c r="N22" s="2483"/>
      <c r="O22" s="2483"/>
      <c r="P22" s="3488"/>
      <c r="Q22" s="1260"/>
      <c r="R22" s="663"/>
      <c r="S22" s="664"/>
      <c r="T22" s="663"/>
      <c r="U22" s="664"/>
      <c r="V22" s="663"/>
      <c r="W22" s="664"/>
      <c r="X22" s="1262"/>
      <c r="Y22" s="3481"/>
      <c r="Z22" s="1261"/>
      <c r="AA22" s="1261">
        <v>1</v>
      </c>
      <c r="AB22" s="1261">
        <v>1</v>
      </c>
      <c r="AC22" s="1809">
        <v>1</v>
      </c>
    </row>
    <row r="23" spans="1:29" ht="71.25">
      <c r="A23" s="367"/>
      <c r="B23" s="555" t="s">
        <v>1814</v>
      </c>
      <c r="C23" s="1810" t="str">
        <f>估价对象房地状况!C9</f>
        <v>区域自然环境：潞城中心公园；人文环境：工商大学嘉华学院；综合评价环境状况一般</v>
      </c>
      <c r="D23" s="389">
        <v>100</v>
      </c>
      <c r="E23" s="393"/>
      <c r="F23" s="389">
        <f>SUMIF(85:85,E24,86:86)-SUMIF(85:85,C24,86:86)+100</f>
        <v>100</v>
      </c>
      <c r="G23" s="391"/>
      <c r="H23" s="389">
        <f>SUMIF(85:85,G24,86:86)-SUMIF(85:85,C24,86:86)+100</f>
        <v>100</v>
      </c>
      <c r="I23" s="391"/>
      <c r="J23" s="389">
        <f>SUMIF(85:85,I24,86:86)-SUMIF(85:85,C24,86:86)+100</f>
        <v>100</v>
      </c>
      <c r="K23" s="540">
        <f>'比较法-商业'!K23</f>
        <v>2</v>
      </c>
      <c r="L23" s="2488"/>
      <c r="M23" s="2483"/>
      <c r="N23" s="2483"/>
      <c r="O23" s="2483"/>
      <c r="P23" s="3488"/>
      <c r="Q23" s="1260" t="str">
        <f>B23</f>
        <v>环境质量</v>
      </c>
      <c r="R23" s="663" t="s">
        <v>14</v>
      </c>
      <c r="S23" s="664">
        <f>F23</f>
        <v>100</v>
      </c>
      <c r="T23" s="663" t="s">
        <v>14</v>
      </c>
      <c r="U23" s="664">
        <f>H23</f>
        <v>100</v>
      </c>
      <c r="V23" s="663" t="s">
        <v>14</v>
      </c>
      <c r="W23" s="664">
        <f>J23</f>
        <v>100</v>
      </c>
      <c r="X23" s="1262"/>
      <c r="Y23" s="3481"/>
      <c r="Z23" s="1261" t="str">
        <f>Q23</f>
        <v>环境质量</v>
      </c>
      <c r="AA23" s="1261">
        <f t="shared" si="3"/>
        <v>1</v>
      </c>
      <c r="AB23" s="1261">
        <f t="shared" si="4"/>
        <v>1</v>
      </c>
      <c r="AC23" s="1809">
        <f t="shared" si="5"/>
        <v>1</v>
      </c>
    </row>
    <row r="24" spans="1:29" ht="15">
      <c r="A24" s="367"/>
      <c r="B24" s="556"/>
      <c r="C24" s="1755" t="s">
        <v>3460</v>
      </c>
      <c r="D24" s="387"/>
      <c r="E24" s="1755" t="s">
        <v>3460</v>
      </c>
      <c r="F24" s="387"/>
      <c r="G24" s="1755" t="s">
        <v>3460</v>
      </c>
      <c r="H24" s="387"/>
      <c r="I24" s="1755" t="s">
        <v>3460</v>
      </c>
      <c r="J24" s="387"/>
      <c r="K24" s="541"/>
      <c r="L24" s="2488"/>
      <c r="M24" s="2483"/>
      <c r="N24" s="2483"/>
      <c r="O24" s="2483"/>
      <c r="P24" s="3488"/>
      <c r="Q24" s="1260"/>
      <c r="R24" s="663"/>
      <c r="S24" s="664"/>
      <c r="T24" s="663"/>
      <c r="U24" s="664"/>
      <c r="V24" s="663"/>
      <c r="W24" s="664"/>
      <c r="X24" s="1262"/>
      <c r="Y24" s="3481"/>
      <c r="Z24" s="1261"/>
      <c r="AA24" s="1261">
        <v>1</v>
      </c>
      <c r="AB24" s="1261">
        <v>1</v>
      </c>
      <c r="AC24" s="1809">
        <v>1</v>
      </c>
    </row>
    <row r="25" spans="1:29" ht="27">
      <c r="A25" s="348"/>
      <c r="B25" s="555"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8"/>
      <c r="M25" s="2483"/>
      <c r="N25" s="2483"/>
      <c r="O25" s="2483"/>
      <c r="P25" s="3488"/>
      <c r="Q25" s="1260" t="str">
        <f>B25</f>
        <v>毗邻道路的类型与等级</v>
      </c>
      <c r="R25" s="663" t="s">
        <v>14</v>
      </c>
      <c r="S25" s="664">
        <f>F25</f>
        <v>100</v>
      </c>
      <c r="T25" s="663" t="s">
        <v>14</v>
      </c>
      <c r="U25" s="664">
        <f>H25</f>
        <v>100</v>
      </c>
      <c r="V25" s="663" t="s">
        <v>14</v>
      </c>
      <c r="W25" s="664">
        <f>J25</f>
        <v>100</v>
      </c>
      <c r="X25" s="1262"/>
      <c r="Y25" s="3481"/>
      <c r="Z25" s="1261" t="str">
        <f>Q25</f>
        <v>毗邻道路的类型与等级</v>
      </c>
      <c r="AA25" s="1261">
        <f t="shared" si="3"/>
        <v>1</v>
      </c>
      <c r="AB25" s="1261">
        <f t="shared" si="4"/>
        <v>1</v>
      </c>
      <c r="AC25" s="1809">
        <f t="shared" si="5"/>
        <v>1</v>
      </c>
    </row>
    <row r="26" spans="1:29" ht="15">
      <c r="A26" s="348"/>
      <c r="B26" s="401"/>
      <c r="C26" s="557" t="s">
        <v>3503</v>
      </c>
      <c r="D26" s="374"/>
      <c r="E26" s="542" t="s">
        <v>3519</v>
      </c>
      <c r="F26" s="374"/>
      <c r="G26" s="557" t="s">
        <v>3503</v>
      </c>
      <c r="H26" s="374"/>
      <c r="I26" s="557" t="s">
        <v>3503</v>
      </c>
      <c r="J26" s="374"/>
      <c r="K26" s="541"/>
      <c r="L26" s="2488"/>
      <c r="M26" s="2483"/>
      <c r="N26" s="2483"/>
      <c r="O26" s="2483"/>
      <c r="P26" s="3488"/>
      <c r="Q26" s="1260"/>
      <c r="R26" s="663"/>
      <c r="S26" s="664"/>
      <c r="T26" s="663"/>
      <c r="U26" s="664"/>
      <c r="V26" s="663"/>
      <c r="W26" s="664"/>
      <c r="X26" s="1262"/>
      <c r="Y26" s="3481"/>
      <c r="Z26" s="1261"/>
      <c r="AA26" s="1261">
        <v>1</v>
      </c>
      <c r="AB26" s="1261">
        <v>1</v>
      </c>
      <c r="AC26" s="1809">
        <v>1</v>
      </c>
    </row>
    <row r="27" spans="1:29" ht="15">
      <c r="A27" s="367"/>
      <c r="B27" s="401" t="s">
        <v>1783</v>
      </c>
      <c r="C27" s="557"/>
      <c r="D27" s="374">
        <v>100</v>
      </c>
      <c r="E27" s="542"/>
      <c r="F27" s="374">
        <f>SUMIF(89:89,E27,90:90)-SUMIF(89:89,C27,90:90)+100</f>
        <v>100</v>
      </c>
      <c r="G27" s="542"/>
      <c r="H27" s="374">
        <f>SUMIF(89:89,G27,90:90)-SUMIF(89:89,C27,90:90)+100</f>
        <v>100</v>
      </c>
      <c r="I27" s="557"/>
      <c r="J27" s="374">
        <f>SUMIF(89:89,I27,90:90)-SUMIF(89:89,C27,90:90)+100</f>
        <v>100</v>
      </c>
      <c r="K27" s="538">
        <v>3</v>
      </c>
      <c r="L27" s="2488"/>
      <c r="M27" s="2483"/>
      <c r="N27" s="2483"/>
      <c r="O27" s="2483"/>
      <c r="P27" s="3488"/>
      <c r="Q27" s="1260" t="str">
        <f t="shared" ref="Q27:Q47" si="11">B27</f>
        <v>楼层</v>
      </c>
      <c r="R27" s="663" t="s">
        <v>14</v>
      </c>
      <c r="S27" s="664">
        <f>F27</f>
        <v>100</v>
      </c>
      <c r="T27" s="663" t="s">
        <v>14</v>
      </c>
      <c r="U27" s="664">
        <f>H27</f>
        <v>100</v>
      </c>
      <c r="V27" s="663" t="s">
        <v>14</v>
      </c>
      <c r="W27" s="664">
        <f>J27</f>
        <v>100</v>
      </c>
      <c r="X27" s="1262"/>
      <c r="Y27" s="3481"/>
      <c r="Z27" s="1261" t="str">
        <f>Q27</f>
        <v>楼层</v>
      </c>
      <c r="AA27" s="1261">
        <f t="shared" si="3"/>
        <v>1</v>
      </c>
      <c r="AB27" s="1261">
        <f t="shared" si="4"/>
        <v>1</v>
      </c>
      <c r="AC27" s="1809">
        <f t="shared" si="5"/>
        <v>1</v>
      </c>
    </row>
    <row r="28" spans="1:29" s="102" customFormat="1" ht="15">
      <c r="A28" s="370"/>
      <c r="B28" s="555"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4"/>
      <c r="M28" s="2435"/>
      <c r="N28" s="2435"/>
      <c r="O28" s="2435"/>
      <c r="P28" s="3488"/>
      <c r="Q28" s="530" t="str">
        <f t="shared" si="11"/>
        <v>朝向</v>
      </c>
      <c r="R28" s="660" t="s">
        <v>14</v>
      </c>
      <c r="S28" s="661">
        <f>F28</f>
        <v>100</v>
      </c>
      <c r="T28" s="660" t="s">
        <v>14</v>
      </c>
      <c r="U28" s="661">
        <f>H28</f>
        <v>100</v>
      </c>
      <c r="V28" s="660" t="s">
        <v>14</v>
      </c>
      <c r="W28" s="661">
        <f>J28</f>
        <v>100</v>
      </c>
      <c r="X28" s="662"/>
      <c r="Y28" s="3481"/>
      <c r="Z28" s="50" t="str">
        <f>Q28</f>
        <v>朝向</v>
      </c>
      <c r="AA28" s="1261">
        <f>D28/F28</f>
        <v>1</v>
      </c>
      <c r="AB28" s="1261">
        <f>D28/H28</f>
        <v>1</v>
      </c>
      <c r="AC28" s="1809">
        <f>D28/J28</f>
        <v>1</v>
      </c>
    </row>
    <row r="29" spans="1:29" ht="15">
      <c r="A29" s="367"/>
      <c r="B29" s="3152" t="s">
        <v>3500</v>
      </c>
      <c r="C29" s="3158" t="s">
        <v>3501</v>
      </c>
      <c r="D29" s="374">
        <v>100</v>
      </c>
      <c r="E29" s="3158" t="s">
        <v>3501</v>
      </c>
      <c r="F29" s="374">
        <f>SUMIF(93:93,E29,94:94)-SUMIF(93:93,C29,94:94)+100</f>
        <v>100</v>
      </c>
      <c r="G29" s="3158" t="s">
        <v>3501</v>
      </c>
      <c r="H29" s="374">
        <f>SUMIF(93:93,G29,94:94)-SUMIF(93:93,C29,94:94)+100</f>
        <v>100</v>
      </c>
      <c r="I29" s="3158" t="s">
        <v>3501</v>
      </c>
      <c r="J29" s="374">
        <f>SUMIF(93:93,I29,94:94)-SUMIF(93:93,C29,94:94)+100</f>
        <v>100</v>
      </c>
      <c r="K29" s="539"/>
      <c r="L29" s="2488"/>
      <c r="M29" s="2483"/>
      <c r="N29" s="2483"/>
      <c r="O29" s="2483"/>
      <c r="P29" s="3488"/>
      <c r="Q29" s="1260" t="str">
        <f t="shared" si="11"/>
        <v>项目内外</v>
      </c>
      <c r="R29" s="663" t="s">
        <v>14</v>
      </c>
      <c r="S29" s="664">
        <f t="shared" ref="S29:S47" si="12">F29</f>
        <v>100</v>
      </c>
      <c r="T29" s="663" t="s">
        <v>14</v>
      </c>
      <c r="U29" s="664">
        <f t="shared" ref="U29:U47" si="13">H29</f>
        <v>100</v>
      </c>
      <c r="V29" s="663" t="s">
        <v>14</v>
      </c>
      <c r="W29" s="664">
        <f t="shared" ref="W29:W47" si="14">J29</f>
        <v>100</v>
      </c>
      <c r="X29" s="1262"/>
      <c r="Y29" s="3481"/>
      <c r="Z29" s="1261" t="str">
        <f t="shared" ref="Z29:Z47" si="15">Q29</f>
        <v>项目内外</v>
      </c>
      <c r="AA29" s="1261">
        <f t="shared" si="3"/>
        <v>1</v>
      </c>
      <c r="AB29" s="1261">
        <f t="shared" si="4"/>
        <v>1</v>
      </c>
      <c r="AC29" s="1809">
        <f t="shared" si="5"/>
        <v>1</v>
      </c>
    </row>
    <row r="30" spans="1:29" ht="15">
      <c r="A30" s="367"/>
      <c r="B30" s="3152"/>
      <c r="C30" s="3158"/>
      <c r="D30" s="374">
        <v>100</v>
      </c>
      <c r="E30" s="3158"/>
      <c r="F30" s="374">
        <f>SUMIF(95:95,E30,96:96)-SUMIF(95:95,C30,96:96)+100</f>
        <v>100</v>
      </c>
      <c r="G30" s="3158"/>
      <c r="H30" s="374">
        <f>SUMIF(95:95,G30,96:96)-SUMIF(95:95,C30,96:96)+100</f>
        <v>100</v>
      </c>
      <c r="I30" s="3158"/>
      <c r="J30" s="374">
        <f>SUMIF(95:95,I30,96:96)-SUMIF(95:95,C30,96:96)+100</f>
        <v>100</v>
      </c>
      <c r="K30" s="539"/>
      <c r="L30" s="2488"/>
      <c r="M30" s="2483"/>
      <c r="N30" s="2483"/>
      <c r="O30" s="2483"/>
      <c r="P30" s="3488"/>
      <c r="Q30" s="1260">
        <f t="shared" si="11"/>
        <v>0</v>
      </c>
      <c r="R30" s="663" t="s">
        <v>14</v>
      </c>
      <c r="S30" s="664">
        <f t="shared" si="12"/>
        <v>100</v>
      </c>
      <c r="T30" s="663" t="s">
        <v>14</v>
      </c>
      <c r="U30" s="664">
        <f t="shared" si="13"/>
        <v>100</v>
      </c>
      <c r="V30" s="663" t="s">
        <v>14</v>
      </c>
      <c r="W30" s="664">
        <f t="shared" si="14"/>
        <v>100</v>
      </c>
      <c r="X30" s="1262"/>
      <c r="Y30" s="3481"/>
      <c r="Z30" s="1261">
        <f t="shared" si="15"/>
        <v>0</v>
      </c>
      <c r="AA30" s="1261">
        <f t="shared" si="3"/>
        <v>1</v>
      </c>
      <c r="AB30" s="1261">
        <f t="shared" si="4"/>
        <v>1</v>
      </c>
      <c r="AC30" s="1809">
        <f t="shared" si="5"/>
        <v>1</v>
      </c>
    </row>
    <row r="31" spans="1:29" ht="15">
      <c r="A31" s="367"/>
      <c r="B31" s="1096"/>
      <c r="C31" s="1759"/>
      <c r="D31" s="374">
        <v>100</v>
      </c>
      <c r="E31" s="371"/>
      <c r="F31" s="374">
        <f>SUMIF(97:97,E31,98:98)-SUMIF(97:97,C31,98:98)+100</f>
        <v>100</v>
      </c>
      <c r="G31" s="1807"/>
      <c r="H31" s="374">
        <f>SUMIF(97:97,G31,98:98)-SUMIF(97:97,C31,98:98)+100</f>
        <v>100</v>
      </c>
      <c r="I31" s="371"/>
      <c r="J31" s="374">
        <f>SUMIF(97:97,I31,98:98)-SUMIF(97:97,C31,98:98)+100</f>
        <v>100</v>
      </c>
      <c r="K31" s="539"/>
      <c r="L31" s="2488"/>
      <c r="M31" s="2483"/>
      <c r="N31" s="2483"/>
      <c r="O31" s="2483"/>
      <c r="P31" s="3488"/>
      <c r="Q31" s="1260">
        <f t="shared" si="11"/>
        <v>0</v>
      </c>
      <c r="R31" s="663" t="s">
        <v>14</v>
      </c>
      <c r="S31" s="664">
        <f t="shared" si="12"/>
        <v>100</v>
      </c>
      <c r="T31" s="663" t="s">
        <v>14</v>
      </c>
      <c r="U31" s="664">
        <f t="shared" si="13"/>
        <v>100</v>
      </c>
      <c r="V31" s="663" t="s">
        <v>14</v>
      </c>
      <c r="W31" s="664">
        <f t="shared" si="14"/>
        <v>100</v>
      </c>
      <c r="X31" s="1262"/>
      <c r="Y31" s="3481"/>
      <c r="Z31" s="1261">
        <f t="shared" si="15"/>
        <v>0</v>
      </c>
      <c r="AA31" s="1261">
        <f t="shared" si="3"/>
        <v>1</v>
      </c>
      <c r="AB31" s="1261">
        <f t="shared" si="4"/>
        <v>1</v>
      </c>
      <c r="AC31" s="1809">
        <f t="shared" si="5"/>
        <v>1</v>
      </c>
    </row>
    <row r="32" spans="1:29" ht="15.75" thickBot="1">
      <c r="A32" s="375"/>
      <c r="B32" s="558"/>
      <c r="C32" s="1760"/>
      <c r="D32" s="377">
        <v>100</v>
      </c>
      <c r="E32" s="552"/>
      <c r="F32" s="377">
        <f>SUMIF(99:99,E32,100:100)-SUMIF(99:99,C32,100:100)+100</f>
        <v>100</v>
      </c>
      <c r="G32" s="1807"/>
      <c r="H32" s="377">
        <f>SUMIF(99:99,G32,100:100)-SUMIF(99:99,C32,100:100)+100</f>
        <v>100</v>
      </c>
      <c r="I32" s="371"/>
      <c r="J32" s="377">
        <f>SUMIF(99:99,I32,100:100)-SUMIF(99:99,C32,100:100)+100</f>
        <v>100</v>
      </c>
      <c r="K32" s="539"/>
      <c r="L32" s="2488"/>
      <c r="M32" s="2483"/>
      <c r="N32" s="2483"/>
      <c r="O32" s="2483"/>
      <c r="P32" s="3488"/>
      <c r="Q32" s="1260">
        <f t="shared" si="11"/>
        <v>0</v>
      </c>
      <c r="R32" s="663" t="s">
        <v>14</v>
      </c>
      <c r="S32" s="664">
        <f t="shared" si="12"/>
        <v>100</v>
      </c>
      <c r="T32" s="663" t="s">
        <v>14</v>
      </c>
      <c r="U32" s="664">
        <f t="shared" si="13"/>
        <v>100</v>
      </c>
      <c r="V32" s="663" t="s">
        <v>14</v>
      </c>
      <c r="W32" s="664">
        <f t="shared" si="14"/>
        <v>100</v>
      </c>
      <c r="X32" s="1262"/>
      <c r="Y32" s="3481"/>
      <c r="Z32" s="1261">
        <f t="shared" si="15"/>
        <v>0</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8"/>
      <c r="M33" s="2483"/>
      <c r="N33" s="2483"/>
      <c r="O33" s="2483"/>
      <c r="P33" s="3482" t="s">
        <v>1696</v>
      </c>
      <c r="Q33" s="1260" t="str">
        <f t="shared" si="11"/>
        <v>建筑类型</v>
      </c>
      <c r="R33" s="663" t="s">
        <v>14</v>
      </c>
      <c r="S33" s="664">
        <f t="shared" si="12"/>
        <v>100</v>
      </c>
      <c r="T33" s="663" t="s">
        <v>14</v>
      </c>
      <c r="U33" s="664">
        <f t="shared" si="13"/>
        <v>100</v>
      </c>
      <c r="V33" s="663" t="s">
        <v>14</v>
      </c>
      <c r="W33" s="664">
        <f t="shared" si="14"/>
        <v>100</v>
      </c>
      <c r="X33" s="1262"/>
      <c r="Y33" s="3485" t="s">
        <v>1696</v>
      </c>
      <c r="Z33" s="1261" t="str">
        <f t="shared" si="15"/>
        <v>建筑类型</v>
      </c>
      <c r="AA33" s="1261">
        <f t="shared" si="3"/>
        <v>1</v>
      </c>
      <c r="AB33" s="1261">
        <f t="shared" si="4"/>
        <v>1</v>
      </c>
      <c r="AC33" s="1809">
        <f t="shared" si="5"/>
        <v>1</v>
      </c>
    </row>
    <row r="34" spans="1:29" s="408" customFormat="1" ht="15">
      <c r="A34" s="406"/>
      <c r="B34" s="364" t="s">
        <v>1697</v>
      </c>
      <c r="C34" s="407">
        <f>Sheet1!F3</f>
        <v>4943.55</v>
      </c>
      <c r="D34" s="119">
        <v>100</v>
      </c>
      <c r="E34" s="369">
        <v>1500</v>
      </c>
      <c r="F34" s="364">
        <f>LOOKUP(E34,104:104,105:105)-LOOKUP(C34,104:104,105:105)+100</f>
        <v>102</v>
      </c>
      <c r="G34" s="368">
        <v>1000</v>
      </c>
      <c r="H34" s="119">
        <f>LOOKUP(G34,104:104,105:105)-LOOKUP(C34,104:104,105:105)+100</f>
        <v>102</v>
      </c>
      <c r="I34" s="368">
        <v>1039.03</v>
      </c>
      <c r="J34" s="119">
        <f>LOOKUP(I34,104:104,105:105)-LOOKUP(C34,104:104,105:105)+100</f>
        <v>102</v>
      </c>
      <c r="K34" s="539"/>
      <c r="L34" s="2487"/>
      <c r="M34" s="2489"/>
      <c r="N34" s="2489"/>
      <c r="O34" s="2489"/>
      <c r="P34" s="3483"/>
      <c r="Q34" s="531" t="str">
        <f t="shared" si="11"/>
        <v>项目建筑规模</v>
      </c>
      <c r="R34" s="665" t="s">
        <v>14</v>
      </c>
      <c r="S34" s="666">
        <f t="shared" si="12"/>
        <v>102</v>
      </c>
      <c r="T34" s="665" t="s">
        <v>14</v>
      </c>
      <c r="U34" s="666">
        <f t="shared" si="13"/>
        <v>102</v>
      </c>
      <c r="V34" s="665" t="s">
        <v>14</v>
      </c>
      <c r="W34" s="666">
        <f t="shared" si="14"/>
        <v>102</v>
      </c>
      <c r="X34" s="667"/>
      <c r="Y34" s="3485"/>
      <c r="Z34" s="668" t="str">
        <f t="shared" si="15"/>
        <v>项目建筑规模</v>
      </c>
      <c r="AA34" s="1261">
        <f t="shared" si="3"/>
        <v>0.98039215686274506</v>
      </c>
      <c r="AB34" s="1261">
        <f t="shared" si="4"/>
        <v>0.98039215686274506</v>
      </c>
      <c r="AC34" s="1809">
        <f t="shared" si="5"/>
        <v>0.98039215686274506</v>
      </c>
    </row>
    <row r="35" spans="1:29" ht="15">
      <c r="A35" s="409"/>
      <c r="B35" s="364" t="s">
        <v>1698</v>
      </c>
      <c r="C35" s="399" t="s">
        <v>3490</v>
      </c>
      <c r="D35" s="374">
        <v>100</v>
      </c>
      <c r="E35" s="399" t="s">
        <v>3490</v>
      </c>
      <c r="F35" s="400">
        <f>SUMIF(106:106,E35,107:107)-SUMIF(106:106,C35,107:107)+100</f>
        <v>100</v>
      </c>
      <c r="G35" s="399" t="s">
        <v>3490</v>
      </c>
      <c r="H35" s="374">
        <f>SUMIF(106:106,G35,107:107)-SUMIF(106:106,C35,107:107)+100</f>
        <v>100</v>
      </c>
      <c r="I35" s="399" t="s">
        <v>3490</v>
      </c>
      <c r="J35" s="374">
        <f>SUMIF(106:106,I35,107:107)-SUMIF(106:106,C35,107:107)+100</f>
        <v>100</v>
      </c>
      <c r="K35" s="538">
        <v>2</v>
      </c>
      <c r="L35" s="2488"/>
      <c r="M35" s="2483"/>
      <c r="N35" s="2483"/>
      <c r="O35" s="2483"/>
      <c r="P35" s="3483"/>
      <c r="Q35" s="1260" t="str">
        <f t="shared" si="11"/>
        <v>建筑结构</v>
      </c>
      <c r="R35" s="663" t="s">
        <v>14</v>
      </c>
      <c r="S35" s="664">
        <f t="shared" si="12"/>
        <v>100</v>
      </c>
      <c r="T35" s="663" t="s">
        <v>14</v>
      </c>
      <c r="U35" s="664">
        <f t="shared" si="13"/>
        <v>100</v>
      </c>
      <c r="V35" s="663" t="s">
        <v>14</v>
      </c>
      <c r="W35" s="664">
        <f t="shared" si="14"/>
        <v>100</v>
      </c>
      <c r="X35" s="1262"/>
      <c r="Y35" s="3485"/>
      <c r="Z35" s="1261" t="str">
        <f t="shared" si="15"/>
        <v>建筑结构</v>
      </c>
      <c r="AA35" s="1261">
        <f t="shared" si="3"/>
        <v>1</v>
      </c>
      <c r="AB35" s="1261">
        <f t="shared" si="4"/>
        <v>1</v>
      </c>
      <c r="AC35" s="1809">
        <f t="shared" si="5"/>
        <v>1</v>
      </c>
    </row>
    <row r="36" spans="1:29" ht="15">
      <c r="A36" s="409"/>
      <c r="B36" s="364" t="s">
        <v>1785</v>
      </c>
      <c r="C36" s="399" t="s">
        <v>3494</v>
      </c>
      <c r="D36" s="374">
        <v>100</v>
      </c>
      <c r="E36" s="399" t="s">
        <v>3494</v>
      </c>
      <c r="F36" s="400">
        <f>SUMIF(108:108,E36,109:109)-SUMIF(108:108,C36,109:109)+100</f>
        <v>100</v>
      </c>
      <c r="G36" s="399" t="s">
        <v>3494</v>
      </c>
      <c r="H36" s="374">
        <f>SUMIF(108:108,G36,109:109)-SUMIF(108:108,C36,109:109)+100</f>
        <v>100</v>
      </c>
      <c r="I36" s="399" t="s">
        <v>3494</v>
      </c>
      <c r="J36" s="374">
        <f>SUMIF(108:108,I36,109:109)-SUMIF(108:108,C36,109:109)+100</f>
        <v>100</v>
      </c>
      <c r="K36" s="538">
        <v>2</v>
      </c>
      <c r="L36" s="2488"/>
      <c r="M36" s="2483"/>
      <c r="N36" s="2483"/>
      <c r="O36" s="2483"/>
      <c r="P36" s="3483"/>
      <c r="Q36" s="1260" t="str">
        <f t="shared" si="11"/>
        <v>公共部分装修</v>
      </c>
      <c r="R36" s="663" t="s">
        <v>14</v>
      </c>
      <c r="S36" s="664">
        <f t="shared" si="12"/>
        <v>100</v>
      </c>
      <c r="T36" s="663" t="s">
        <v>14</v>
      </c>
      <c r="U36" s="664">
        <f t="shared" si="13"/>
        <v>100</v>
      </c>
      <c r="V36" s="663" t="s">
        <v>14</v>
      </c>
      <c r="W36" s="664">
        <f t="shared" si="14"/>
        <v>100</v>
      </c>
      <c r="X36" s="1262"/>
      <c r="Y36" s="3485"/>
      <c r="Z36" s="1261" t="str">
        <f t="shared" si="15"/>
        <v>公共部分装修</v>
      </c>
      <c r="AA36" s="1261">
        <f t="shared" si="3"/>
        <v>1</v>
      </c>
      <c r="AB36" s="1261">
        <f t="shared" si="4"/>
        <v>1</v>
      </c>
      <c r="AC36" s="1809">
        <f t="shared" si="5"/>
        <v>1</v>
      </c>
    </row>
    <row r="37" spans="1:29" ht="15">
      <c r="A37" s="409"/>
      <c r="B37" s="364" t="s">
        <v>1786</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v>0</v>
      </c>
      <c r="L37" s="2488"/>
      <c r="M37" s="2483"/>
      <c r="N37" s="2483"/>
      <c r="O37" s="2483"/>
      <c r="P37" s="3483"/>
      <c r="Q37" s="1260" t="str">
        <f t="shared" si="11"/>
        <v>成新度</v>
      </c>
      <c r="R37" s="663" t="s">
        <v>14</v>
      </c>
      <c r="S37" s="664">
        <f t="shared" si="12"/>
        <v>100</v>
      </c>
      <c r="T37" s="663" t="s">
        <v>14</v>
      </c>
      <c r="U37" s="664">
        <f t="shared" si="13"/>
        <v>100</v>
      </c>
      <c r="V37" s="663" t="s">
        <v>14</v>
      </c>
      <c r="W37" s="664">
        <f t="shared" si="14"/>
        <v>100</v>
      </c>
      <c r="X37" s="1262"/>
      <c r="Y37" s="3485"/>
      <c r="Z37" s="1261" t="str">
        <f t="shared" si="15"/>
        <v>成新度</v>
      </c>
      <c r="AA37" s="1261">
        <f t="shared" si="3"/>
        <v>1</v>
      </c>
      <c r="AB37" s="1261">
        <f t="shared" si="4"/>
        <v>1</v>
      </c>
      <c r="AC37" s="1809">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3</v>
      </c>
      <c r="L38" s="2484"/>
      <c r="M38" s="2435"/>
      <c r="N38" s="2435"/>
      <c r="O38" s="2435"/>
      <c r="P38" s="3483"/>
      <c r="Q38" s="530" t="str">
        <f t="shared" si="11"/>
        <v>写字楼等级</v>
      </c>
      <c r="R38" s="660" t="s">
        <v>14</v>
      </c>
      <c r="S38" s="661">
        <f t="shared" si="12"/>
        <v>100</v>
      </c>
      <c r="T38" s="660" t="s">
        <v>14</v>
      </c>
      <c r="U38" s="661">
        <f t="shared" si="13"/>
        <v>100</v>
      </c>
      <c r="V38" s="660" t="s">
        <v>14</v>
      </c>
      <c r="W38" s="661">
        <f t="shared" si="14"/>
        <v>100</v>
      </c>
      <c r="X38" s="662"/>
      <c r="Y38" s="3485"/>
      <c r="Z38" s="50" t="str">
        <f t="shared" si="15"/>
        <v>写字楼等级</v>
      </c>
      <c r="AA38" s="50">
        <f t="shared" si="3"/>
        <v>1</v>
      </c>
      <c r="AB38" s="50">
        <f t="shared" si="4"/>
        <v>1</v>
      </c>
      <c r="AC38" s="798">
        <f t="shared" si="5"/>
        <v>1</v>
      </c>
    </row>
    <row r="39" spans="1:29" ht="15">
      <c r="A39" s="409"/>
      <c r="B39" s="364" t="s">
        <v>1819</v>
      </c>
      <c r="C39" s="399" t="s">
        <v>3522</v>
      </c>
      <c r="D39" s="374">
        <v>100</v>
      </c>
      <c r="E39" s="399" t="s">
        <v>3522</v>
      </c>
      <c r="F39" s="400">
        <f>SUMIF(115:115,E39,116:116)-SUMIF(115:115,C39,116:116)+100</f>
        <v>100</v>
      </c>
      <c r="G39" s="399" t="s">
        <v>3522</v>
      </c>
      <c r="H39" s="374">
        <f>SUMIF(115:115,G39,116:116)-SUMIF(115:115,C39,116:116)+100</f>
        <v>100</v>
      </c>
      <c r="I39" s="399" t="s">
        <v>3522</v>
      </c>
      <c r="J39" s="374">
        <f>SUMIF(115:115,I39,116:116)-SUMIF(115:115,C39,116:116)+100</f>
        <v>100</v>
      </c>
      <c r="K39" s="538">
        <v>2</v>
      </c>
      <c r="L39" s="2488"/>
      <c r="M39" s="2483"/>
      <c r="N39" s="2483"/>
      <c r="O39" s="2483"/>
      <c r="P39" s="3483" t="s">
        <v>1696</v>
      </c>
      <c r="Q39" s="1260" t="str">
        <f t="shared" si="11"/>
        <v>物业管理</v>
      </c>
      <c r="R39" s="663" t="s">
        <v>14</v>
      </c>
      <c r="S39" s="664">
        <f t="shared" si="12"/>
        <v>100</v>
      </c>
      <c r="T39" s="663" t="s">
        <v>14</v>
      </c>
      <c r="U39" s="664">
        <f t="shared" si="13"/>
        <v>100</v>
      </c>
      <c r="V39" s="663" t="s">
        <v>14</v>
      </c>
      <c r="W39" s="664">
        <f t="shared" si="14"/>
        <v>100</v>
      </c>
      <c r="X39" s="1262"/>
      <c r="Y39" s="3485" t="s">
        <v>1696</v>
      </c>
      <c r="Z39" s="1261" t="str">
        <f t="shared" si="15"/>
        <v>物业管理</v>
      </c>
      <c r="AA39" s="1261">
        <f t="shared" si="3"/>
        <v>1</v>
      </c>
      <c r="AB39" s="1261">
        <f t="shared" si="4"/>
        <v>1</v>
      </c>
      <c r="AC39" s="1809">
        <f t="shared" si="5"/>
        <v>1</v>
      </c>
    </row>
    <row r="40" spans="1:29" ht="15">
      <c r="A40" s="409"/>
      <c r="B40" s="364" t="s">
        <v>1787</v>
      </c>
      <c r="C40" s="399" t="s">
        <v>3524</v>
      </c>
      <c r="D40" s="374">
        <v>100</v>
      </c>
      <c r="E40" s="399" t="s">
        <v>3524</v>
      </c>
      <c r="F40" s="400">
        <f>SUMIF(117:117,E40,118:118)-SUMIF(117:117,C40,118:118)+100</f>
        <v>100</v>
      </c>
      <c r="G40" s="399" t="s">
        <v>3524</v>
      </c>
      <c r="H40" s="374">
        <f>SUMIF(117:117,G40,118:118)-SUMIF(117:117,C40,118:118)+100</f>
        <v>100</v>
      </c>
      <c r="I40" s="399" t="s">
        <v>3524</v>
      </c>
      <c r="J40" s="374">
        <f>SUMIF(117:117,I40,118:118)-SUMIF(117:117,C40,118:118)+100</f>
        <v>100</v>
      </c>
      <c r="K40" s="538">
        <v>1</v>
      </c>
      <c r="L40" s="2488"/>
      <c r="M40" s="2483"/>
      <c r="N40" s="2483"/>
      <c r="O40" s="2483"/>
      <c r="P40" s="3483"/>
      <c r="Q40" s="1260" t="str">
        <f t="shared" si="11"/>
        <v>市政基础设施</v>
      </c>
      <c r="R40" s="663" t="s">
        <v>14</v>
      </c>
      <c r="S40" s="664">
        <f t="shared" si="12"/>
        <v>100</v>
      </c>
      <c r="T40" s="663" t="s">
        <v>14</v>
      </c>
      <c r="U40" s="664">
        <f t="shared" si="13"/>
        <v>100</v>
      </c>
      <c r="V40" s="663" t="s">
        <v>14</v>
      </c>
      <c r="W40" s="664">
        <f t="shared" si="14"/>
        <v>100</v>
      </c>
      <c r="X40" s="1262"/>
      <c r="Y40" s="3485"/>
      <c r="Z40" s="1261" t="str">
        <f t="shared" si="15"/>
        <v>市政基础设施</v>
      </c>
      <c r="AA40" s="1261">
        <f t="shared" si="3"/>
        <v>1</v>
      </c>
      <c r="AB40" s="1261">
        <f t="shared" si="4"/>
        <v>1</v>
      </c>
      <c r="AC40" s="1809">
        <f t="shared" si="5"/>
        <v>1</v>
      </c>
    </row>
    <row r="41" spans="1:29" ht="15">
      <c r="A41" s="409"/>
      <c r="B41" s="364" t="s">
        <v>1789</v>
      </c>
      <c r="C41" s="542" t="s">
        <v>3481</v>
      </c>
      <c r="D41" s="374">
        <v>100</v>
      </c>
      <c r="E41" s="542" t="s">
        <v>3481</v>
      </c>
      <c r="F41" s="400">
        <f>SUMIF(119:119,E41,120:120)-SUMIF(119:119,C41,120:120)+100</f>
        <v>100</v>
      </c>
      <c r="G41" s="542" t="s">
        <v>3481</v>
      </c>
      <c r="H41" s="374">
        <f>SUMIF(119:119,G41,120:120)-SUMIF(119:119,C41,120:120)+100</f>
        <v>100</v>
      </c>
      <c r="I41" s="542" t="s">
        <v>3481</v>
      </c>
      <c r="J41" s="374">
        <f>SUMIF(119:119,I41,120:120)-SUMIF(119:119,C41,120:120)+100</f>
        <v>100</v>
      </c>
      <c r="K41" s="538">
        <v>2</v>
      </c>
      <c r="L41" s="2488"/>
      <c r="M41" s="2483"/>
      <c r="N41" s="2483"/>
      <c r="O41" s="2483"/>
      <c r="P41" s="3483"/>
      <c r="Q41" s="1260" t="str">
        <f t="shared" si="11"/>
        <v>层高</v>
      </c>
      <c r="R41" s="663" t="s">
        <v>14</v>
      </c>
      <c r="S41" s="664">
        <f t="shared" si="12"/>
        <v>100</v>
      </c>
      <c r="T41" s="663" t="s">
        <v>14</v>
      </c>
      <c r="U41" s="664">
        <f t="shared" si="13"/>
        <v>100</v>
      </c>
      <c r="V41" s="663" t="s">
        <v>14</v>
      </c>
      <c r="W41" s="664">
        <f t="shared" si="14"/>
        <v>100</v>
      </c>
      <c r="X41" s="1262"/>
      <c r="Y41" s="3485"/>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83"/>
      <c r="Q42" s="531" t="str">
        <f t="shared" si="11"/>
        <v>单套建筑面积</v>
      </c>
      <c r="R42" s="665" t="s">
        <v>14</v>
      </c>
      <c r="S42" s="666">
        <f t="shared" si="12"/>
        <v>100</v>
      </c>
      <c r="T42" s="665" t="s">
        <v>14</v>
      </c>
      <c r="U42" s="666">
        <f t="shared" si="13"/>
        <v>100</v>
      </c>
      <c r="V42" s="665" t="s">
        <v>14</v>
      </c>
      <c r="W42" s="666">
        <f t="shared" si="14"/>
        <v>100</v>
      </c>
      <c r="X42" s="667"/>
      <c r="Y42" s="3485"/>
      <c r="Z42" s="668" t="str">
        <f t="shared" si="15"/>
        <v>单套建筑面积</v>
      </c>
      <c r="AA42" s="1261">
        <f t="shared" si="3"/>
        <v>1</v>
      </c>
      <c r="AB42" s="1261">
        <f t="shared" si="4"/>
        <v>1</v>
      </c>
      <c r="AC42" s="1809">
        <f t="shared" si="5"/>
        <v>1</v>
      </c>
    </row>
    <row r="43" spans="1:29" ht="15">
      <c r="A43" s="409"/>
      <c r="B43" s="364" t="s">
        <v>1792</v>
      </c>
      <c r="C43" s="399" t="s">
        <v>3497</v>
      </c>
      <c r="D43" s="374">
        <v>100</v>
      </c>
      <c r="E43" s="399" t="s">
        <v>3495</v>
      </c>
      <c r="F43" s="400">
        <f>SUMIF(123:123,E43,124:124)-SUMIF(123:123,C43,124:124)+100</f>
        <v>104</v>
      </c>
      <c r="G43" s="399" t="s">
        <v>3495</v>
      </c>
      <c r="H43" s="374">
        <f>SUMIF(123:123,G43,124:124)-SUMIF(123:123,C43,124:124)+100</f>
        <v>104</v>
      </c>
      <c r="I43" s="399" t="s">
        <v>3495</v>
      </c>
      <c r="J43" s="374">
        <f>SUMIF(123:123,I43,124:124)-SUMIF(123:123,C43,124:124)+100</f>
        <v>104</v>
      </c>
      <c r="K43" s="538">
        <v>2</v>
      </c>
      <c r="L43" s="2488"/>
      <c r="M43" s="2483"/>
      <c r="N43" s="2483"/>
      <c r="O43" s="2483"/>
      <c r="P43" s="3483"/>
      <c r="Q43" s="1260" t="str">
        <f t="shared" si="11"/>
        <v>内部装修</v>
      </c>
      <c r="R43" s="663" t="s">
        <v>14</v>
      </c>
      <c r="S43" s="664">
        <f t="shared" si="12"/>
        <v>104</v>
      </c>
      <c r="T43" s="663" t="s">
        <v>14</v>
      </c>
      <c r="U43" s="664">
        <f t="shared" si="13"/>
        <v>104</v>
      </c>
      <c r="V43" s="663" t="s">
        <v>14</v>
      </c>
      <c r="W43" s="664">
        <f t="shared" si="14"/>
        <v>104</v>
      </c>
      <c r="X43" s="1262"/>
      <c r="Y43" s="3485"/>
      <c r="Z43" s="1261" t="str">
        <f t="shared" si="15"/>
        <v>内部装修</v>
      </c>
      <c r="AA43" s="1261">
        <f t="shared" si="3"/>
        <v>0.96153846153846156</v>
      </c>
      <c r="AB43" s="1261">
        <f t="shared" si="4"/>
        <v>0.96153846153846156</v>
      </c>
      <c r="AC43" s="1809">
        <f t="shared" si="5"/>
        <v>0.96153846153846156</v>
      </c>
    </row>
    <row r="44" spans="1:29" ht="15">
      <c r="A44" s="409"/>
      <c r="B44" s="364" t="s">
        <v>1707</v>
      </c>
      <c r="C44" s="399" t="s">
        <v>3459</v>
      </c>
      <c r="D44" s="374">
        <v>100</v>
      </c>
      <c r="E44" s="399" t="s">
        <v>3459</v>
      </c>
      <c r="F44" s="400">
        <f>SUMIF(125:125,E44,126:126)-SUMIF(125:125,C44,126:126)+100</f>
        <v>100</v>
      </c>
      <c r="G44" s="399" t="s">
        <v>3459</v>
      </c>
      <c r="H44" s="374">
        <f>SUMIF(125:125,G44,126:126)-SUMIF(125:125,C44,126:126)+100</f>
        <v>100</v>
      </c>
      <c r="I44" s="399" t="s">
        <v>3459</v>
      </c>
      <c r="J44" s="374">
        <f>SUMIF(125:125,I44,126:126)-SUMIF(125:125,C44,126:126)+100</f>
        <v>100</v>
      </c>
      <c r="K44" s="538">
        <v>2</v>
      </c>
      <c r="L44" s="2488"/>
      <c r="M44" s="2483"/>
      <c r="N44" s="2483"/>
      <c r="O44" s="2483"/>
      <c r="P44" s="3483"/>
      <c r="Q44" s="1260" t="str">
        <f t="shared" si="11"/>
        <v>内部装修维护情况</v>
      </c>
      <c r="R44" s="663" t="s">
        <v>14</v>
      </c>
      <c r="S44" s="664">
        <f t="shared" si="12"/>
        <v>100</v>
      </c>
      <c r="T44" s="663" t="s">
        <v>14</v>
      </c>
      <c r="U44" s="664">
        <f t="shared" si="13"/>
        <v>100</v>
      </c>
      <c r="V44" s="663" t="s">
        <v>14</v>
      </c>
      <c r="W44" s="664">
        <f t="shared" si="14"/>
        <v>100</v>
      </c>
      <c r="X44" s="1262"/>
      <c r="Y44" s="3485"/>
      <c r="Z44" s="1261" t="str">
        <f t="shared" si="15"/>
        <v>内部装修维护情况</v>
      </c>
      <c r="AA44" s="1261">
        <f t="shared" si="3"/>
        <v>1</v>
      </c>
      <c r="AB44" s="1261">
        <f t="shared" si="4"/>
        <v>1</v>
      </c>
      <c r="AC44" s="1809">
        <f t="shared" si="5"/>
        <v>1</v>
      </c>
    </row>
    <row r="45" spans="1:29" s="102" customFormat="1" ht="15">
      <c r="A45" s="410"/>
      <c r="B45" s="3188" t="s">
        <v>3645</v>
      </c>
      <c r="C45" s="3189" t="s">
        <v>3646</v>
      </c>
      <c r="D45" s="119">
        <v>100</v>
      </c>
      <c r="E45" s="3189" t="s">
        <v>3646</v>
      </c>
      <c r="F45" s="364">
        <f>SUMIF(127:127,E45,128:128)-SUMIF(127:127,C45,128:128)+100</f>
        <v>100</v>
      </c>
      <c r="G45" s="3189" t="s">
        <v>3646</v>
      </c>
      <c r="H45" s="119">
        <f>SUMIF(127:127,G45,128:128)-SUMIF(127:127,C45,128:128)+100</f>
        <v>100</v>
      </c>
      <c r="I45" s="3189" t="s">
        <v>3646</v>
      </c>
      <c r="J45" s="119">
        <f>SUMIF(127:127,I45,128:128)-SUMIF(127:127,C45,128:128)+100</f>
        <v>100</v>
      </c>
      <c r="K45" s="539"/>
      <c r="L45" s="2484"/>
      <c r="M45" s="2435"/>
      <c r="N45" s="2435"/>
      <c r="O45" s="2435"/>
      <c r="P45" s="3483"/>
      <c r="Q45" s="530" t="str">
        <f t="shared" si="11"/>
        <v>现状利用受限</v>
      </c>
      <c r="R45" s="660" t="s">
        <v>14</v>
      </c>
      <c r="S45" s="661">
        <f t="shared" si="12"/>
        <v>100</v>
      </c>
      <c r="T45" s="660" t="s">
        <v>14</v>
      </c>
      <c r="U45" s="661">
        <f t="shared" si="13"/>
        <v>100</v>
      </c>
      <c r="V45" s="660" t="s">
        <v>14</v>
      </c>
      <c r="W45" s="661">
        <f t="shared" si="14"/>
        <v>100</v>
      </c>
      <c r="X45" s="662"/>
      <c r="Y45" s="3485"/>
      <c r="Z45" s="50" t="str">
        <f t="shared" si="15"/>
        <v>现状利用受限</v>
      </c>
      <c r="AA45" s="50">
        <f t="shared" si="3"/>
        <v>1</v>
      </c>
      <c r="AB45" s="50">
        <f t="shared" si="4"/>
        <v>1</v>
      </c>
      <c r="AC45" s="798">
        <f t="shared" si="5"/>
        <v>1</v>
      </c>
    </row>
    <row r="46" spans="1:29" ht="15">
      <c r="A46" s="409"/>
      <c r="B46" s="1063"/>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83"/>
      <c r="Q46" s="1260">
        <f t="shared" si="11"/>
        <v>0</v>
      </c>
      <c r="R46" s="663" t="s">
        <v>14</v>
      </c>
      <c r="S46" s="664">
        <f t="shared" si="12"/>
        <v>100</v>
      </c>
      <c r="T46" s="663" t="s">
        <v>14</v>
      </c>
      <c r="U46" s="664">
        <f t="shared" si="13"/>
        <v>100</v>
      </c>
      <c r="V46" s="663" t="s">
        <v>14</v>
      </c>
      <c r="W46" s="664">
        <f t="shared" si="14"/>
        <v>100</v>
      </c>
      <c r="X46" s="1262"/>
      <c r="Y46" s="3485"/>
      <c r="Z46" s="1261">
        <f t="shared" si="15"/>
        <v>0</v>
      </c>
      <c r="AA46" s="1261">
        <f t="shared" si="3"/>
        <v>1</v>
      </c>
      <c r="AB46" s="1261">
        <f t="shared" si="4"/>
        <v>1</v>
      </c>
      <c r="AC46" s="1809">
        <f t="shared" si="5"/>
        <v>1</v>
      </c>
    </row>
    <row r="47" spans="1:29" ht="15.75" thickBot="1">
      <c r="A47" s="415"/>
      <c r="B47" s="1746"/>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84"/>
      <c r="Q47" s="1260">
        <f t="shared" si="11"/>
        <v>0</v>
      </c>
      <c r="R47" s="663" t="s">
        <v>14</v>
      </c>
      <c r="S47" s="664">
        <f t="shared" si="12"/>
        <v>100</v>
      </c>
      <c r="T47" s="663" t="s">
        <v>14</v>
      </c>
      <c r="U47" s="664">
        <f t="shared" si="13"/>
        <v>100</v>
      </c>
      <c r="V47" s="663" t="s">
        <v>14</v>
      </c>
      <c r="W47" s="664">
        <f t="shared" si="14"/>
        <v>100</v>
      </c>
      <c r="X47" s="1262"/>
      <c r="Y47" s="3486"/>
      <c r="Z47" s="1261">
        <f t="shared" si="15"/>
        <v>0</v>
      </c>
      <c r="AA47" s="1261">
        <f t="shared" si="3"/>
        <v>1</v>
      </c>
      <c r="AB47" s="1261">
        <f t="shared" si="4"/>
        <v>1</v>
      </c>
      <c r="AC47" s="1809">
        <f t="shared" si="5"/>
        <v>1</v>
      </c>
    </row>
    <row r="48" spans="1:29" ht="15">
      <c r="A48" s="416" t="s">
        <v>1708</v>
      </c>
      <c r="B48" s="417"/>
      <c r="C48" s="1078" t="s">
        <v>0</v>
      </c>
      <c r="D48" s="418"/>
      <c r="E48" s="419">
        <v>1.9</v>
      </c>
      <c r="F48" s="420"/>
      <c r="G48" s="421">
        <v>1.96</v>
      </c>
      <c r="H48" s="422"/>
      <c r="I48" s="419">
        <v>2</v>
      </c>
      <c r="J48" s="422"/>
      <c r="K48" s="670"/>
      <c r="L48" s="2490"/>
      <c r="M48" s="2483"/>
      <c r="N48" s="2483"/>
      <c r="O48" s="2483"/>
      <c r="P48" s="3489" t="str">
        <f>A48</f>
        <v>成交单价（元/平方米）</v>
      </c>
      <c r="Q48" s="3478"/>
      <c r="R48" s="3479">
        <f>E48</f>
        <v>1.9</v>
      </c>
      <c r="S48" s="3479"/>
      <c r="T48" s="3479">
        <f>G48</f>
        <v>1.96</v>
      </c>
      <c r="U48" s="3479"/>
      <c r="V48" s="3479">
        <f>I48</f>
        <v>2</v>
      </c>
      <c r="W48" s="3479"/>
      <c r="X48" s="385"/>
      <c r="Y48" s="669"/>
      <c r="Z48" s="385"/>
      <c r="AA48" s="385"/>
      <c r="AB48" s="385"/>
      <c r="AC48" s="554"/>
    </row>
    <row r="49" spans="1:29" ht="15.75" thickBot="1">
      <c r="A49" s="423" t="s">
        <v>1793</v>
      </c>
      <c r="B49" s="424"/>
      <c r="C49" s="1079">
        <f>R50</f>
        <v>1.7</v>
      </c>
      <c r="D49" s="2138" t="s">
        <v>2135</v>
      </c>
      <c r="E49" s="1080">
        <f>R49</f>
        <v>1.7</v>
      </c>
      <c r="F49" s="2139"/>
      <c r="G49" s="1079">
        <f>T49</f>
        <v>1.7</v>
      </c>
      <c r="H49" s="2139"/>
      <c r="I49" s="1080">
        <f>V49</f>
        <v>1.8</v>
      </c>
      <c r="J49" s="2139"/>
      <c r="K49" s="2141">
        <f>F49+H49+J49</f>
        <v>0</v>
      </c>
      <c r="L49" s="2490"/>
      <c r="M49" s="2483"/>
      <c r="N49" s="2483"/>
      <c r="O49" s="2483"/>
      <c r="P49" s="3489" t="str">
        <f>A49</f>
        <v>比较价值（元/平方米）</v>
      </c>
      <c r="Q49" s="3478"/>
      <c r="R49" s="3479">
        <f>IF(F1="售价",ROUND(PRODUCT(R48,AA7:AA47),0),ROUND(PRODUCT(R48,AA7:AA47),1))</f>
        <v>1.7</v>
      </c>
      <c r="S49" s="3479"/>
      <c r="T49" s="3479">
        <f>IF(F1="售价",ROUND(PRODUCT(T48,AB7:AB47),0),ROUND(PRODUCT(T48,AB7:AB47),1))</f>
        <v>1.7</v>
      </c>
      <c r="U49" s="3479"/>
      <c r="V49" s="3479">
        <f>IF(F1="售价",ROUND(PRODUCT(V48,AC7:AC47),0),ROUND(PRODUCT(V48,AC7:AC47),1))</f>
        <v>1.8</v>
      </c>
      <c r="W49" s="3479"/>
      <c r="X49" s="385"/>
      <c r="Y49" s="385"/>
      <c r="Z49" s="385"/>
      <c r="AA49" s="385"/>
      <c r="AB49" s="385"/>
      <c r="AC49" s="554"/>
    </row>
    <row r="50" spans="1:29" ht="15.75" thickBot="1">
      <c r="A50" s="427" t="s">
        <v>1794</v>
      </c>
      <c r="B50" s="428"/>
      <c r="C50" s="351">
        <f>R50</f>
        <v>1.7</v>
      </c>
      <c r="D50" s="351"/>
      <c r="E50" s="351"/>
      <c r="F50" s="351"/>
      <c r="G50" s="351"/>
      <c r="H50" s="351"/>
      <c r="I50" s="351"/>
      <c r="J50" s="429"/>
      <c r="K50" s="671"/>
      <c r="L50" s="2490"/>
      <c r="M50" s="2483"/>
      <c r="N50" s="2483"/>
      <c r="O50" s="2483"/>
      <c r="P50" s="3522" t="str">
        <f>A50</f>
        <v>估价对象XX用房的比较价值（楼面单价，元/平方米）</v>
      </c>
      <c r="Q50" s="3523"/>
      <c r="R50" s="3524">
        <f>IF(F1="售价",ROUND(IF(D49="简单平均",AVERAGE(R49:V49),R49*F49+T49*H49+V49*J49),0),ROUND(IF(D49="简单平均",AVERAGE(R49:V49),R49*F49+T49*H49+V49*J49),1))</f>
        <v>1.7</v>
      </c>
      <c r="S50" s="3524"/>
      <c r="T50" s="3524"/>
      <c r="U50" s="3524"/>
      <c r="V50" s="3524"/>
      <c r="W50" s="3524"/>
      <c r="X50" s="1795"/>
      <c r="Y50" s="1795"/>
      <c r="Z50" s="1795"/>
      <c r="AA50" s="1795"/>
      <c r="AB50" s="1795"/>
      <c r="AC50" s="1796"/>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0.11764705882352944</v>
      </c>
      <c r="F53" s="435" t="str">
        <f>IF(OR(E53&gt;=0.3,E53&lt;=-0.3),"超过30%","")</f>
        <v/>
      </c>
      <c r="G53" s="434">
        <f>IF(G48&lt;G49,G49/G48-1,G48/G49-1)</f>
        <v>0.15294117647058814</v>
      </c>
      <c r="H53" s="435" t="str">
        <f>IF(OR(G53&gt;=0.3,G53&lt;=-0.3),"超过30%","")</f>
        <v/>
      </c>
      <c r="I53" s="434">
        <f>IF(I48&lt;I49,I49/I48-1,I48/I49-1)</f>
        <v>0.11111111111111116</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0</v>
      </c>
      <c r="F54" s="435" t="str">
        <f>IF(OR(E54&gt;=0.2,E54&lt;=-0.2),"超过20%","")</f>
        <v/>
      </c>
      <c r="G54" s="434">
        <f>IF(G49&lt;I49,I49/G49-1,G49/I49-1)</f>
        <v>5.8823529411764719E-2</v>
      </c>
      <c r="H54" s="435" t="str">
        <f>IF(OR(G54&gt;=0.2,G54&lt;=-0.2),"超过20%","")</f>
        <v/>
      </c>
      <c r="I54" s="434">
        <f>IF(I49&lt;E49,E49/I49-1,I49/E49-1)</f>
        <v>5.8823529411764719E-2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3.1578947368421151E-2</v>
      </c>
      <c r="F55" s="435" t="str">
        <f>IF(OR(E55&gt;=0.3,E55&lt;=-0.3),"超过30%","")</f>
        <v/>
      </c>
      <c r="G55" s="434">
        <f>IF(G48&lt;I48,I48/G48-1,G48/I48-1)</f>
        <v>2.0408163265306145E-2</v>
      </c>
      <c r="H55" s="435" t="str">
        <f>IF(OR(G55&gt;=0.3,G55&lt;=-0.3),"超过30%","")</f>
        <v/>
      </c>
      <c r="I55" s="434">
        <f>IF(I48&lt;E48,E48/I48-1,I48/E48-1)</f>
        <v>5.2631578947368363E-2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4" t="s">
        <v>1798</v>
      </c>
      <c r="B58" s="385"/>
      <c r="C58" s="655"/>
      <c r="D58" s="655"/>
      <c r="E58" s="655"/>
      <c r="F58" s="656"/>
      <c r="G58" s="656"/>
      <c r="H58" s="655"/>
      <c r="I58" s="655"/>
      <c r="J58" s="655"/>
      <c r="K58" s="657"/>
      <c r="L58" s="884"/>
      <c r="M58" s="882"/>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0" t="str">
        <f>YEAR(C7)&amp;"-"&amp;MONTH(C7)</f>
        <v>2023-10</v>
      </c>
      <c r="D59" s="1101">
        <f>EDATE(C59,-1)</f>
        <v>45170</v>
      </c>
      <c r="E59" s="1101">
        <f>EDATE(D59,-1)</f>
        <v>45139</v>
      </c>
      <c r="F59" s="1101">
        <f t="shared" ref="F59:O59" si="16">EDATE(E59,-1)</f>
        <v>45108</v>
      </c>
      <c r="G59" s="1101">
        <f t="shared" si="16"/>
        <v>45078</v>
      </c>
      <c r="H59" s="1101">
        <f t="shared" si="16"/>
        <v>45047</v>
      </c>
      <c r="I59" s="1101">
        <f t="shared" si="16"/>
        <v>45017</v>
      </c>
      <c r="J59" s="1101">
        <f t="shared" si="16"/>
        <v>44986</v>
      </c>
      <c r="K59" s="1101">
        <f t="shared" si="16"/>
        <v>44958</v>
      </c>
      <c r="L59" s="1101">
        <f t="shared" si="16"/>
        <v>44927</v>
      </c>
      <c r="M59" s="1101">
        <f t="shared" si="16"/>
        <v>44896</v>
      </c>
      <c r="N59" s="1101">
        <f t="shared" si="16"/>
        <v>44866</v>
      </c>
      <c r="O59" s="1101">
        <f t="shared" si="16"/>
        <v>44835</v>
      </c>
      <c r="P59" s="2523"/>
      <c r="Q59" s="2506"/>
      <c r="R59" s="2506"/>
      <c r="S59" s="2506"/>
      <c r="T59" s="2506"/>
      <c r="U59" s="2506"/>
      <c r="V59" s="2506"/>
      <c r="W59" s="2506"/>
      <c r="X59" s="2506"/>
      <c r="Y59" s="2506"/>
      <c r="Z59" s="2506"/>
      <c r="AA59" s="2506"/>
      <c r="AB59" s="2506"/>
      <c r="AC59" s="2506"/>
    </row>
    <row r="60" spans="1:29" s="102" customFormat="1" ht="15">
      <c r="A60" s="443"/>
      <c r="B60" s="444"/>
      <c r="C60" s="1099">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1776</v>
      </c>
      <c r="D62" s="3146" t="s">
        <v>3525</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v>102</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1719</v>
      </c>
      <c r="B64" s="460" t="s">
        <v>1685</v>
      </c>
      <c r="C64" s="461" t="str">
        <f>C9</f>
        <v>现状办公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0" t="s">
        <v>1799</v>
      </c>
      <c r="D83" s="580" t="s">
        <v>1800</v>
      </c>
      <c r="E83" s="580" t="s">
        <v>1801</v>
      </c>
      <c r="F83" s="580" t="s">
        <v>1802</v>
      </c>
      <c r="G83" s="580" t="s">
        <v>1803</v>
      </c>
      <c r="H83" s="470"/>
      <c r="I83" s="470"/>
      <c r="J83" s="470"/>
      <c r="K83" s="470"/>
      <c r="L83" s="470"/>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99</v>
      </c>
      <c r="E84" s="475">
        <f>D84-$K21</f>
        <v>98</v>
      </c>
      <c r="F84" s="475">
        <f>E84-$K21</f>
        <v>97</v>
      </c>
      <c r="G84" s="475">
        <f>F84-$K21</f>
        <v>96</v>
      </c>
      <c r="H84" s="580"/>
      <c r="I84" s="580"/>
      <c r="J84" s="580"/>
      <c r="K84" s="580"/>
      <c r="L84" s="580"/>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3148" t="s">
        <v>3464</v>
      </c>
      <c r="D87" s="3148" t="s">
        <v>3465</v>
      </c>
      <c r="E87" s="3148" t="s">
        <v>3466</v>
      </c>
      <c r="F87" s="3148" t="s">
        <v>3467</v>
      </c>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3148" t="s">
        <v>3468</v>
      </c>
      <c r="D89" s="3148" t="s">
        <v>3469</v>
      </c>
      <c r="E89" s="3148" t="s">
        <v>3470</v>
      </c>
      <c r="F89" s="1777"/>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t="str">
        <f>B29</f>
        <v>项目内外</v>
      </c>
      <c r="C93" s="3148" t="s">
        <v>3501</v>
      </c>
      <c r="D93" s="3148" t="s">
        <v>3502</v>
      </c>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v>100</v>
      </c>
      <c r="D94" s="467">
        <v>95</v>
      </c>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0</v>
      </c>
      <c r="C95" s="3150" t="s">
        <v>3482</v>
      </c>
      <c r="D95" s="3150" t="s">
        <v>3483</v>
      </c>
      <c r="E95" s="3150" t="s">
        <v>3484</v>
      </c>
      <c r="F95" s="3150" t="s">
        <v>3485</v>
      </c>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0</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0</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147" t="s">
        <v>3642</v>
      </c>
      <c r="D101" s="3147" t="s">
        <v>3643</v>
      </c>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29.25" thickTop="1">
      <c r="A103" s="367"/>
      <c r="B103" s="469" t="s">
        <v>1737</v>
      </c>
      <c r="C103" s="509" t="str">
        <f>C104&amp;"(含)"&amp;"-"&amp;D104</f>
        <v>0(含)-3000</v>
      </c>
      <c r="D103" s="509" t="str">
        <f t="shared" ref="D103:L103" si="23">D104&amp;"(含)"&amp;"-"&amp;E104</f>
        <v>3000(含)-6000</v>
      </c>
      <c r="E103" s="509" t="str">
        <f t="shared" si="23"/>
        <v>6000(含)-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3000</v>
      </c>
      <c r="E104" s="6">
        <v>6000</v>
      </c>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100</v>
      </c>
      <c r="D105" s="491">
        <f>C105-2</f>
        <v>98</v>
      </c>
      <c r="E105" s="491">
        <f>D105-2</f>
        <v>96</v>
      </c>
      <c r="F105" s="491"/>
      <c r="G105" s="491"/>
      <c r="H105" s="491"/>
      <c r="I105" s="491"/>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48" t="s">
        <v>3471</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48" t="s">
        <v>3472</v>
      </c>
      <c r="D108" s="3148" t="s">
        <v>3473</v>
      </c>
      <c r="E108" s="3148" t="s">
        <v>3474</v>
      </c>
      <c r="F108" s="3149" t="s">
        <v>3475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147" t="s">
        <v>3520</v>
      </c>
      <c r="D113" s="3147" t="s">
        <v>3521</v>
      </c>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97</v>
      </c>
      <c r="E114" s="475">
        <f t="shared" ref="E114:M114" si="27">D114-$K38</f>
        <v>94</v>
      </c>
      <c r="F114" s="475">
        <f t="shared" si="27"/>
        <v>91</v>
      </c>
      <c r="G114" s="475">
        <f t="shared" si="27"/>
        <v>88</v>
      </c>
      <c r="H114" s="475">
        <f t="shared" si="27"/>
        <v>85</v>
      </c>
      <c r="I114" s="475">
        <f t="shared" si="27"/>
        <v>82</v>
      </c>
      <c r="J114" s="475">
        <f t="shared" si="27"/>
        <v>79</v>
      </c>
      <c r="K114" s="475">
        <f t="shared" si="27"/>
        <v>76</v>
      </c>
      <c r="L114" s="475">
        <f t="shared" si="27"/>
        <v>73</v>
      </c>
      <c r="M114" s="475">
        <f t="shared" si="27"/>
        <v>70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148" t="s">
        <v>3523</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148" t="s">
        <v>3476</v>
      </c>
      <c r="D117" s="3148" t="s">
        <v>3477</v>
      </c>
      <c r="E117" s="3148" t="s">
        <v>3478</v>
      </c>
      <c r="F117" s="3148" t="s">
        <v>3479</v>
      </c>
      <c r="G117" s="3148" t="s">
        <v>3480</v>
      </c>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9" t="s">
        <v>1825</v>
      </c>
      <c r="C119" s="3150" t="s">
        <v>3498</v>
      </c>
      <c r="D119" s="3150" t="s">
        <v>3499</v>
      </c>
      <c r="E119" s="513"/>
      <c r="F119" s="513"/>
      <c r="G119" s="513"/>
      <c r="H119" s="513"/>
      <c r="I119" s="513"/>
      <c r="J119" s="513"/>
      <c r="K119" s="513"/>
      <c r="L119" s="1813"/>
      <c r="M119" s="1814"/>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48" t="s">
        <v>3472</v>
      </c>
      <c r="D123" s="3148" t="s">
        <v>3473</v>
      </c>
      <c r="E123" s="3148" t="s">
        <v>3474</v>
      </c>
      <c r="F123" s="3149" t="s">
        <v>3475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t="str">
        <f>B45</f>
        <v>现状利用受限</v>
      </c>
      <c r="C127" s="3148" t="s">
        <v>3647</v>
      </c>
      <c r="D127" s="3148" t="s">
        <v>3648</v>
      </c>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v>100</v>
      </c>
      <c r="D128" s="467">
        <v>105</v>
      </c>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0</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0</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5"/>
  <sheetViews>
    <sheetView zoomScale="90" zoomScaleNormal="90" workbookViewId="0">
      <pane ySplit="24" topLeftCell="A25" activePane="bottomLeft" state="frozen"/>
      <selection activeCell="Q72" sqref="Q72"/>
      <selection pane="bottomLeft" activeCell="D19" sqref="D19"/>
    </sheetView>
  </sheetViews>
  <sheetFormatPr defaultColWidth="9" defaultRowHeight="12.75"/>
  <cols>
    <col min="1" max="1" width="8.25" style="122" customWidth="1"/>
    <col min="2" max="2" width="10.75" style="24" customWidth="1"/>
    <col min="3" max="3" width="8.875" style="24" customWidth="1"/>
    <col min="4" max="4" width="10.625" style="24" customWidth="1"/>
    <col min="5" max="5" width="8.625" style="24" customWidth="1"/>
    <col min="6" max="6" width="9" style="24"/>
    <col min="7" max="7" width="5" style="24" customWidth="1"/>
    <col min="8" max="8" width="9" style="24"/>
    <col min="9" max="9" width="5" style="24" customWidth="1"/>
    <col min="10" max="10" width="9" style="24"/>
    <col min="11" max="11" width="7.2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0"/>
    <col min="46" max="16384" width="9" style="122"/>
  </cols>
  <sheetData>
    <row r="1" spans="1:45" ht="14.25" customHeight="1" thickBot="1">
      <c r="A1" s="138"/>
      <c r="B1" s="925" t="s">
        <v>2083</v>
      </c>
      <c r="C1" s="3540" t="s">
        <v>2084</v>
      </c>
      <c r="D1" s="3541"/>
      <c r="E1" s="3541"/>
      <c r="F1" s="3541"/>
      <c r="G1" s="3541"/>
      <c r="H1" s="3541"/>
      <c r="I1" s="3541"/>
      <c r="J1" s="3541"/>
      <c r="K1" s="3541"/>
      <c r="L1" s="3541"/>
      <c r="M1" s="3541"/>
      <c r="N1" s="3541"/>
      <c r="O1" s="3541"/>
      <c r="P1" s="3541"/>
      <c r="Q1" s="3541"/>
      <c r="R1" s="3541"/>
      <c r="S1" s="3542"/>
      <c r="T1" s="925" t="s">
        <v>2085</v>
      </c>
    </row>
    <row r="2" spans="1:45" s="624" customFormat="1" ht="25.5">
      <c r="A2" s="926"/>
      <c r="B2" s="621" t="s">
        <v>2086</v>
      </c>
      <c r="C2" s="14" t="str">
        <f t="shared" ref="C2:L2" si="0">C3&amp;"(含)"&amp;"-"&amp;D3</f>
        <v>0(含)-3000</v>
      </c>
      <c r="D2" s="622" t="str">
        <f t="shared" si="0"/>
        <v>3000(含)-6000</v>
      </c>
      <c r="E2" s="622" t="str">
        <f t="shared" si="0"/>
        <v>6000(含)-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7" t="str">
        <f>S3&amp;"(含)"&amp;"-"</f>
        <v>(含)-</v>
      </c>
      <c r="T2" s="623"/>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ht="14.25">
      <c r="A3" s="928"/>
      <c r="B3" s="625"/>
      <c r="C3" s="6">
        <f>'比较法-办公'!C104</f>
        <v>0</v>
      </c>
      <c r="D3" s="6">
        <f>'比较法-办公'!D104</f>
        <v>3000</v>
      </c>
      <c r="E3" s="6">
        <f>'比较法-办公'!E104</f>
        <v>6000</v>
      </c>
      <c r="F3" s="6"/>
      <c r="G3" s="6"/>
      <c r="H3" s="6"/>
      <c r="I3" s="6"/>
      <c r="J3" s="6"/>
      <c r="K3" s="6"/>
      <c r="L3" s="1218"/>
      <c r="M3" s="1219"/>
      <c r="N3" s="1219"/>
      <c r="O3" s="1217"/>
      <c r="P3" s="1217"/>
      <c r="Q3" s="1217"/>
      <c r="R3" s="1217"/>
      <c r="S3" s="1220"/>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5" thickBot="1">
      <c r="A4" s="929"/>
      <c r="B4" s="930"/>
      <c r="C4" s="491">
        <f>'比较法-办公'!C105</f>
        <v>100</v>
      </c>
      <c r="D4" s="491">
        <f>'比较法-办公'!D105</f>
        <v>98</v>
      </c>
      <c r="E4" s="491">
        <f>'比较法-办公'!E105</f>
        <v>96</v>
      </c>
      <c r="F4" s="491"/>
      <c r="G4" s="491"/>
      <c r="H4" s="491"/>
      <c r="I4" s="491"/>
      <c r="J4" s="491"/>
      <c r="K4" s="491"/>
      <c r="L4" s="1221"/>
      <c r="M4" s="1222"/>
      <c r="N4" s="1222"/>
      <c r="O4" s="1221"/>
      <c r="P4" s="1221"/>
      <c r="Q4" s="1221"/>
      <c r="R4" s="1221"/>
      <c r="S4" s="1223"/>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14.25" thickTop="1">
      <c r="A5" s="921"/>
      <c r="B5" s="3159" t="s">
        <v>3526</v>
      </c>
      <c r="C5" s="3150" t="s">
        <v>3494</v>
      </c>
      <c r="D5" s="3150" t="s">
        <v>3495</v>
      </c>
      <c r="E5" s="3150" t="s">
        <v>3496</v>
      </c>
      <c r="F5" s="3149" t="s">
        <v>3497</v>
      </c>
      <c r="G5" s="1224"/>
      <c r="H5" s="1224"/>
      <c r="I5" s="1224"/>
      <c r="J5" s="1224"/>
      <c r="K5" s="1224"/>
      <c r="L5" s="1225"/>
      <c r="M5" s="1226"/>
      <c r="N5" s="1226"/>
      <c r="O5" s="1224"/>
      <c r="P5" s="1224"/>
      <c r="Q5" s="1224"/>
      <c r="R5" s="1224"/>
      <c r="S5" s="1227"/>
      <c r="T5" s="939">
        <f>'比较法-办公'!K43</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98</v>
      </c>
      <c r="E6" s="845">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21"/>
      <c r="B7" s="3159"/>
      <c r="C7" s="3150"/>
      <c r="D7" s="3150"/>
      <c r="E7" s="3150"/>
      <c r="F7" s="3149"/>
      <c r="G7" s="1229"/>
      <c r="H7" s="1229"/>
      <c r="I7" s="1229"/>
      <c r="J7" s="1229"/>
      <c r="K7" s="1229"/>
      <c r="L7" s="1229"/>
      <c r="M7" s="1230"/>
      <c r="N7" s="1231"/>
      <c r="O7" s="1232"/>
      <c r="P7" s="1232"/>
      <c r="Q7" s="1233"/>
      <c r="R7" s="1234"/>
      <c r="S7" s="1235"/>
      <c r="T7" s="628">
        <v>10</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90</v>
      </c>
      <c r="E8" s="845">
        <v>70</v>
      </c>
      <c r="F8" s="1228"/>
      <c r="G8" s="1228"/>
      <c r="H8" s="1228"/>
      <c r="I8" s="1228"/>
      <c r="J8" s="1228"/>
      <c r="K8" s="1228"/>
      <c r="L8" s="1228"/>
      <c r="M8" s="1228"/>
      <c r="N8" s="1228"/>
      <c r="O8" s="1228"/>
      <c r="P8" s="1228"/>
      <c r="Q8" s="1228"/>
      <c r="R8" s="1228"/>
      <c r="S8" s="1228"/>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t="18" customHeight="1" thickTop="1">
      <c r="A9" s="921"/>
      <c r="B9" s="3169" t="s">
        <v>3534</v>
      </c>
      <c r="C9" s="3170" t="s">
        <v>3536</v>
      </c>
      <c r="D9" s="3171" t="s">
        <v>3538</v>
      </c>
      <c r="E9" s="3150"/>
      <c r="F9" s="3150"/>
      <c r="G9" s="1229"/>
      <c r="H9" s="1229"/>
      <c r="I9" s="1229"/>
      <c r="J9" s="1229"/>
      <c r="K9" s="1229"/>
      <c r="L9" s="1236"/>
      <c r="M9" s="1230"/>
      <c r="N9" s="1231"/>
      <c r="O9" s="1232"/>
      <c r="P9" s="1232"/>
      <c r="Q9" s="1233"/>
      <c r="R9" s="1234"/>
      <c r="S9" s="1235"/>
      <c r="T9" s="628">
        <v>6</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1"/>
      <c r="B10" s="930"/>
      <c r="C10" s="940">
        <v>100</v>
      </c>
      <c r="D10" s="711">
        <f>C10-$T9</f>
        <v>94</v>
      </c>
      <c r="E10" s="711">
        <f t="shared" ref="E10:S10" si="8">D10-$T9</f>
        <v>88</v>
      </c>
      <c r="F10" s="1237">
        <f t="shared" si="8"/>
        <v>82</v>
      </c>
      <c r="G10" s="1237">
        <f t="shared" si="8"/>
        <v>76</v>
      </c>
      <c r="H10" s="1237">
        <f t="shared" si="8"/>
        <v>70</v>
      </c>
      <c r="I10" s="1237">
        <f t="shared" si="8"/>
        <v>64</v>
      </c>
      <c r="J10" s="1237">
        <f t="shared" si="8"/>
        <v>58</v>
      </c>
      <c r="K10" s="1237">
        <f t="shared" si="8"/>
        <v>52</v>
      </c>
      <c r="L10" s="1237">
        <f t="shared" si="8"/>
        <v>46</v>
      </c>
      <c r="M10" s="1237">
        <f t="shared" si="8"/>
        <v>40</v>
      </c>
      <c r="N10" s="1237">
        <f t="shared" si="8"/>
        <v>34</v>
      </c>
      <c r="O10" s="1237">
        <f t="shared" si="8"/>
        <v>28</v>
      </c>
      <c r="P10" s="1237">
        <f t="shared" si="8"/>
        <v>22</v>
      </c>
      <c r="Q10" s="1237">
        <f t="shared" si="8"/>
        <v>16</v>
      </c>
      <c r="R10" s="1237">
        <f t="shared" si="8"/>
        <v>10</v>
      </c>
      <c r="S10" s="1237">
        <f t="shared" si="8"/>
        <v>4</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t="13.5" customHeight="1">
      <c r="A11" s="921"/>
      <c r="B11" s="3169"/>
      <c r="C11" s="3170"/>
      <c r="D11" s="3171"/>
      <c r="E11" s="937"/>
      <c r="F11" s="937"/>
      <c r="G11" s="937"/>
      <c r="H11" s="937"/>
      <c r="I11" s="937"/>
      <c r="J11" s="937"/>
      <c r="K11" s="937"/>
      <c r="L11" s="937"/>
      <c r="M11" s="938"/>
      <c r="N11" s="941"/>
      <c r="O11" s="942"/>
      <c r="P11" s="942"/>
      <c r="Q11" s="943"/>
      <c r="R11" s="944"/>
      <c r="S11" s="945"/>
      <c r="T11" s="939">
        <v>20</v>
      </c>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1"/>
      <c r="B12" s="842"/>
      <c r="C12" s="848">
        <v>100</v>
      </c>
      <c r="D12" s="845">
        <f>C12-$T11</f>
        <v>80</v>
      </c>
      <c r="E12" s="845">
        <f t="shared" ref="E12:S12" si="9">D12-$T11</f>
        <v>60</v>
      </c>
      <c r="F12" s="845">
        <f t="shared" si="9"/>
        <v>40</v>
      </c>
      <c r="G12" s="845">
        <f t="shared" si="9"/>
        <v>20</v>
      </c>
      <c r="H12" s="845">
        <f t="shared" si="9"/>
        <v>0</v>
      </c>
      <c r="I12" s="845">
        <f t="shared" si="9"/>
        <v>-20</v>
      </c>
      <c r="J12" s="845">
        <f t="shared" si="9"/>
        <v>-40</v>
      </c>
      <c r="K12" s="845">
        <f t="shared" si="9"/>
        <v>-60</v>
      </c>
      <c r="L12" s="845">
        <f t="shared" si="9"/>
        <v>-80</v>
      </c>
      <c r="M12" s="845">
        <f t="shared" si="9"/>
        <v>-100</v>
      </c>
      <c r="N12" s="845">
        <f t="shared" si="9"/>
        <v>-120</v>
      </c>
      <c r="O12" s="845">
        <f t="shared" si="9"/>
        <v>-140</v>
      </c>
      <c r="P12" s="845">
        <f t="shared" si="9"/>
        <v>-160</v>
      </c>
      <c r="Q12" s="845">
        <f t="shared" si="9"/>
        <v>-180</v>
      </c>
      <c r="R12" s="845">
        <f>Q12-$T11</f>
        <v>-200</v>
      </c>
      <c r="S12" s="845">
        <f t="shared" si="9"/>
        <v>-220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3169"/>
      <c r="C13" s="3170"/>
      <c r="D13" s="3171"/>
      <c r="E13" s="3171"/>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t="24">
      <c r="A15" s="921"/>
      <c r="B15" s="3169" t="s">
        <v>3644</v>
      </c>
      <c r="C15" s="3170" t="s">
        <v>3649</v>
      </c>
      <c r="D15" s="3171" t="s">
        <v>3653</v>
      </c>
      <c r="E15" s="3171"/>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1"/>
      <c r="B16" s="930"/>
      <c r="C16" s="931">
        <v>100</v>
      </c>
      <c r="D16" s="932">
        <v>80</v>
      </c>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4" customFormat="1">
      <c r="A17" s="1983" t="s">
        <v>2091</v>
      </c>
      <c r="B17" s="1984" t="s">
        <v>2092</v>
      </c>
      <c r="C17" s="3207" t="s">
        <v>3664</v>
      </c>
      <c r="D17" s="3166" t="s">
        <v>3665</v>
      </c>
      <c r="E17" s="3166"/>
      <c r="F17" s="950"/>
      <c r="G17" s="950"/>
      <c r="H17" s="950"/>
      <c r="I17" s="950"/>
      <c r="J17" s="950"/>
      <c r="K17" s="3166"/>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4" customFormat="1" ht="13.5" thickBot="1">
      <c r="A18" s="958"/>
      <c r="B18" s="959"/>
      <c r="C18" s="960">
        <v>100</v>
      </c>
      <c r="D18" s="961">
        <v>65</v>
      </c>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1"/>
      <c r="B19" s="151"/>
      <c r="C19" s="151"/>
      <c r="D19" s="1985" t="s">
        <v>2093</v>
      </c>
      <c r="E19" s="1250"/>
      <c r="F19" s="1250"/>
      <c r="G19" s="1250"/>
      <c r="H19" s="993"/>
      <c r="I19" s="151"/>
      <c r="J19" s="151"/>
      <c r="K19" s="151"/>
      <c r="L19" s="151"/>
      <c r="M19" s="151"/>
      <c r="N19" s="151"/>
      <c r="O19" s="151"/>
      <c r="P19" s="151"/>
      <c r="Q19" s="151"/>
      <c r="R19" s="151"/>
      <c r="S19" s="121"/>
    </row>
    <row r="20" spans="1:45" ht="16.5" thickBot="1">
      <c r="A20" s="629" t="s">
        <v>2094</v>
      </c>
      <c r="B20" s="286">
        <f>IF(D20="——",S22,S22-F20)</f>
        <v>5</v>
      </c>
      <c r="C20" s="151"/>
      <c r="D20" s="1986" t="s">
        <v>43</v>
      </c>
      <c r="E20" s="1251"/>
      <c r="F20" s="925" t="e">
        <f ca="1">SUMIF(INDIRECT("'"&amp;H20&amp;"'"&amp;"!A:A"),"承租人权益价值",INDIRECT("'"&amp;H20&amp;"'"&amp;"!c:c"))</f>
        <v>#REF!</v>
      </c>
      <c r="G20" s="925" t="s">
        <v>2095</v>
      </c>
      <c r="H20" s="1987"/>
      <c r="I20" s="151"/>
      <c r="J20" s="151"/>
      <c r="K20" s="151"/>
      <c r="L20" s="151"/>
      <c r="M20" s="151"/>
      <c r="N20" s="151"/>
      <c r="O20" s="151"/>
      <c r="P20" s="151"/>
      <c r="Q20" s="151"/>
      <c r="R20" s="151"/>
      <c r="S20" s="121"/>
    </row>
    <row r="21" spans="1:45" ht="15.75">
      <c r="A21" s="629" t="s">
        <v>2096</v>
      </c>
      <c r="B21" s="286">
        <f>ROUND(B20*10000/B22,0)</f>
        <v>2</v>
      </c>
      <c r="C21" s="151"/>
      <c r="D21" s="151"/>
      <c r="E21" s="151"/>
      <c r="F21" s="151"/>
      <c r="G21" s="151"/>
      <c r="H21" s="151"/>
      <c r="I21" s="151"/>
      <c r="J21" s="151"/>
      <c r="K21" s="151"/>
      <c r="L21" s="151"/>
      <c r="M21" s="151"/>
      <c r="N21" s="151"/>
      <c r="O21" s="151"/>
      <c r="P21" s="151"/>
      <c r="Q21" s="151"/>
      <c r="R21" s="151"/>
      <c r="S21" s="121"/>
    </row>
    <row r="22" spans="1:45">
      <c r="A22" s="308" t="s">
        <v>2097</v>
      </c>
      <c r="B22" s="21">
        <f>SUM(B24:B10001)</f>
        <v>31596.120000000003</v>
      </c>
      <c r="C22" s="3537" t="s">
        <v>27</v>
      </c>
      <c r="D22" s="3538"/>
      <c r="E22" s="3538"/>
      <c r="F22" s="3538"/>
      <c r="G22" s="3538"/>
      <c r="H22" s="3538"/>
      <c r="I22" s="3538"/>
      <c r="J22" s="3538"/>
      <c r="K22" s="3538"/>
      <c r="L22" s="3538"/>
      <c r="M22" s="3538"/>
      <c r="N22" s="3538"/>
      <c r="O22" s="3538"/>
      <c r="P22" s="3538"/>
      <c r="Q22" s="3539"/>
      <c r="R22" s="21">
        <f>ROUND(S22*10000/B22,0)</f>
        <v>2</v>
      </c>
      <c r="S22" s="21">
        <f>SUM(S24:S10001)</f>
        <v>5</v>
      </c>
    </row>
    <row r="23" spans="1:45" s="9" customFormat="1" ht="25.5">
      <c r="A23" s="8" t="s">
        <v>2098</v>
      </c>
      <c r="B23" s="8" t="s">
        <v>2099</v>
      </c>
      <c r="C23" s="8" t="s">
        <v>2100</v>
      </c>
      <c r="D23" s="8" t="str">
        <f>B5</f>
        <v>内部装修</v>
      </c>
      <c r="E23" s="8" t="s">
        <v>2100</v>
      </c>
      <c r="F23" s="8">
        <f>B7</f>
        <v>0</v>
      </c>
      <c r="G23" s="8" t="s">
        <v>2100</v>
      </c>
      <c r="H23" s="8" t="str">
        <f>B9</f>
        <v>对外营业</v>
      </c>
      <c r="I23" s="8" t="s">
        <v>2100</v>
      </c>
      <c r="J23" s="8">
        <f>B11</f>
        <v>0</v>
      </c>
      <c r="K23" s="8" t="s">
        <v>2100</v>
      </c>
      <c r="L23" s="8">
        <f>B13</f>
        <v>0</v>
      </c>
      <c r="M23" s="8" t="s">
        <v>2100</v>
      </c>
      <c r="N23" s="8" t="str">
        <f>B15</f>
        <v>现状利用受限</v>
      </c>
      <c r="O23" s="8" t="s">
        <v>2100</v>
      </c>
      <c r="P23" s="8" t="str">
        <f>B17</f>
        <v>楼层</v>
      </c>
      <c r="Q23" s="8" t="s">
        <v>2100</v>
      </c>
      <c r="R23" s="8" t="s">
        <v>2101</v>
      </c>
      <c r="S23" s="8" t="s">
        <v>2102</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61" t="str">
        <f>明细表!E5</f>
        <v>1</v>
      </c>
      <c r="B24" s="3162">
        <f>Sheet1!F3</f>
        <v>4943.55</v>
      </c>
      <c r="C24" s="2566">
        <v>1</v>
      </c>
      <c r="D24" s="631" t="s">
        <v>3497</v>
      </c>
      <c r="E24" s="2566">
        <v>1</v>
      </c>
      <c r="F24" s="631"/>
      <c r="G24" s="2566">
        <v>1</v>
      </c>
      <c r="H24" s="2567" t="s">
        <v>3535</v>
      </c>
      <c r="I24" s="2566">
        <v>1</v>
      </c>
      <c r="J24" s="2567"/>
      <c r="K24" s="2566">
        <v>1</v>
      </c>
      <c r="L24" s="2567"/>
      <c r="M24" s="2566">
        <v>1</v>
      </c>
      <c r="N24" s="2567" t="s">
        <v>3579</v>
      </c>
      <c r="O24" s="2566">
        <v>1</v>
      </c>
      <c r="P24" s="2567" t="s">
        <v>3515</v>
      </c>
      <c r="Q24" s="2566">
        <v>1</v>
      </c>
      <c r="R24" s="3164">
        <f>'比较法-办公'!C49</f>
        <v>1.7</v>
      </c>
      <c r="S24" s="630">
        <f t="shared" ref="S24:S55" si="10">ROUND(R24*B24/10000,0)</f>
        <v>1</v>
      </c>
      <c r="T24" s="680" t="s">
        <v>3531</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63" t="str">
        <f>明细表!E7</f>
        <v>2</v>
      </c>
      <c r="B25" s="2229">
        <f>Sheet1!F7</f>
        <v>4943.55</v>
      </c>
      <c r="C25" s="21">
        <f>IF(B25="",1,(LOOKUP(B25,$3:$3,$4:$4)-LOOKUP($B$24,$3:$3,$4:$4)+100)/100)</f>
        <v>1</v>
      </c>
      <c r="D25" s="631" t="s">
        <v>3497</v>
      </c>
      <c r="E25" s="21">
        <f>(SUMIF($5:$5,D25,$6:$6)-SUMIF($5:$5,$D$24,$6:$6)+100)/100</f>
        <v>1</v>
      </c>
      <c r="F25" s="631"/>
      <c r="G25" s="21">
        <f>(SUMIF($7:$7,F25,$8:$8)-SUMIF($7:$7,$F$24,$8:$8)+100)/100</f>
        <v>1</v>
      </c>
      <c r="H25" s="2567" t="s">
        <v>3535</v>
      </c>
      <c r="I25" s="21">
        <f>(SUMIF($9:$9,H25,$10:$10)-SUMIF($9:$9,$H$24,$10:$10)+100)/100</f>
        <v>1</v>
      </c>
      <c r="J25" s="2567"/>
      <c r="K25" s="21">
        <f>(SUMIF($11:$11,J25,$12:$12)-SUMIF($11:$11,$J$24,$12:$12)+100)/100</f>
        <v>1</v>
      </c>
      <c r="L25" s="2567"/>
      <c r="M25" s="21">
        <f>(SUMIF($13:$13,L25,$14:$14)-SUMIF($13:$13,$L$24,$14:$14)+100)/100</f>
        <v>1</v>
      </c>
      <c r="N25" s="2567" t="s">
        <v>3579</v>
      </c>
      <c r="O25" s="21">
        <f>(SUMIF($15:$15,N25,$16:$16)-SUMIF($15:$15,$N$24,$16:$16)+100)/100</f>
        <v>1</v>
      </c>
      <c r="P25" s="2567" t="s">
        <v>3515</v>
      </c>
      <c r="Q25" s="21">
        <f>(SUMIF($17:$17,P25,$18:$18)-SUMIF($17:$17,$P$24,$18:$18)+100)/100</f>
        <v>1</v>
      </c>
      <c r="R25" s="3165">
        <f>IF(B25="",0,ROUND($R$24*C25*E25*G25*I25*K25*M25*O25*Q25,2))</f>
        <v>1.7</v>
      </c>
      <c r="S25" s="308">
        <f t="shared" si="10"/>
        <v>1</v>
      </c>
      <c r="T25" s="680" t="str">
        <f>Sheet1!D7</f>
        <v>17#增配商业</v>
      </c>
    </row>
    <row r="26" spans="1:45">
      <c r="A26" s="3163" t="str">
        <f>明细表!E8</f>
        <v>3</v>
      </c>
      <c r="B26" s="2229">
        <f>Sheet1!F11</f>
        <v>5846.42</v>
      </c>
      <c r="C26" s="21">
        <f t="shared" ref="C26:C90" si="11">IF(B26="",1,(LOOKUP(B26,$3:$3,$4:$4)-LOOKUP($B$24,$3:$3,$4:$4)+100)/100)</f>
        <v>1</v>
      </c>
      <c r="D26" s="631" t="s">
        <v>3497</v>
      </c>
      <c r="E26" s="21">
        <f t="shared" ref="E26:E90" si="12">(SUMIF($5:$5,D26,$6:$6)-SUMIF($5:$5,$D$24,$6:$6)+100)/100</f>
        <v>1</v>
      </c>
      <c r="F26" s="631"/>
      <c r="G26" s="21">
        <f t="shared" ref="G26:G90" si="13">(SUMIF($7:$7,F26,$8:$8)-SUMIF($7:$7,$F$24,$8:$8)+100)/100</f>
        <v>1</v>
      </c>
      <c r="H26" s="2567" t="s">
        <v>3537</v>
      </c>
      <c r="I26" s="21">
        <f t="shared" ref="I26:I90" si="14">(SUMIF($9:$9,H26,$10:$10)-SUMIF($9:$9,$H$24,$10:$10)+100)/100</f>
        <v>0.94</v>
      </c>
      <c r="J26" s="2567"/>
      <c r="K26" s="21">
        <f t="shared" ref="K26:K90" si="15">(SUMIF($11:$11,J26,$12:$12)-SUMIF($11:$11,$J$24,$12:$12)+100)/100</f>
        <v>1</v>
      </c>
      <c r="L26" s="2567"/>
      <c r="M26" s="21">
        <f t="shared" ref="M26:M90" si="16">(SUMIF($13:$13,L26,$14:$14)-SUMIF($13:$13,$L$24,$14:$14)+100)/100</f>
        <v>1</v>
      </c>
      <c r="N26" s="2567" t="s">
        <v>3579</v>
      </c>
      <c r="O26" s="21">
        <f t="shared" ref="O26:O90" si="17">(SUMIF($15:$15,N26,$16:$16)-SUMIF($15:$15,$N$24,$16:$16)+100)/100</f>
        <v>1</v>
      </c>
      <c r="P26" s="2567" t="s">
        <v>3515</v>
      </c>
      <c r="Q26" s="21">
        <f t="shared" ref="Q26:Q90" si="18">(SUMIF($17:$17,P26,$18:$18)-SUMIF($17:$17,$P$24,$18:$18)+100)/100</f>
        <v>1</v>
      </c>
      <c r="R26" s="3165">
        <f t="shared" ref="R26:R90" si="19">IF(B26="",0,ROUND($R$24*C26*E26*G26*I26*K26*M26*O26*Q26,2))</f>
        <v>1.6</v>
      </c>
      <c r="S26" s="308">
        <f t="shared" si="10"/>
        <v>1</v>
      </c>
      <c r="T26" s="680" t="str">
        <f>Sheet1!D11</f>
        <v>18#增配商业</v>
      </c>
    </row>
    <row r="27" spans="1:45">
      <c r="A27" s="3163" t="str">
        <f>明细表!E9</f>
        <v>4</v>
      </c>
      <c r="B27" s="2229">
        <f>Sheet1!F14</f>
        <v>5846.42</v>
      </c>
      <c r="C27" s="21">
        <f t="shared" si="11"/>
        <v>1</v>
      </c>
      <c r="D27" s="631" t="s">
        <v>3497</v>
      </c>
      <c r="E27" s="21">
        <f t="shared" si="12"/>
        <v>1</v>
      </c>
      <c r="F27" s="631"/>
      <c r="G27" s="21">
        <f t="shared" si="13"/>
        <v>1</v>
      </c>
      <c r="H27" s="2567" t="s">
        <v>3537</v>
      </c>
      <c r="I27" s="21">
        <f t="shared" si="14"/>
        <v>0.94</v>
      </c>
      <c r="J27" s="2567"/>
      <c r="K27" s="21">
        <f t="shared" si="15"/>
        <v>1</v>
      </c>
      <c r="L27" s="2567"/>
      <c r="M27" s="21">
        <f t="shared" si="16"/>
        <v>1</v>
      </c>
      <c r="N27" s="2567" t="s">
        <v>3579</v>
      </c>
      <c r="O27" s="21">
        <f t="shared" si="17"/>
        <v>1</v>
      </c>
      <c r="P27" s="2567" t="s">
        <v>3515</v>
      </c>
      <c r="Q27" s="21">
        <f t="shared" si="18"/>
        <v>1</v>
      </c>
      <c r="R27" s="3165">
        <f t="shared" si="19"/>
        <v>1.6</v>
      </c>
      <c r="S27" s="308">
        <f t="shared" si="10"/>
        <v>1</v>
      </c>
      <c r="T27" s="680" t="str">
        <f>Sheet1!D14</f>
        <v>19#增配商业</v>
      </c>
    </row>
    <row r="28" spans="1:45">
      <c r="A28" s="3163" t="str">
        <f>明细表!E10</f>
        <v>5</v>
      </c>
      <c r="B28" s="2229">
        <f>Sheet1!F17</f>
        <v>4952.4599999999991</v>
      </c>
      <c r="C28" s="21">
        <f t="shared" si="11"/>
        <v>1</v>
      </c>
      <c r="D28" s="631" t="s">
        <v>3497</v>
      </c>
      <c r="E28" s="21">
        <f t="shared" si="12"/>
        <v>1</v>
      </c>
      <c r="F28" s="631"/>
      <c r="G28" s="21">
        <f t="shared" si="13"/>
        <v>1</v>
      </c>
      <c r="H28" s="2567" t="s">
        <v>3537</v>
      </c>
      <c r="I28" s="21">
        <f t="shared" si="14"/>
        <v>0.94</v>
      </c>
      <c r="J28" s="2567"/>
      <c r="K28" s="21">
        <f t="shared" si="15"/>
        <v>1</v>
      </c>
      <c r="L28" s="2567"/>
      <c r="M28" s="21">
        <f t="shared" si="16"/>
        <v>1</v>
      </c>
      <c r="N28" s="2567" t="s">
        <v>3579</v>
      </c>
      <c r="O28" s="21">
        <f t="shared" si="17"/>
        <v>1</v>
      </c>
      <c r="P28" s="2567" t="s">
        <v>3515</v>
      </c>
      <c r="Q28" s="21">
        <f t="shared" si="18"/>
        <v>1</v>
      </c>
      <c r="R28" s="3165">
        <f t="shared" si="19"/>
        <v>1.6</v>
      </c>
      <c r="S28" s="308">
        <f t="shared" si="10"/>
        <v>1</v>
      </c>
      <c r="T28" s="680" t="str">
        <f>Sheet1!D17</f>
        <v>20#增配商业</v>
      </c>
    </row>
    <row r="29" spans="1:45">
      <c r="A29" s="3163" t="str">
        <f>明细表!E11</f>
        <v>6</v>
      </c>
      <c r="B29" s="2229">
        <f>Sheet1!F21</f>
        <v>2889.34</v>
      </c>
      <c r="C29" s="21">
        <f t="shared" si="11"/>
        <v>1.02</v>
      </c>
      <c r="D29" s="631" t="s">
        <v>3497</v>
      </c>
      <c r="E29" s="21">
        <f t="shared" si="12"/>
        <v>1</v>
      </c>
      <c r="F29" s="631"/>
      <c r="G29" s="21">
        <f t="shared" si="13"/>
        <v>1</v>
      </c>
      <c r="H29" s="2567" t="s">
        <v>3535</v>
      </c>
      <c r="I29" s="21">
        <f t="shared" si="14"/>
        <v>1</v>
      </c>
      <c r="J29" s="2567"/>
      <c r="K29" s="21">
        <f t="shared" si="15"/>
        <v>1</v>
      </c>
      <c r="L29" s="2567"/>
      <c r="M29" s="21">
        <f t="shared" si="16"/>
        <v>1</v>
      </c>
      <c r="N29" s="631" t="s">
        <v>3652</v>
      </c>
      <c r="O29" s="21">
        <f t="shared" si="17"/>
        <v>0.8</v>
      </c>
      <c r="P29" s="2567" t="s">
        <v>3515</v>
      </c>
      <c r="Q29" s="21">
        <f t="shared" si="18"/>
        <v>1</v>
      </c>
      <c r="R29" s="3165">
        <f t="shared" si="19"/>
        <v>1.39</v>
      </c>
      <c r="S29" s="308">
        <f t="shared" si="10"/>
        <v>0</v>
      </c>
      <c r="T29" s="680" t="str">
        <f>Sheet1!D21</f>
        <v>21#居住公服、增配商业</v>
      </c>
    </row>
    <row r="30" spans="1:45">
      <c r="A30" s="3163" t="s">
        <v>3666</v>
      </c>
      <c r="B30" s="2229">
        <f>Sheet1!F24</f>
        <v>2174.38</v>
      </c>
      <c r="C30" s="21">
        <f t="shared" si="11"/>
        <v>1.02</v>
      </c>
      <c r="D30" s="631" t="s">
        <v>3496</v>
      </c>
      <c r="E30" s="21">
        <f t="shared" si="12"/>
        <v>1.02</v>
      </c>
      <c r="F30" s="631"/>
      <c r="G30" s="21">
        <f t="shared" si="13"/>
        <v>1</v>
      </c>
      <c r="H30" s="2567" t="s">
        <v>3535</v>
      </c>
      <c r="I30" s="21">
        <f t="shared" si="14"/>
        <v>1</v>
      </c>
      <c r="J30" s="2567"/>
      <c r="K30" s="21">
        <f t="shared" si="15"/>
        <v>1</v>
      </c>
      <c r="L30" s="2567"/>
      <c r="M30" s="21">
        <f t="shared" si="16"/>
        <v>1</v>
      </c>
      <c r="N30" s="631" t="s">
        <v>3652</v>
      </c>
      <c r="O30" s="21">
        <f t="shared" si="17"/>
        <v>0.8</v>
      </c>
      <c r="P30" s="2567" t="s">
        <v>3516</v>
      </c>
      <c r="Q30" s="21">
        <f t="shared" si="18"/>
        <v>0.65</v>
      </c>
      <c r="R30" s="3165">
        <f t="shared" si="19"/>
        <v>0.92</v>
      </c>
      <c r="S30" s="308">
        <f t="shared" si="10"/>
        <v>0</v>
      </c>
      <c r="T30" s="680" t="str">
        <f>T29</f>
        <v>21#居住公服、增配商业</v>
      </c>
    </row>
    <row r="31" spans="1:45">
      <c r="A31" s="3160"/>
      <c r="B31" s="2229"/>
      <c r="C31" s="21">
        <f t="shared" si="11"/>
        <v>1</v>
      </c>
      <c r="D31" s="2567"/>
      <c r="E31" s="21">
        <f t="shared" si="12"/>
        <v>0.06</v>
      </c>
      <c r="F31" s="2567"/>
      <c r="G31" s="21">
        <f t="shared" si="13"/>
        <v>1</v>
      </c>
      <c r="H31" s="2567"/>
      <c r="I31" s="21">
        <f t="shared" si="14"/>
        <v>0</v>
      </c>
      <c r="J31" s="2567"/>
      <c r="K31" s="21">
        <f t="shared" si="15"/>
        <v>1</v>
      </c>
      <c r="L31" s="2567"/>
      <c r="M31" s="21">
        <f t="shared" si="16"/>
        <v>1</v>
      </c>
      <c r="N31" s="631"/>
      <c r="O31" s="21">
        <f t="shared" si="17"/>
        <v>0</v>
      </c>
      <c r="P31" s="2567"/>
      <c r="Q31" s="21">
        <f t="shared" si="18"/>
        <v>0</v>
      </c>
      <c r="R31" s="3165">
        <f t="shared" si="19"/>
        <v>0</v>
      </c>
      <c r="S31" s="308">
        <f t="shared" si="10"/>
        <v>0</v>
      </c>
    </row>
    <row r="32" spans="1:45">
      <c r="A32" s="3160"/>
      <c r="B32" s="2229"/>
      <c r="C32" s="21">
        <f t="shared" si="11"/>
        <v>1</v>
      </c>
      <c r="D32" s="631"/>
      <c r="E32" s="21">
        <f t="shared" si="12"/>
        <v>0.06</v>
      </c>
      <c r="F32" s="631"/>
      <c r="G32" s="21">
        <f t="shared" si="13"/>
        <v>1</v>
      </c>
      <c r="H32" s="631"/>
      <c r="I32" s="21">
        <f t="shared" si="14"/>
        <v>0</v>
      </c>
      <c r="J32" s="2567"/>
      <c r="K32" s="21">
        <f t="shared" si="15"/>
        <v>1</v>
      </c>
      <c r="L32" s="631"/>
      <c r="M32" s="21">
        <f t="shared" si="16"/>
        <v>1</v>
      </c>
      <c r="N32" s="631"/>
      <c r="O32" s="21">
        <f t="shared" si="17"/>
        <v>0</v>
      </c>
      <c r="P32" s="631"/>
      <c r="Q32" s="21">
        <f t="shared" si="18"/>
        <v>0</v>
      </c>
      <c r="R32" s="3165">
        <f t="shared" si="19"/>
        <v>0</v>
      </c>
      <c r="S32" s="308">
        <f t="shared" si="10"/>
        <v>0</v>
      </c>
    </row>
    <row r="33" spans="1:19">
      <c r="A33" s="3160"/>
      <c r="B33" s="2229"/>
      <c r="C33" s="21">
        <f t="shared" si="11"/>
        <v>1</v>
      </c>
      <c r="D33" s="631"/>
      <c r="E33" s="21">
        <f t="shared" si="12"/>
        <v>0.06</v>
      </c>
      <c r="F33" s="631"/>
      <c r="G33" s="21">
        <f t="shared" si="13"/>
        <v>1</v>
      </c>
      <c r="H33" s="631"/>
      <c r="I33" s="21">
        <f t="shared" si="14"/>
        <v>0</v>
      </c>
      <c r="J33" s="2567"/>
      <c r="K33" s="21">
        <f t="shared" si="15"/>
        <v>1</v>
      </c>
      <c r="L33" s="631"/>
      <c r="M33" s="21">
        <f t="shared" si="16"/>
        <v>1</v>
      </c>
      <c r="N33" s="631"/>
      <c r="O33" s="21">
        <f t="shared" si="17"/>
        <v>0</v>
      </c>
      <c r="P33" s="2567"/>
      <c r="Q33" s="21">
        <f t="shared" si="18"/>
        <v>0</v>
      </c>
      <c r="R33" s="3165">
        <f t="shared" si="19"/>
        <v>0</v>
      </c>
      <c r="S33" s="308">
        <f t="shared" si="10"/>
        <v>0</v>
      </c>
    </row>
    <row r="34" spans="1:19">
      <c r="A34" s="3160"/>
      <c r="B34" s="2229"/>
      <c r="C34" s="21">
        <f t="shared" si="11"/>
        <v>1</v>
      </c>
      <c r="D34" s="631"/>
      <c r="E34" s="21">
        <f t="shared" si="12"/>
        <v>0.06</v>
      </c>
      <c r="F34" s="631"/>
      <c r="G34" s="21">
        <f t="shared" si="13"/>
        <v>1</v>
      </c>
      <c r="H34" s="631"/>
      <c r="I34" s="21">
        <f t="shared" si="14"/>
        <v>0</v>
      </c>
      <c r="J34" s="2567"/>
      <c r="K34" s="21">
        <f t="shared" si="15"/>
        <v>1</v>
      </c>
      <c r="L34" s="631"/>
      <c r="M34" s="21">
        <f t="shared" si="16"/>
        <v>1</v>
      </c>
      <c r="N34" s="631"/>
      <c r="O34" s="21">
        <f t="shared" si="17"/>
        <v>0</v>
      </c>
      <c r="P34" s="2567"/>
      <c r="Q34" s="21">
        <f t="shared" si="18"/>
        <v>0</v>
      </c>
      <c r="R34" s="3165">
        <f t="shared" si="19"/>
        <v>0</v>
      </c>
      <c r="S34" s="308">
        <f t="shared" si="10"/>
        <v>0</v>
      </c>
    </row>
    <row r="35" spans="1:19">
      <c r="A35" s="3160"/>
      <c r="B35" s="2229"/>
      <c r="C35" s="21">
        <f t="shared" si="11"/>
        <v>1</v>
      </c>
      <c r="D35" s="631"/>
      <c r="E35" s="21">
        <f t="shared" si="12"/>
        <v>0.06</v>
      </c>
      <c r="F35" s="631"/>
      <c r="G35" s="21">
        <f t="shared" si="13"/>
        <v>1</v>
      </c>
      <c r="H35" s="631"/>
      <c r="I35" s="21">
        <f t="shared" si="14"/>
        <v>0</v>
      </c>
      <c r="J35" s="2567"/>
      <c r="K35" s="21">
        <f t="shared" si="15"/>
        <v>1</v>
      </c>
      <c r="L35" s="631"/>
      <c r="M35" s="21">
        <f t="shared" si="16"/>
        <v>1</v>
      </c>
      <c r="N35" s="631"/>
      <c r="O35" s="21">
        <f t="shared" si="17"/>
        <v>0</v>
      </c>
      <c r="P35" s="2567"/>
      <c r="Q35" s="21">
        <f t="shared" si="18"/>
        <v>0</v>
      </c>
      <c r="R35" s="3165">
        <f t="shared" si="19"/>
        <v>0</v>
      </c>
      <c r="S35" s="308">
        <f t="shared" si="10"/>
        <v>0</v>
      </c>
    </row>
    <row r="36" spans="1:19">
      <c r="A36" s="3160"/>
      <c r="B36" s="2229"/>
      <c r="C36" s="21">
        <f t="shared" si="11"/>
        <v>1</v>
      </c>
      <c r="D36" s="631"/>
      <c r="E36" s="21">
        <f t="shared" si="12"/>
        <v>0.06</v>
      </c>
      <c r="F36" s="631"/>
      <c r="G36" s="21">
        <f t="shared" si="13"/>
        <v>1</v>
      </c>
      <c r="H36" s="631"/>
      <c r="I36" s="21">
        <f t="shared" si="14"/>
        <v>0</v>
      </c>
      <c r="J36" s="2567"/>
      <c r="K36" s="21">
        <f t="shared" si="15"/>
        <v>1</v>
      </c>
      <c r="L36" s="631"/>
      <c r="M36" s="21">
        <f t="shared" si="16"/>
        <v>1</v>
      </c>
      <c r="N36" s="631"/>
      <c r="O36" s="21">
        <f t="shared" si="17"/>
        <v>0</v>
      </c>
      <c r="P36" s="2567"/>
      <c r="Q36" s="21">
        <f t="shared" si="18"/>
        <v>0</v>
      </c>
      <c r="R36" s="3165">
        <f t="shared" si="19"/>
        <v>0</v>
      </c>
      <c r="S36" s="308">
        <f t="shared" si="10"/>
        <v>0</v>
      </c>
    </row>
    <row r="37" spans="1:19">
      <c r="A37" s="3160"/>
      <c r="B37" s="2229"/>
      <c r="C37" s="21">
        <f t="shared" si="11"/>
        <v>1</v>
      </c>
      <c r="D37" s="631"/>
      <c r="E37" s="21">
        <f t="shared" si="12"/>
        <v>0.06</v>
      </c>
      <c r="F37" s="631"/>
      <c r="G37" s="21">
        <f t="shared" si="13"/>
        <v>1</v>
      </c>
      <c r="H37" s="631"/>
      <c r="I37" s="21">
        <f t="shared" si="14"/>
        <v>0</v>
      </c>
      <c r="J37" s="2567"/>
      <c r="K37" s="21">
        <f t="shared" si="15"/>
        <v>1</v>
      </c>
      <c r="L37" s="631"/>
      <c r="M37" s="21">
        <f t="shared" si="16"/>
        <v>1</v>
      </c>
      <c r="N37" s="631"/>
      <c r="O37" s="21">
        <f t="shared" si="17"/>
        <v>0</v>
      </c>
      <c r="P37" s="2567"/>
      <c r="Q37" s="21">
        <f t="shared" si="18"/>
        <v>0</v>
      </c>
      <c r="R37" s="3165">
        <f t="shared" si="19"/>
        <v>0</v>
      </c>
      <c r="S37" s="308">
        <f t="shared" si="10"/>
        <v>0</v>
      </c>
    </row>
    <row r="38" spans="1:19">
      <c r="A38" s="3163"/>
      <c r="B38" s="2229"/>
      <c r="C38" s="21">
        <f t="shared" si="11"/>
        <v>1</v>
      </c>
      <c r="D38" s="2567"/>
      <c r="E38" s="21">
        <f t="shared" si="12"/>
        <v>0.06</v>
      </c>
      <c r="F38" s="631"/>
      <c r="G38" s="21">
        <f t="shared" si="13"/>
        <v>1</v>
      </c>
      <c r="H38" s="631"/>
      <c r="I38" s="21">
        <f t="shared" si="14"/>
        <v>0</v>
      </c>
      <c r="J38" s="631"/>
      <c r="K38" s="21">
        <f t="shared" si="15"/>
        <v>1</v>
      </c>
      <c r="L38" s="2567"/>
      <c r="M38" s="21">
        <f t="shared" si="16"/>
        <v>1</v>
      </c>
      <c r="N38" s="631"/>
      <c r="O38" s="21">
        <f t="shared" si="17"/>
        <v>0</v>
      </c>
      <c r="P38" s="2567"/>
      <c r="Q38" s="21">
        <f t="shared" si="18"/>
        <v>0</v>
      </c>
      <c r="R38" s="3165">
        <f t="shared" si="19"/>
        <v>0</v>
      </c>
      <c r="S38" s="308">
        <f t="shared" si="10"/>
        <v>0</v>
      </c>
    </row>
    <row r="39" spans="1:19">
      <c r="A39" s="3163"/>
      <c r="B39" s="2229"/>
      <c r="C39" s="21">
        <f t="shared" si="11"/>
        <v>1</v>
      </c>
      <c r="D39" s="631"/>
      <c r="E39" s="21">
        <f t="shared" si="12"/>
        <v>0.06</v>
      </c>
      <c r="F39" s="631"/>
      <c r="G39" s="21">
        <f t="shared" si="13"/>
        <v>1</v>
      </c>
      <c r="H39" s="631"/>
      <c r="I39" s="21">
        <f t="shared" si="14"/>
        <v>0</v>
      </c>
      <c r="J39" s="631"/>
      <c r="K39" s="21">
        <f t="shared" si="15"/>
        <v>1</v>
      </c>
      <c r="L39" s="631"/>
      <c r="M39" s="21">
        <f t="shared" si="16"/>
        <v>1</v>
      </c>
      <c r="N39" s="631"/>
      <c r="O39" s="21">
        <f t="shared" si="17"/>
        <v>0</v>
      </c>
      <c r="P39" s="631"/>
      <c r="Q39" s="21">
        <f t="shared" si="18"/>
        <v>0</v>
      </c>
      <c r="R39" s="3165">
        <f t="shared" si="19"/>
        <v>0</v>
      </c>
      <c r="S39" s="308">
        <f t="shared" si="10"/>
        <v>0</v>
      </c>
    </row>
    <row r="40" spans="1:19">
      <c r="A40" s="3163"/>
      <c r="B40" s="2229"/>
      <c r="C40" s="21">
        <f t="shared" si="11"/>
        <v>1</v>
      </c>
      <c r="D40" s="631"/>
      <c r="E40" s="21">
        <f t="shared" si="12"/>
        <v>0.06</v>
      </c>
      <c r="F40" s="631"/>
      <c r="G40" s="21">
        <f t="shared" si="13"/>
        <v>1</v>
      </c>
      <c r="H40" s="631"/>
      <c r="I40" s="21">
        <f t="shared" si="14"/>
        <v>0</v>
      </c>
      <c r="J40" s="631"/>
      <c r="K40" s="21">
        <f t="shared" si="15"/>
        <v>1</v>
      </c>
      <c r="L40" s="631"/>
      <c r="M40" s="21">
        <f t="shared" si="16"/>
        <v>1</v>
      </c>
      <c r="N40" s="631"/>
      <c r="O40" s="21">
        <f t="shared" si="17"/>
        <v>0</v>
      </c>
      <c r="P40" s="2567"/>
      <c r="Q40" s="21">
        <f t="shared" si="18"/>
        <v>0</v>
      </c>
      <c r="R40" s="3165">
        <f t="shared" si="19"/>
        <v>0</v>
      </c>
      <c r="S40" s="308">
        <f t="shared" si="10"/>
        <v>0</v>
      </c>
    </row>
    <row r="41" spans="1:19">
      <c r="A41" s="3163"/>
      <c r="B41" s="2229"/>
      <c r="C41" s="21">
        <f t="shared" si="11"/>
        <v>1</v>
      </c>
      <c r="D41" s="631"/>
      <c r="E41" s="21">
        <f t="shared" si="12"/>
        <v>0.06</v>
      </c>
      <c r="F41" s="631"/>
      <c r="G41" s="21">
        <f t="shared" si="13"/>
        <v>1</v>
      </c>
      <c r="H41" s="631"/>
      <c r="I41" s="21">
        <f t="shared" si="14"/>
        <v>0</v>
      </c>
      <c r="J41" s="631"/>
      <c r="K41" s="21">
        <f t="shared" si="15"/>
        <v>1</v>
      </c>
      <c r="L41" s="631"/>
      <c r="M41" s="21">
        <f t="shared" si="16"/>
        <v>1</v>
      </c>
      <c r="N41" s="631"/>
      <c r="O41" s="21">
        <f t="shared" si="17"/>
        <v>0</v>
      </c>
      <c r="P41" s="2567"/>
      <c r="Q41" s="21">
        <f t="shared" si="18"/>
        <v>0</v>
      </c>
      <c r="R41" s="3165">
        <f t="shared" si="19"/>
        <v>0</v>
      </c>
      <c r="S41" s="308">
        <f t="shared" si="10"/>
        <v>0</v>
      </c>
    </row>
    <row r="42" spans="1:19">
      <c r="A42" s="3163"/>
      <c r="B42" s="2229"/>
      <c r="C42" s="21">
        <f t="shared" si="11"/>
        <v>1</v>
      </c>
      <c r="D42" s="631"/>
      <c r="E42" s="21">
        <f t="shared" si="12"/>
        <v>0.06</v>
      </c>
      <c r="F42" s="631"/>
      <c r="G42" s="21">
        <f t="shared" si="13"/>
        <v>1</v>
      </c>
      <c r="H42" s="631"/>
      <c r="I42" s="21">
        <f t="shared" si="14"/>
        <v>0</v>
      </c>
      <c r="J42" s="631"/>
      <c r="K42" s="21">
        <f t="shared" si="15"/>
        <v>1</v>
      </c>
      <c r="L42" s="631"/>
      <c r="M42" s="21">
        <f t="shared" si="16"/>
        <v>1</v>
      </c>
      <c r="N42" s="631"/>
      <c r="O42" s="21">
        <f t="shared" si="17"/>
        <v>0</v>
      </c>
      <c r="P42" s="2567"/>
      <c r="Q42" s="21">
        <f t="shared" si="18"/>
        <v>0</v>
      </c>
      <c r="R42" s="3165">
        <f t="shared" si="19"/>
        <v>0</v>
      </c>
      <c r="S42" s="308">
        <f t="shared" si="10"/>
        <v>0</v>
      </c>
    </row>
    <row r="43" spans="1:19">
      <c r="A43" s="3163"/>
      <c r="B43" s="2229"/>
      <c r="C43" s="21">
        <f t="shared" si="11"/>
        <v>1</v>
      </c>
      <c r="D43" s="631"/>
      <c r="E43" s="21">
        <f t="shared" si="12"/>
        <v>0.06</v>
      </c>
      <c r="F43" s="631"/>
      <c r="G43" s="21">
        <f t="shared" si="13"/>
        <v>1</v>
      </c>
      <c r="H43" s="631"/>
      <c r="I43" s="21">
        <f t="shared" si="14"/>
        <v>0</v>
      </c>
      <c r="J43" s="631"/>
      <c r="K43" s="21">
        <f t="shared" si="15"/>
        <v>1</v>
      </c>
      <c r="L43" s="631"/>
      <c r="M43" s="21">
        <f t="shared" si="16"/>
        <v>1</v>
      </c>
      <c r="N43" s="631"/>
      <c r="O43" s="21">
        <f t="shared" si="17"/>
        <v>0</v>
      </c>
      <c r="P43" s="2567"/>
      <c r="Q43" s="21">
        <f t="shared" si="18"/>
        <v>0</v>
      </c>
      <c r="R43" s="3165">
        <f t="shared" si="19"/>
        <v>0</v>
      </c>
      <c r="S43" s="308">
        <f t="shared" si="10"/>
        <v>0</v>
      </c>
    </row>
    <row r="44" spans="1:19">
      <c r="A44" s="3163"/>
      <c r="B44" s="2229"/>
      <c r="C44" s="21">
        <f t="shared" ref="C44" si="20">IF(B44="",1,(LOOKUP(B44,$3:$3,$4:$4)-LOOKUP($B$24,$3:$3,$4:$4)+100)/100)</f>
        <v>1</v>
      </c>
      <c r="D44" s="631"/>
      <c r="E44" s="21">
        <f t="shared" ref="E44" si="21">(SUMIF($5:$5,D44,$6:$6)-SUMIF($5:$5,$D$24,$6:$6)+100)/100</f>
        <v>0.06</v>
      </c>
      <c r="F44" s="631"/>
      <c r="G44" s="21">
        <f t="shared" ref="G44" si="22">(SUMIF($7:$7,F44,$8:$8)-SUMIF($7:$7,$F$24,$8:$8)+100)/100</f>
        <v>1</v>
      </c>
      <c r="H44" s="631"/>
      <c r="I44" s="21">
        <f t="shared" ref="I44" si="23">(SUMIF($9:$9,H44,$10:$10)-SUMIF($9:$9,$H$24,$10:$10)+100)/100</f>
        <v>0</v>
      </c>
      <c r="J44" s="631"/>
      <c r="K44" s="21">
        <f t="shared" ref="K44" si="24">(SUMIF($11:$11,J44,$12:$12)-SUMIF($11:$11,$J$24,$12:$12)+100)/100</f>
        <v>1</v>
      </c>
      <c r="L44" s="631"/>
      <c r="M44" s="21">
        <f t="shared" ref="M44" si="25">(SUMIF($13:$13,L44,$14:$14)-SUMIF($13:$13,$L$24,$14:$14)+100)/100</f>
        <v>1</v>
      </c>
      <c r="N44" s="631"/>
      <c r="O44" s="21">
        <f t="shared" ref="O44" si="26">(SUMIF($15:$15,N44,$16:$16)-SUMIF($15:$15,$N$24,$16:$16)+100)/100</f>
        <v>0</v>
      </c>
      <c r="P44" s="2567"/>
      <c r="Q44" s="21">
        <f t="shared" ref="Q44" si="27">(SUMIF($17:$17,P44,$18:$18)-SUMIF($17:$17,$P$24,$18:$18)+100)/100</f>
        <v>0</v>
      </c>
      <c r="R44" s="3165">
        <f t="shared" ref="R44" si="28">IF(B44="",0,ROUND($R$24*C44*E44*G44*I44*K44*M44*O44*Q44,2))</f>
        <v>0</v>
      </c>
      <c r="S44" s="308">
        <f t="shared" ref="S44" si="29">ROUND(R44*B44/10000,0)</f>
        <v>0</v>
      </c>
    </row>
    <row r="45" spans="1:19">
      <c r="A45" s="3163"/>
      <c r="B45" s="2229"/>
      <c r="C45" s="21">
        <f t="shared" si="11"/>
        <v>1</v>
      </c>
      <c r="D45" s="631"/>
      <c r="E45" s="21">
        <f t="shared" si="12"/>
        <v>0.06</v>
      </c>
      <c r="F45" s="631"/>
      <c r="G45" s="21">
        <f t="shared" si="13"/>
        <v>1</v>
      </c>
      <c r="H45" s="631"/>
      <c r="I45" s="21">
        <f t="shared" si="14"/>
        <v>0</v>
      </c>
      <c r="J45" s="631"/>
      <c r="K45" s="21">
        <f t="shared" si="15"/>
        <v>1</v>
      </c>
      <c r="L45" s="631"/>
      <c r="M45" s="21">
        <f t="shared" si="16"/>
        <v>1</v>
      </c>
      <c r="N45" s="631"/>
      <c r="O45" s="21">
        <f t="shared" si="17"/>
        <v>0</v>
      </c>
      <c r="P45" s="631"/>
      <c r="Q45" s="21">
        <f t="shared" si="18"/>
        <v>0</v>
      </c>
      <c r="R45" s="3165">
        <f t="shared" si="19"/>
        <v>0</v>
      </c>
      <c r="S45" s="308">
        <f t="shared" si="10"/>
        <v>0</v>
      </c>
    </row>
    <row r="46" spans="1:19">
      <c r="A46" s="3160"/>
      <c r="B46" s="2229"/>
      <c r="C46" s="21">
        <f t="shared" si="11"/>
        <v>1</v>
      </c>
      <c r="D46" s="2567"/>
      <c r="E46" s="21">
        <f t="shared" si="12"/>
        <v>0.06</v>
      </c>
      <c r="F46" s="631"/>
      <c r="G46" s="21">
        <f t="shared" si="13"/>
        <v>1</v>
      </c>
      <c r="H46" s="631"/>
      <c r="I46" s="21">
        <f t="shared" si="14"/>
        <v>0</v>
      </c>
      <c r="J46" s="631"/>
      <c r="K46" s="21">
        <f t="shared" si="15"/>
        <v>1</v>
      </c>
      <c r="L46" s="2567"/>
      <c r="M46" s="21">
        <f t="shared" si="16"/>
        <v>1</v>
      </c>
      <c r="N46" s="631"/>
      <c r="O46" s="21">
        <f t="shared" si="17"/>
        <v>0</v>
      </c>
      <c r="P46" s="2567"/>
      <c r="Q46" s="21">
        <f t="shared" si="18"/>
        <v>0</v>
      </c>
      <c r="R46" s="3165">
        <f t="shared" si="19"/>
        <v>0</v>
      </c>
      <c r="S46" s="308">
        <f t="shared" si="10"/>
        <v>0</v>
      </c>
    </row>
    <row r="47" spans="1:19">
      <c r="A47" s="3160"/>
      <c r="B47" s="2229"/>
      <c r="C47" s="21">
        <f t="shared" si="11"/>
        <v>1</v>
      </c>
      <c r="D47" s="631"/>
      <c r="E47" s="21">
        <f t="shared" si="12"/>
        <v>0.06</v>
      </c>
      <c r="F47" s="631"/>
      <c r="G47" s="21">
        <f t="shared" si="13"/>
        <v>1</v>
      </c>
      <c r="H47" s="631"/>
      <c r="I47" s="21">
        <f t="shared" si="14"/>
        <v>0</v>
      </c>
      <c r="J47" s="631"/>
      <c r="K47" s="21">
        <f t="shared" si="15"/>
        <v>1</v>
      </c>
      <c r="L47" s="631"/>
      <c r="M47" s="21">
        <f t="shared" si="16"/>
        <v>1</v>
      </c>
      <c r="N47" s="631"/>
      <c r="O47" s="21">
        <f t="shared" si="17"/>
        <v>0</v>
      </c>
      <c r="P47" s="631"/>
      <c r="Q47" s="21">
        <f t="shared" si="18"/>
        <v>0</v>
      </c>
      <c r="R47" s="3165">
        <f t="shared" si="19"/>
        <v>0</v>
      </c>
      <c r="S47" s="308">
        <f t="shared" si="10"/>
        <v>0</v>
      </c>
    </row>
    <row r="48" spans="1:19">
      <c r="A48" s="3160"/>
      <c r="B48" s="2229"/>
      <c r="C48" s="21">
        <f t="shared" si="11"/>
        <v>1</v>
      </c>
      <c r="D48" s="631"/>
      <c r="E48" s="21">
        <f t="shared" si="12"/>
        <v>0.06</v>
      </c>
      <c r="F48" s="631"/>
      <c r="G48" s="21">
        <f t="shared" si="13"/>
        <v>1</v>
      </c>
      <c r="H48" s="631"/>
      <c r="I48" s="21">
        <f t="shared" si="14"/>
        <v>0</v>
      </c>
      <c r="J48" s="631"/>
      <c r="K48" s="21">
        <f t="shared" si="15"/>
        <v>1</v>
      </c>
      <c r="L48" s="631"/>
      <c r="M48" s="21">
        <f t="shared" si="16"/>
        <v>1</v>
      </c>
      <c r="N48" s="631"/>
      <c r="O48" s="21">
        <f t="shared" si="17"/>
        <v>0</v>
      </c>
      <c r="P48" s="2567"/>
      <c r="Q48" s="21">
        <f t="shared" si="18"/>
        <v>0</v>
      </c>
      <c r="R48" s="3165">
        <f t="shared" si="19"/>
        <v>0</v>
      </c>
      <c r="S48" s="308">
        <f t="shared" si="10"/>
        <v>0</v>
      </c>
    </row>
    <row r="49" spans="1:19">
      <c r="A49" s="3160"/>
      <c r="B49" s="2229"/>
      <c r="C49" s="21">
        <f t="shared" si="11"/>
        <v>1</v>
      </c>
      <c r="D49" s="631"/>
      <c r="E49" s="21">
        <f t="shared" si="12"/>
        <v>0.06</v>
      </c>
      <c r="F49" s="631"/>
      <c r="G49" s="21">
        <f t="shared" si="13"/>
        <v>1</v>
      </c>
      <c r="H49" s="631"/>
      <c r="I49" s="21">
        <f t="shared" si="14"/>
        <v>0</v>
      </c>
      <c r="J49" s="631"/>
      <c r="K49" s="21">
        <f t="shared" si="15"/>
        <v>1</v>
      </c>
      <c r="L49" s="631"/>
      <c r="M49" s="21">
        <f t="shared" si="16"/>
        <v>1</v>
      </c>
      <c r="N49" s="631"/>
      <c r="O49" s="21">
        <f t="shared" si="17"/>
        <v>0</v>
      </c>
      <c r="P49" s="2567"/>
      <c r="Q49" s="21">
        <f t="shared" si="18"/>
        <v>0</v>
      </c>
      <c r="R49" s="3165">
        <f t="shared" si="19"/>
        <v>0</v>
      </c>
      <c r="S49" s="308">
        <f t="shared" si="10"/>
        <v>0</v>
      </c>
    </row>
    <row r="50" spans="1:19">
      <c r="A50" s="3160"/>
      <c r="B50" s="2229"/>
      <c r="C50" s="21">
        <f t="shared" si="11"/>
        <v>1</v>
      </c>
      <c r="D50" s="631"/>
      <c r="E50" s="21">
        <f t="shared" si="12"/>
        <v>0.06</v>
      </c>
      <c r="F50" s="631"/>
      <c r="G50" s="21">
        <f t="shared" si="13"/>
        <v>1</v>
      </c>
      <c r="H50" s="631"/>
      <c r="I50" s="21">
        <f t="shared" si="14"/>
        <v>0</v>
      </c>
      <c r="J50" s="631"/>
      <c r="K50" s="21">
        <f t="shared" si="15"/>
        <v>1</v>
      </c>
      <c r="L50" s="631"/>
      <c r="M50" s="21">
        <f t="shared" si="16"/>
        <v>1</v>
      </c>
      <c r="N50" s="631"/>
      <c r="O50" s="21">
        <f t="shared" si="17"/>
        <v>0</v>
      </c>
      <c r="P50" s="2567"/>
      <c r="Q50" s="21">
        <f t="shared" si="18"/>
        <v>0</v>
      </c>
      <c r="R50" s="3165">
        <f t="shared" si="19"/>
        <v>0</v>
      </c>
      <c r="S50" s="308">
        <f t="shared" si="10"/>
        <v>0</v>
      </c>
    </row>
    <row r="51" spans="1:19">
      <c r="A51" s="3163"/>
      <c r="B51" s="2229"/>
      <c r="C51" s="21">
        <f t="shared" si="11"/>
        <v>1</v>
      </c>
      <c r="D51" s="631"/>
      <c r="E51" s="21">
        <f t="shared" si="12"/>
        <v>0.06</v>
      </c>
      <c r="F51" s="631"/>
      <c r="G51" s="21">
        <f t="shared" si="13"/>
        <v>1</v>
      </c>
      <c r="H51" s="631"/>
      <c r="I51" s="21">
        <f t="shared" si="14"/>
        <v>0</v>
      </c>
      <c r="J51" s="631"/>
      <c r="K51" s="21">
        <f t="shared" si="15"/>
        <v>1</v>
      </c>
      <c r="L51" s="631"/>
      <c r="M51" s="21">
        <f t="shared" si="16"/>
        <v>1</v>
      </c>
      <c r="N51" s="631"/>
      <c r="O51" s="21">
        <f t="shared" si="17"/>
        <v>0</v>
      </c>
      <c r="P51" s="2567"/>
      <c r="Q51" s="21">
        <f t="shared" si="18"/>
        <v>0</v>
      </c>
      <c r="R51" s="3165">
        <f t="shared" si="19"/>
        <v>0</v>
      </c>
      <c r="S51" s="308">
        <f t="shared" si="10"/>
        <v>0</v>
      </c>
    </row>
    <row r="52" spans="1:19">
      <c r="A52" s="3163"/>
      <c r="B52" s="2229"/>
      <c r="C52" s="21">
        <f t="shared" si="11"/>
        <v>1</v>
      </c>
      <c r="D52" s="631"/>
      <c r="E52" s="21">
        <f t="shared" si="12"/>
        <v>0.06</v>
      </c>
      <c r="F52" s="631"/>
      <c r="G52" s="21">
        <f t="shared" si="13"/>
        <v>1</v>
      </c>
      <c r="H52" s="631"/>
      <c r="I52" s="21">
        <f t="shared" si="14"/>
        <v>0</v>
      </c>
      <c r="J52" s="631"/>
      <c r="K52" s="21">
        <f t="shared" si="15"/>
        <v>1</v>
      </c>
      <c r="L52" s="631"/>
      <c r="M52" s="21">
        <f t="shared" si="16"/>
        <v>1</v>
      </c>
      <c r="N52" s="631"/>
      <c r="O52" s="21">
        <f t="shared" si="17"/>
        <v>0</v>
      </c>
      <c r="P52" s="2567"/>
      <c r="Q52" s="21">
        <f t="shared" si="18"/>
        <v>0</v>
      </c>
      <c r="R52" s="3165">
        <f t="shared" si="19"/>
        <v>0</v>
      </c>
      <c r="S52" s="308">
        <f t="shared" si="10"/>
        <v>0</v>
      </c>
    </row>
    <row r="53" spans="1:19">
      <c r="A53" s="3163"/>
      <c r="B53" s="2229"/>
      <c r="C53" s="21">
        <f t="shared" si="11"/>
        <v>1</v>
      </c>
      <c r="D53" s="631"/>
      <c r="E53" s="21">
        <f t="shared" si="12"/>
        <v>0.06</v>
      </c>
      <c r="F53" s="631"/>
      <c r="G53" s="21">
        <f t="shared" si="13"/>
        <v>1</v>
      </c>
      <c r="H53" s="631"/>
      <c r="I53" s="21">
        <f t="shared" si="14"/>
        <v>0</v>
      </c>
      <c r="J53" s="631"/>
      <c r="K53" s="21">
        <f t="shared" si="15"/>
        <v>1</v>
      </c>
      <c r="L53" s="631"/>
      <c r="M53" s="21">
        <f t="shared" si="16"/>
        <v>1</v>
      </c>
      <c r="N53" s="631"/>
      <c r="O53" s="21">
        <f t="shared" si="17"/>
        <v>0</v>
      </c>
      <c r="P53" s="631"/>
      <c r="Q53" s="21">
        <f t="shared" si="18"/>
        <v>0</v>
      </c>
      <c r="R53" s="3165">
        <f t="shared" si="19"/>
        <v>0</v>
      </c>
      <c r="S53" s="308">
        <f t="shared" si="10"/>
        <v>0</v>
      </c>
    </row>
    <row r="54" spans="1:19">
      <c r="A54" s="3163"/>
      <c r="B54" s="2229"/>
      <c r="C54" s="21">
        <f t="shared" si="11"/>
        <v>1</v>
      </c>
      <c r="D54" s="2567"/>
      <c r="E54" s="21">
        <f t="shared" si="12"/>
        <v>0.06</v>
      </c>
      <c r="F54" s="631"/>
      <c r="G54" s="21">
        <f t="shared" si="13"/>
        <v>1</v>
      </c>
      <c r="H54" s="631"/>
      <c r="I54" s="21">
        <f t="shared" si="14"/>
        <v>0</v>
      </c>
      <c r="J54" s="631"/>
      <c r="K54" s="21">
        <f t="shared" si="15"/>
        <v>1</v>
      </c>
      <c r="L54" s="2567"/>
      <c r="M54" s="21">
        <f t="shared" si="16"/>
        <v>1</v>
      </c>
      <c r="N54" s="631"/>
      <c r="O54" s="21">
        <f t="shared" si="17"/>
        <v>0</v>
      </c>
      <c r="P54" s="2567"/>
      <c r="Q54" s="21">
        <f t="shared" si="18"/>
        <v>0</v>
      </c>
      <c r="R54" s="3165">
        <f t="shared" si="19"/>
        <v>0</v>
      </c>
      <c r="S54" s="308">
        <f t="shared" si="10"/>
        <v>0</v>
      </c>
    </row>
    <row r="55" spans="1:19">
      <c r="A55" s="3163"/>
      <c r="B55" s="2229"/>
      <c r="C55" s="21">
        <f t="shared" si="11"/>
        <v>1</v>
      </c>
      <c r="D55" s="631"/>
      <c r="E55" s="21">
        <f t="shared" si="12"/>
        <v>0.06</v>
      </c>
      <c r="F55" s="631"/>
      <c r="G55" s="21">
        <f t="shared" si="13"/>
        <v>1</v>
      </c>
      <c r="H55" s="631"/>
      <c r="I55" s="21">
        <f t="shared" si="14"/>
        <v>0</v>
      </c>
      <c r="J55" s="631"/>
      <c r="K55" s="21">
        <f t="shared" si="15"/>
        <v>1</v>
      </c>
      <c r="L55" s="631"/>
      <c r="M55" s="21">
        <f t="shared" si="16"/>
        <v>1</v>
      </c>
      <c r="N55" s="631"/>
      <c r="O55" s="21">
        <f t="shared" si="17"/>
        <v>0</v>
      </c>
      <c r="P55" s="631"/>
      <c r="Q55" s="21">
        <f t="shared" si="18"/>
        <v>0</v>
      </c>
      <c r="R55" s="3165">
        <f t="shared" si="19"/>
        <v>0</v>
      </c>
      <c r="S55" s="308">
        <f t="shared" si="10"/>
        <v>0</v>
      </c>
    </row>
    <row r="56" spans="1:19">
      <c r="A56" s="3163"/>
      <c r="B56" s="2229"/>
      <c r="C56" s="21">
        <f t="shared" si="11"/>
        <v>1</v>
      </c>
      <c r="D56" s="631"/>
      <c r="E56" s="21">
        <f t="shared" si="12"/>
        <v>0.06</v>
      </c>
      <c r="F56" s="631"/>
      <c r="G56" s="21">
        <f t="shared" si="13"/>
        <v>1</v>
      </c>
      <c r="H56" s="631"/>
      <c r="I56" s="21">
        <f t="shared" si="14"/>
        <v>0</v>
      </c>
      <c r="J56" s="631"/>
      <c r="K56" s="21">
        <f t="shared" si="15"/>
        <v>1</v>
      </c>
      <c r="L56" s="631"/>
      <c r="M56" s="21">
        <f t="shared" si="16"/>
        <v>1</v>
      </c>
      <c r="N56" s="631"/>
      <c r="O56" s="21">
        <f t="shared" si="17"/>
        <v>0</v>
      </c>
      <c r="P56" s="2567"/>
      <c r="Q56" s="21">
        <f t="shared" si="18"/>
        <v>0</v>
      </c>
      <c r="R56" s="3165">
        <f t="shared" si="19"/>
        <v>0</v>
      </c>
      <c r="S56" s="308">
        <f t="shared" ref="S56:S78" si="30">ROUND(R56*B56/10000,0)</f>
        <v>0</v>
      </c>
    </row>
    <row r="57" spans="1:19">
      <c r="A57" s="3163"/>
      <c r="B57" s="2229"/>
      <c r="C57" s="21">
        <f t="shared" si="11"/>
        <v>1</v>
      </c>
      <c r="D57" s="631"/>
      <c r="E57" s="21">
        <f t="shared" si="12"/>
        <v>0.06</v>
      </c>
      <c r="F57" s="631"/>
      <c r="G57" s="21">
        <f t="shared" si="13"/>
        <v>1</v>
      </c>
      <c r="H57" s="631"/>
      <c r="I57" s="21">
        <f t="shared" si="14"/>
        <v>0</v>
      </c>
      <c r="J57" s="631"/>
      <c r="K57" s="21">
        <f t="shared" si="15"/>
        <v>1</v>
      </c>
      <c r="L57" s="631"/>
      <c r="M57" s="21">
        <f t="shared" si="16"/>
        <v>1</v>
      </c>
      <c r="N57" s="631"/>
      <c r="O57" s="21">
        <f t="shared" si="17"/>
        <v>0</v>
      </c>
      <c r="P57" s="2567"/>
      <c r="Q57" s="21">
        <f t="shared" si="18"/>
        <v>0</v>
      </c>
      <c r="R57" s="3165">
        <f t="shared" si="19"/>
        <v>0</v>
      </c>
      <c r="S57" s="308">
        <f t="shared" si="30"/>
        <v>0</v>
      </c>
    </row>
    <row r="58" spans="1:19">
      <c r="A58" s="3163"/>
      <c r="B58" s="2229"/>
      <c r="C58" s="21">
        <f t="shared" si="11"/>
        <v>1</v>
      </c>
      <c r="D58" s="631"/>
      <c r="E58" s="21">
        <f t="shared" si="12"/>
        <v>0.06</v>
      </c>
      <c r="F58" s="631"/>
      <c r="G58" s="21">
        <f t="shared" si="13"/>
        <v>1</v>
      </c>
      <c r="H58" s="631"/>
      <c r="I58" s="21">
        <f t="shared" si="14"/>
        <v>0</v>
      </c>
      <c r="J58" s="631"/>
      <c r="K58" s="21">
        <f t="shared" si="15"/>
        <v>1</v>
      </c>
      <c r="L58" s="631"/>
      <c r="M58" s="21">
        <f t="shared" si="16"/>
        <v>1</v>
      </c>
      <c r="N58" s="631"/>
      <c r="O58" s="21">
        <f t="shared" si="17"/>
        <v>0</v>
      </c>
      <c r="P58" s="2567"/>
      <c r="Q58" s="21">
        <f t="shared" si="18"/>
        <v>0</v>
      </c>
      <c r="R58" s="3165">
        <f t="shared" si="19"/>
        <v>0</v>
      </c>
      <c r="S58" s="308">
        <f t="shared" si="30"/>
        <v>0</v>
      </c>
    </row>
    <row r="59" spans="1:19">
      <c r="A59" s="3163"/>
      <c r="B59" s="2229"/>
      <c r="C59" s="21">
        <f t="shared" si="11"/>
        <v>1</v>
      </c>
      <c r="D59" s="631"/>
      <c r="E59" s="21">
        <f t="shared" si="12"/>
        <v>0.06</v>
      </c>
      <c r="F59" s="631"/>
      <c r="G59" s="21">
        <f t="shared" si="13"/>
        <v>1</v>
      </c>
      <c r="H59" s="631"/>
      <c r="I59" s="21">
        <f t="shared" si="14"/>
        <v>0</v>
      </c>
      <c r="J59" s="631"/>
      <c r="K59" s="21">
        <f t="shared" si="15"/>
        <v>1</v>
      </c>
      <c r="L59" s="631"/>
      <c r="M59" s="21">
        <f t="shared" si="16"/>
        <v>1</v>
      </c>
      <c r="N59" s="631"/>
      <c r="O59" s="21">
        <f t="shared" si="17"/>
        <v>0</v>
      </c>
      <c r="P59" s="2567"/>
      <c r="Q59" s="21">
        <f t="shared" si="18"/>
        <v>0</v>
      </c>
      <c r="R59" s="3165">
        <f t="shared" si="19"/>
        <v>0</v>
      </c>
      <c r="S59" s="308">
        <f t="shared" si="30"/>
        <v>0</v>
      </c>
    </row>
    <row r="60" spans="1:19">
      <c r="A60" s="3163"/>
      <c r="B60" s="2229"/>
      <c r="C60" s="21">
        <f t="shared" si="11"/>
        <v>1</v>
      </c>
      <c r="D60" s="631"/>
      <c r="E60" s="21">
        <f t="shared" si="12"/>
        <v>0.06</v>
      </c>
      <c r="F60" s="631"/>
      <c r="G60" s="21">
        <f t="shared" si="13"/>
        <v>1</v>
      </c>
      <c r="H60" s="631"/>
      <c r="I60" s="21">
        <f t="shared" si="14"/>
        <v>0</v>
      </c>
      <c r="J60" s="631"/>
      <c r="K60" s="21">
        <f t="shared" si="15"/>
        <v>1</v>
      </c>
      <c r="L60" s="631"/>
      <c r="M60" s="21">
        <f t="shared" si="16"/>
        <v>1</v>
      </c>
      <c r="N60" s="631"/>
      <c r="O60" s="21">
        <f t="shared" si="17"/>
        <v>0</v>
      </c>
      <c r="P60" s="631"/>
      <c r="Q60" s="21">
        <f t="shared" si="18"/>
        <v>0</v>
      </c>
      <c r="R60" s="3165">
        <f t="shared" si="19"/>
        <v>0</v>
      </c>
      <c r="S60" s="308">
        <f t="shared" si="30"/>
        <v>0</v>
      </c>
    </row>
    <row r="61" spans="1:19">
      <c r="A61" s="3163"/>
      <c r="B61" s="2229"/>
      <c r="C61" s="21">
        <f t="shared" si="11"/>
        <v>1</v>
      </c>
      <c r="D61" s="631"/>
      <c r="E61" s="21">
        <f t="shared" si="12"/>
        <v>0.06</v>
      </c>
      <c r="F61" s="631"/>
      <c r="G61" s="21">
        <f t="shared" si="13"/>
        <v>1</v>
      </c>
      <c r="H61" s="631"/>
      <c r="I61" s="21">
        <f t="shared" si="14"/>
        <v>0</v>
      </c>
      <c r="J61" s="2567"/>
      <c r="K61" s="21">
        <f t="shared" si="15"/>
        <v>1</v>
      </c>
      <c r="L61" s="631"/>
      <c r="M61" s="21">
        <f t="shared" si="16"/>
        <v>1</v>
      </c>
      <c r="N61" s="631"/>
      <c r="O61" s="21">
        <f t="shared" si="17"/>
        <v>0</v>
      </c>
      <c r="P61" s="631"/>
      <c r="Q61" s="21">
        <f t="shared" si="18"/>
        <v>0</v>
      </c>
      <c r="R61" s="3165">
        <f t="shared" si="19"/>
        <v>0</v>
      </c>
      <c r="S61" s="308">
        <f t="shared" si="30"/>
        <v>0</v>
      </c>
    </row>
    <row r="62" spans="1:19">
      <c r="A62" s="3160"/>
      <c r="B62" s="52"/>
      <c r="C62" s="21">
        <f t="shared" si="11"/>
        <v>1</v>
      </c>
      <c r="D62" s="631"/>
      <c r="E62" s="21">
        <f t="shared" si="12"/>
        <v>0.06</v>
      </c>
      <c r="F62" s="631"/>
      <c r="G62" s="21">
        <f t="shared" si="13"/>
        <v>1</v>
      </c>
      <c r="H62" s="631"/>
      <c r="I62" s="21">
        <f t="shared" si="14"/>
        <v>0</v>
      </c>
      <c r="J62" s="2567"/>
      <c r="K62" s="21">
        <f t="shared" si="15"/>
        <v>1</v>
      </c>
      <c r="L62" s="631"/>
      <c r="M62" s="21">
        <f t="shared" si="16"/>
        <v>1</v>
      </c>
      <c r="N62" s="631"/>
      <c r="O62" s="21">
        <f t="shared" si="17"/>
        <v>0</v>
      </c>
      <c r="P62" s="2567"/>
      <c r="Q62" s="21">
        <f t="shared" si="18"/>
        <v>0</v>
      </c>
      <c r="R62" s="3165">
        <f t="shared" si="19"/>
        <v>0</v>
      </c>
      <c r="S62" s="308">
        <f t="shared" si="30"/>
        <v>0</v>
      </c>
    </row>
    <row r="63" spans="1:19">
      <c r="A63" s="3160"/>
      <c r="B63" s="52"/>
      <c r="C63" s="21">
        <f t="shared" si="11"/>
        <v>1</v>
      </c>
      <c r="D63" s="631"/>
      <c r="E63" s="21">
        <f t="shared" si="12"/>
        <v>0.06</v>
      </c>
      <c r="F63" s="631"/>
      <c r="G63" s="21">
        <f t="shared" si="13"/>
        <v>1</v>
      </c>
      <c r="H63" s="631"/>
      <c r="I63" s="21">
        <f t="shared" si="14"/>
        <v>0</v>
      </c>
      <c r="J63" s="2567"/>
      <c r="K63" s="21">
        <f t="shared" si="15"/>
        <v>1</v>
      </c>
      <c r="L63" s="631"/>
      <c r="M63" s="21">
        <f t="shared" si="16"/>
        <v>1</v>
      </c>
      <c r="N63" s="631"/>
      <c r="O63" s="21">
        <f t="shared" si="17"/>
        <v>0</v>
      </c>
      <c r="P63" s="631"/>
      <c r="Q63" s="21">
        <f t="shared" si="18"/>
        <v>0</v>
      </c>
      <c r="R63" s="3165">
        <f t="shared" si="19"/>
        <v>0</v>
      </c>
      <c r="S63" s="308">
        <f t="shared" si="30"/>
        <v>0</v>
      </c>
    </row>
    <row r="64" spans="1:19">
      <c r="A64" s="3160"/>
      <c r="B64" s="52"/>
      <c r="C64" s="21">
        <f t="shared" si="11"/>
        <v>1</v>
      </c>
      <c r="D64" s="631"/>
      <c r="E64" s="21">
        <f t="shared" si="12"/>
        <v>0.06</v>
      </c>
      <c r="F64" s="631"/>
      <c r="G64" s="21">
        <f t="shared" si="13"/>
        <v>1</v>
      </c>
      <c r="H64" s="631"/>
      <c r="I64" s="21">
        <f t="shared" si="14"/>
        <v>0</v>
      </c>
      <c r="J64" s="2567"/>
      <c r="K64" s="21">
        <f t="shared" si="15"/>
        <v>1</v>
      </c>
      <c r="L64" s="631"/>
      <c r="M64" s="21">
        <f t="shared" si="16"/>
        <v>1</v>
      </c>
      <c r="N64" s="631"/>
      <c r="O64" s="21">
        <f t="shared" si="17"/>
        <v>0</v>
      </c>
      <c r="P64" s="2567"/>
      <c r="Q64" s="21">
        <f t="shared" si="18"/>
        <v>0</v>
      </c>
      <c r="R64" s="3165">
        <f t="shared" si="19"/>
        <v>0</v>
      </c>
      <c r="S64" s="308">
        <f t="shared" si="30"/>
        <v>0</v>
      </c>
    </row>
    <row r="65" spans="1:19">
      <c r="A65" s="3160"/>
      <c r="B65" s="52"/>
      <c r="C65" s="21">
        <f t="shared" si="11"/>
        <v>1</v>
      </c>
      <c r="D65" s="631"/>
      <c r="E65" s="21">
        <f t="shared" si="12"/>
        <v>0.06</v>
      </c>
      <c r="F65" s="631"/>
      <c r="G65" s="21">
        <f t="shared" si="13"/>
        <v>1</v>
      </c>
      <c r="H65" s="631"/>
      <c r="I65" s="21">
        <f t="shared" si="14"/>
        <v>0</v>
      </c>
      <c r="J65" s="2567"/>
      <c r="K65" s="21">
        <f t="shared" si="15"/>
        <v>1</v>
      </c>
      <c r="L65" s="631"/>
      <c r="M65" s="21">
        <f t="shared" si="16"/>
        <v>1</v>
      </c>
      <c r="N65" s="631"/>
      <c r="O65" s="21">
        <f t="shared" si="17"/>
        <v>0</v>
      </c>
      <c r="P65" s="2567"/>
      <c r="Q65" s="21">
        <f t="shared" si="18"/>
        <v>0</v>
      </c>
      <c r="R65" s="3165">
        <f t="shared" si="19"/>
        <v>0</v>
      </c>
      <c r="S65" s="308">
        <f t="shared" si="30"/>
        <v>0</v>
      </c>
    </row>
    <row r="66" spans="1:19">
      <c r="A66" s="3160"/>
      <c r="B66" s="52"/>
      <c r="C66" s="21">
        <f t="shared" si="11"/>
        <v>1</v>
      </c>
      <c r="D66" s="631"/>
      <c r="E66" s="21">
        <f t="shared" si="12"/>
        <v>0.06</v>
      </c>
      <c r="F66" s="631"/>
      <c r="G66" s="21">
        <f t="shared" si="13"/>
        <v>1</v>
      </c>
      <c r="H66" s="631"/>
      <c r="I66" s="21">
        <f t="shared" si="14"/>
        <v>0</v>
      </c>
      <c r="J66" s="2567"/>
      <c r="K66" s="21">
        <f t="shared" si="15"/>
        <v>1</v>
      </c>
      <c r="L66" s="631"/>
      <c r="M66" s="21">
        <f t="shared" si="16"/>
        <v>1</v>
      </c>
      <c r="N66" s="631"/>
      <c r="O66" s="21">
        <f t="shared" si="17"/>
        <v>0</v>
      </c>
      <c r="P66" s="2567"/>
      <c r="Q66" s="21">
        <f t="shared" si="18"/>
        <v>0</v>
      </c>
      <c r="R66" s="3165">
        <f t="shared" si="19"/>
        <v>0</v>
      </c>
      <c r="S66" s="308">
        <f t="shared" si="30"/>
        <v>0</v>
      </c>
    </row>
    <row r="67" spans="1:19">
      <c r="A67" s="3160"/>
      <c r="B67" s="52"/>
      <c r="C67" s="21">
        <f t="shared" si="11"/>
        <v>1</v>
      </c>
      <c r="D67" s="631"/>
      <c r="E67" s="21">
        <f t="shared" si="12"/>
        <v>0.06</v>
      </c>
      <c r="F67" s="631"/>
      <c r="G67" s="21">
        <f t="shared" si="13"/>
        <v>1</v>
      </c>
      <c r="H67" s="631"/>
      <c r="I67" s="21">
        <f t="shared" si="14"/>
        <v>0</v>
      </c>
      <c r="J67" s="631"/>
      <c r="K67" s="21">
        <f t="shared" si="15"/>
        <v>1</v>
      </c>
      <c r="L67" s="631"/>
      <c r="M67" s="21">
        <f t="shared" si="16"/>
        <v>1</v>
      </c>
      <c r="N67" s="631"/>
      <c r="O67" s="21">
        <f t="shared" si="17"/>
        <v>0</v>
      </c>
      <c r="P67" s="631"/>
      <c r="Q67" s="21">
        <f t="shared" si="18"/>
        <v>0</v>
      </c>
      <c r="R67" s="3165">
        <f t="shared" si="19"/>
        <v>0</v>
      </c>
      <c r="S67" s="308">
        <f t="shared" si="30"/>
        <v>0</v>
      </c>
    </row>
    <row r="68" spans="1:19">
      <c r="A68" s="3160"/>
      <c r="B68" s="52"/>
      <c r="C68" s="21">
        <f t="shared" si="11"/>
        <v>1</v>
      </c>
      <c r="D68" s="631"/>
      <c r="E68" s="21">
        <f t="shared" si="12"/>
        <v>0.06</v>
      </c>
      <c r="F68" s="631"/>
      <c r="G68" s="21">
        <f t="shared" si="13"/>
        <v>1</v>
      </c>
      <c r="H68" s="631"/>
      <c r="I68" s="21">
        <f t="shared" si="14"/>
        <v>0</v>
      </c>
      <c r="J68" s="2567"/>
      <c r="K68" s="21">
        <f t="shared" si="15"/>
        <v>1</v>
      </c>
      <c r="L68" s="631"/>
      <c r="M68" s="21">
        <f t="shared" si="16"/>
        <v>1</v>
      </c>
      <c r="N68" s="631"/>
      <c r="O68" s="21">
        <f t="shared" si="17"/>
        <v>0</v>
      </c>
      <c r="P68" s="631"/>
      <c r="Q68" s="21">
        <f t="shared" si="18"/>
        <v>0</v>
      </c>
      <c r="R68" s="3165">
        <f t="shared" si="19"/>
        <v>0</v>
      </c>
      <c r="S68" s="308">
        <f t="shared" si="30"/>
        <v>0</v>
      </c>
    </row>
    <row r="69" spans="1:19">
      <c r="A69" s="3160"/>
      <c r="B69" s="52"/>
      <c r="C69" s="21">
        <f t="shared" si="11"/>
        <v>1</v>
      </c>
      <c r="D69" s="631"/>
      <c r="E69" s="21">
        <f t="shared" si="12"/>
        <v>0.06</v>
      </c>
      <c r="F69" s="631"/>
      <c r="G69" s="21">
        <f t="shared" si="13"/>
        <v>1</v>
      </c>
      <c r="H69" s="631"/>
      <c r="I69" s="21">
        <f t="shared" si="14"/>
        <v>0</v>
      </c>
      <c r="J69" s="2567"/>
      <c r="K69" s="21">
        <f t="shared" si="15"/>
        <v>1</v>
      </c>
      <c r="L69" s="631"/>
      <c r="M69" s="21">
        <f t="shared" si="16"/>
        <v>1</v>
      </c>
      <c r="N69" s="631"/>
      <c r="O69" s="21">
        <f t="shared" si="17"/>
        <v>0</v>
      </c>
      <c r="P69" s="631"/>
      <c r="Q69" s="21">
        <f t="shared" si="18"/>
        <v>0</v>
      </c>
      <c r="R69" s="3165">
        <f t="shared" si="19"/>
        <v>0</v>
      </c>
      <c r="S69" s="308">
        <f t="shared" si="30"/>
        <v>0</v>
      </c>
    </row>
    <row r="70" spans="1:19">
      <c r="A70" s="3160"/>
      <c r="B70" s="52"/>
      <c r="C70" s="21">
        <f t="shared" si="11"/>
        <v>1</v>
      </c>
      <c r="D70" s="631"/>
      <c r="E70" s="21">
        <f t="shared" si="12"/>
        <v>0.06</v>
      </c>
      <c r="F70" s="631"/>
      <c r="G70" s="21">
        <f t="shared" si="13"/>
        <v>1</v>
      </c>
      <c r="H70" s="631"/>
      <c r="I70" s="21">
        <f t="shared" si="14"/>
        <v>0</v>
      </c>
      <c r="J70" s="2567"/>
      <c r="K70" s="21">
        <f t="shared" si="15"/>
        <v>1</v>
      </c>
      <c r="L70" s="631"/>
      <c r="M70" s="21">
        <f t="shared" si="16"/>
        <v>1</v>
      </c>
      <c r="N70" s="631"/>
      <c r="O70" s="21">
        <f t="shared" si="17"/>
        <v>0</v>
      </c>
      <c r="P70" s="631"/>
      <c r="Q70" s="21">
        <f t="shared" si="18"/>
        <v>0</v>
      </c>
      <c r="R70" s="3165">
        <f t="shared" si="19"/>
        <v>0</v>
      </c>
      <c r="S70" s="308">
        <f t="shared" si="30"/>
        <v>0</v>
      </c>
    </row>
    <row r="71" spans="1:19">
      <c r="A71" s="142"/>
      <c r="B71" s="52"/>
      <c r="C71" s="21">
        <f t="shared" si="11"/>
        <v>1</v>
      </c>
      <c r="D71" s="631"/>
      <c r="E71" s="21">
        <f t="shared" si="12"/>
        <v>0.06</v>
      </c>
      <c r="F71" s="631"/>
      <c r="G71" s="21">
        <f t="shared" si="13"/>
        <v>1</v>
      </c>
      <c r="H71" s="631"/>
      <c r="I71" s="21">
        <f t="shared" si="14"/>
        <v>0</v>
      </c>
      <c r="J71" s="631"/>
      <c r="K71" s="21">
        <f t="shared" si="15"/>
        <v>1</v>
      </c>
      <c r="L71" s="631"/>
      <c r="M71" s="21">
        <f t="shared" si="16"/>
        <v>1</v>
      </c>
      <c r="N71" s="631"/>
      <c r="O71" s="21">
        <f t="shared" si="17"/>
        <v>0</v>
      </c>
      <c r="P71" s="631"/>
      <c r="Q71" s="21">
        <f t="shared" si="18"/>
        <v>0</v>
      </c>
      <c r="R71" s="3165">
        <f t="shared" si="19"/>
        <v>0</v>
      </c>
      <c r="S71" s="308">
        <f t="shared" si="30"/>
        <v>0</v>
      </c>
    </row>
    <row r="72" spans="1:19">
      <c r="A72" s="142"/>
      <c r="B72" s="52"/>
      <c r="C72" s="21">
        <f t="shared" si="11"/>
        <v>1</v>
      </c>
      <c r="D72" s="631"/>
      <c r="E72" s="21">
        <f t="shared" si="12"/>
        <v>0.06</v>
      </c>
      <c r="F72" s="631"/>
      <c r="G72" s="21">
        <f t="shared" si="13"/>
        <v>1</v>
      </c>
      <c r="H72" s="631"/>
      <c r="I72" s="21">
        <f t="shared" si="14"/>
        <v>0</v>
      </c>
      <c r="J72" s="631"/>
      <c r="K72" s="21">
        <f t="shared" si="15"/>
        <v>1</v>
      </c>
      <c r="L72" s="631"/>
      <c r="M72" s="21">
        <f t="shared" si="16"/>
        <v>1</v>
      </c>
      <c r="N72" s="631"/>
      <c r="O72" s="21">
        <f t="shared" si="17"/>
        <v>0</v>
      </c>
      <c r="P72" s="631"/>
      <c r="Q72" s="21">
        <f t="shared" si="18"/>
        <v>0</v>
      </c>
      <c r="R72" s="3165">
        <f t="shared" si="19"/>
        <v>0</v>
      </c>
      <c r="S72" s="308">
        <f t="shared" si="30"/>
        <v>0</v>
      </c>
    </row>
    <row r="73" spans="1:19">
      <c r="A73" s="142"/>
      <c r="B73" s="52"/>
      <c r="C73" s="21">
        <f t="shared" si="11"/>
        <v>1</v>
      </c>
      <c r="D73" s="631"/>
      <c r="E73" s="21">
        <f t="shared" si="12"/>
        <v>0.06</v>
      </c>
      <c r="F73" s="631"/>
      <c r="G73" s="21">
        <f t="shared" si="13"/>
        <v>1</v>
      </c>
      <c r="H73" s="631"/>
      <c r="I73" s="21">
        <f t="shared" si="14"/>
        <v>0</v>
      </c>
      <c r="J73" s="631"/>
      <c r="K73" s="21">
        <f t="shared" si="15"/>
        <v>1</v>
      </c>
      <c r="L73" s="631"/>
      <c r="M73" s="21">
        <f t="shared" si="16"/>
        <v>1</v>
      </c>
      <c r="N73" s="631"/>
      <c r="O73" s="21">
        <f t="shared" si="17"/>
        <v>0</v>
      </c>
      <c r="P73" s="631"/>
      <c r="Q73" s="21">
        <f t="shared" si="18"/>
        <v>0</v>
      </c>
      <c r="R73" s="3165">
        <f t="shared" si="19"/>
        <v>0</v>
      </c>
      <c r="S73" s="308">
        <f t="shared" si="30"/>
        <v>0</v>
      </c>
    </row>
    <row r="74" spans="1:19">
      <c r="A74" s="142"/>
      <c r="B74" s="52"/>
      <c r="C74" s="21">
        <f t="shared" si="11"/>
        <v>1</v>
      </c>
      <c r="D74" s="631"/>
      <c r="E74" s="21">
        <f t="shared" si="12"/>
        <v>0.06</v>
      </c>
      <c r="F74" s="631"/>
      <c r="G74" s="21">
        <f t="shared" si="13"/>
        <v>1</v>
      </c>
      <c r="H74" s="631"/>
      <c r="I74" s="21">
        <f t="shared" si="14"/>
        <v>0</v>
      </c>
      <c r="J74" s="631"/>
      <c r="K74" s="21">
        <f t="shared" si="15"/>
        <v>1</v>
      </c>
      <c r="L74" s="631"/>
      <c r="M74" s="21">
        <f t="shared" si="16"/>
        <v>1</v>
      </c>
      <c r="N74" s="631"/>
      <c r="O74" s="21">
        <f t="shared" si="17"/>
        <v>0</v>
      </c>
      <c r="P74" s="631"/>
      <c r="Q74" s="21">
        <f t="shared" si="18"/>
        <v>0</v>
      </c>
      <c r="R74" s="3165">
        <f t="shared" si="19"/>
        <v>0</v>
      </c>
      <c r="S74" s="308">
        <f t="shared" si="30"/>
        <v>0</v>
      </c>
    </row>
    <row r="75" spans="1:19">
      <c r="A75" s="142"/>
      <c r="B75" s="52"/>
      <c r="C75" s="21">
        <f t="shared" si="11"/>
        <v>1</v>
      </c>
      <c r="D75" s="631"/>
      <c r="E75" s="21">
        <f t="shared" si="12"/>
        <v>0.06</v>
      </c>
      <c r="F75" s="631"/>
      <c r="G75" s="21">
        <f t="shared" si="13"/>
        <v>1</v>
      </c>
      <c r="H75" s="631"/>
      <c r="I75" s="21">
        <f t="shared" si="14"/>
        <v>0</v>
      </c>
      <c r="J75" s="631"/>
      <c r="K75" s="21">
        <f t="shared" si="15"/>
        <v>1</v>
      </c>
      <c r="L75" s="631"/>
      <c r="M75" s="21">
        <f t="shared" si="16"/>
        <v>1</v>
      </c>
      <c r="N75" s="631"/>
      <c r="O75" s="21">
        <f t="shared" si="17"/>
        <v>0</v>
      </c>
      <c r="P75" s="631"/>
      <c r="Q75" s="21">
        <f t="shared" si="18"/>
        <v>0</v>
      </c>
      <c r="R75" s="3165">
        <f t="shared" si="19"/>
        <v>0</v>
      </c>
      <c r="S75" s="308">
        <f t="shared" si="30"/>
        <v>0</v>
      </c>
    </row>
    <row r="76" spans="1:19">
      <c r="A76" s="142"/>
      <c r="B76" s="52"/>
      <c r="C76" s="21">
        <f t="shared" si="11"/>
        <v>1</v>
      </c>
      <c r="D76" s="631"/>
      <c r="E76" s="21">
        <f t="shared" si="12"/>
        <v>0.06</v>
      </c>
      <c r="F76" s="631"/>
      <c r="G76" s="21">
        <f t="shared" si="13"/>
        <v>1</v>
      </c>
      <c r="H76" s="631"/>
      <c r="I76" s="21">
        <f t="shared" si="14"/>
        <v>0</v>
      </c>
      <c r="J76" s="631"/>
      <c r="K76" s="21">
        <f t="shared" si="15"/>
        <v>1</v>
      </c>
      <c r="L76" s="631"/>
      <c r="M76" s="21">
        <f t="shared" si="16"/>
        <v>1</v>
      </c>
      <c r="N76" s="631"/>
      <c r="O76" s="21">
        <f t="shared" si="17"/>
        <v>0</v>
      </c>
      <c r="P76" s="631"/>
      <c r="Q76" s="21">
        <f t="shared" si="18"/>
        <v>0</v>
      </c>
      <c r="R76" s="3165">
        <f t="shared" si="19"/>
        <v>0</v>
      </c>
      <c r="S76" s="308">
        <f t="shared" si="30"/>
        <v>0</v>
      </c>
    </row>
    <row r="77" spans="1:19">
      <c r="A77" s="142"/>
      <c r="B77" s="52"/>
      <c r="C77" s="21">
        <f t="shared" si="11"/>
        <v>1</v>
      </c>
      <c r="D77" s="631"/>
      <c r="E77" s="21">
        <f t="shared" si="12"/>
        <v>0.06</v>
      </c>
      <c r="F77" s="631"/>
      <c r="G77" s="21">
        <f t="shared" si="13"/>
        <v>1</v>
      </c>
      <c r="H77" s="631"/>
      <c r="I77" s="21">
        <f t="shared" si="14"/>
        <v>0</v>
      </c>
      <c r="J77" s="631"/>
      <c r="K77" s="21">
        <f t="shared" si="15"/>
        <v>1</v>
      </c>
      <c r="L77" s="631"/>
      <c r="M77" s="21">
        <f t="shared" si="16"/>
        <v>1</v>
      </c>
      <c r="N77" s="631"/>
      <c r="O77" s="21">
        <f t="shared" si="17"/>
        <v>0</v>
      </c>
      <c r="P77" s="631"/>
      <c r="Q77" s="21">
        <f t="shared" si="18"/>
        <v>0</v>
      </c>
      <c r="R77" s="3165">
        <f t="shared" si="19"/>
        <v>0</v>
      </c>
      <c r="S77" s="308">
        <f t="shared" si="30"/>
        <v>0</v>
      </c>
    </row>
    <row r="78" spans="1:19">
      <c r="A78" s="142"/>
      <c r="B78" s="52"/>
      <c r="C78" s="21">
        <f t="shared" si="11"/>
        <v>1</v>
      </c>
      <c r="D78" s="631"/>
      <c r="E78" s="21">
        <f t="shared" si="12"/>
        <v>0.06</v>
      </c>
      <c r="F78" s="631"/>
      <c r="G78" s="21">
        <f t="shared" si="13"/>
        <v>1</v>
      </c>
      <c r="H78" s="631"/>
      <c r="I78" s="21">
        <f t="shared" si="14"/>
        <v>0</v>
      </c>
      <c r="J78" s="631"/>
      <c r="K78" s="21">
        <f t="shared" si="15"/>
        <v>1</v>
      </c>
      <c r="L78" s="631"/>
      <c r="M78" s="21">
        <f t="shared" si="16"/>
        <v>1</v>
      </c>
      <c r="N78" s="631"/>
      <c r="O78" s="21">
        <f t="shared" si="17"/>
        <v>0</v>
      </c>
      <c r="P78" s="631"/>
      <c r="Q78" s="21">
        <f t="shared" si="18"/>
        <v>0</v>
      </c>
      <c r="R78" s="3165">
        <f t="shared" si="19"/>
        <v>0</v>
      </c>
      <c r="S78" s="308">
        <f t="shared" si="30"/>
        <v>0</v>
      </c>
    </row>
    <row r="79" spans="1:19">
      <c r="A79" s="142"/>
      <c r="B79" s="52"/>
      <c r="C79" s="21">
        <f t="shared" si="11"/>
        <v>1</v>
      </c>
      <c r="D79" s="631"/>
      <c r="E79" s="21">
        <f t="shared" si="12"/>
        <v>0.06</v>
      </c>
      <c r="F79" s="631"/>
      <c r="G79" s="21">
        <f t="shared" si="13"/>
        <v>1</v>
      </c>
      <c r="H79" s="631"/>
      <c r="I79" s="21">
        <f t="shared" si="14"/>
        <v>0</v>
      </c>
      <c r="J79" s="631"/>
      <c r="K79" s="21">
        <f t="shared" si="15"/>
        <v>1</v>
      </c>
      <c r="L79" s="631"/>
      <c r="M79" s="21">
        <f t="shared" si="16"/>
        <v>1</v>
      </c>
      <c r="N79" s="631"/>
      <c r="O79" s="21">
        <f t="shared" si="17"/>
        <v>0</v>
      </c>
      <c r="P79" s="631"/>
      <c r="Q79" s="21">
        <f t="shared" si="18"/>
        <v>0</v>
      </c>
      <c r="R79" s="3165">
        <f t="shared" si="19"/>
        <v>0</v>
      </c>
      <c r="S79" s="308">
        <f t="shared" ref="S79:S123" si="31">ROUND(R79*B79/10000,0)</f>
        <v>0</v>
      </c>
    </row>
    <row r="80" spans="1:19">
      <c r="A80" s="142"/>
      <c r="B80" s="52"/>
      <c r="C80" s="21">
        <f t="shared" si="11"/>
        <v>1</v>
      </c>
      <c r="D80" s="631"/>
      <c r="E80" s="21">
        <f t="shared" si="12"/>
        <v>0.06</v>
      </c>
      <c r="F80" s="631"/>
      <c r="G80" s="21">
        <f t="shared" si="13"/>
        <v>1</v>
      </c>
      <c r="H80" s="631"/>
      <c r="I80" s="21">
        <f t="shared" si="14"/>
        <v>0</v>
      </c>
      <c r="J80" s="631"/>
      <c r="K80" s="21">
        <f t="shared" si="15"/>
        <v>1</v>
      </c>
      <c r="L80" s="631"/>
      <c r="M80" s="21">
        <f t="shared" si="16"/>
        <v>1</v>
      </c>
      <c r="N80" s="631"/>
      <c r="O80" s="21">
        <f t="shared" si="17"/>
        <v>0</v>
      </c>
      <c r="P80" s="631"/>
      <c r="Q80" s="21">
        <f t="shared" si="18"/>
        <v>0</v>
      </c>
      <c r="R80" s="3165">
        <f t="shared" si="19"/>
        <v>0</v>
      </c>
      <c r="S80" s="308">
        <f t="shared" si="31"/>
        <v>0</v>
      </c>
    </row>
    <row r="81" spans="1:19">
      <c r="A81" s="142"/>
      <c r="B81" s="52"/>
      <c r="C81" s="21">
        <f t="shared" si="11"/>
        <v>1</v>
      </c>
      <c r="D81" s="631"/>
      <c r="E81" s="21">
        <f t="shared" si="12"/>
        <v>0.06</v>
      </c>
      <c r="F81" s="631"/>
      <c r="G81" s="21">
        <f t="shared" si="13"/>
        <v>1</v>
      </c>
      <c r="H81" s="631"/>
      <c r="I81" s="21">
        <f t="shared" si="14"/>
        <v>0</v>
      </c>
      <c r="J81" s="631"/>
      <c r="K81" s="21">
        <f t="shared" si="15"/>
        <v>1</v>
      </c>
      <c r="L81" s="631"/>
      <c r="M81" s="21">
        <f t="shared" si="16"/>
        <v>1</v>
      </c>
      <c r="N81" s="631"/>
      <c r="O81" s="21">
        <f t="shared" si="17"/>
        <v>0</v>
      </c>
      <c r="P81" s="631"/>
      <c r="Q81" s="21">
        <f t="shared" si="18"/>
        <v>0</v>
      </c>
      <c r="R81" s="3165">
        <f t="shared" si="19"/>
        <v>0</v>
      </c>
      <c r="S81" s="308">
        <f t="shared" si="31"/>
        <v>0</v>
      </c>
    </row>
    <row r="82" spans="1:19">
      <c r="A82" s="142"/>
      <c r="B82" s="52"/>
      <c r="C82" s="21">
        <f t="shared" si="11"/>
        <v>1</v>
      </c>
      <c r="D82" s="631"/>
      <c r="E82" s="21">
        <f t="shared" si="12"/>
        <v>0.06</v>
      </c>
      <c r="F82" s="631"/>
      <c r="G82" s="21">
        <f t="shared" si="13"/>
        <v>1</v>
      </c>
      <c r="H82" s="631"/>
      <c r="I82" s="21">
        <f t="shared" si="14"/>
        <v>0</v>
      </c>
      <c r="J82" s="631"/>
      <c r="K82" s="21">
        <f t="shared" si="15"/>
        <v>1</v>
      </c>
      <c r="L82" s="631"/>
      <c r="M82" s="21">
        <f t="shared" si="16"/>
        <v>1</v>
      </c>
      <c r="N82" s="631"/>
      <c r="O82" s="21">
        <f t="shared" si="17"/>
        <v>0</v>
      </c>
      <c r="P82" s="631"/>
      <c r="Q82" s="21">
        <f t="shared" si="18"/>
        <v>0</v>
      </c>
      <c r="R82" s="3165">
        <f t="shared" si="19"/>
        <v>0</v>
      </c>
      <c r="S82" s="308">
        <f t="shared" si="31"/>
        <v>0</v>
      </c>
    </row>
    <row r="83" spans="1:19">
      <c r="A83" s="142"/>
      <c r="B83" s="52"/>
      <c r="C83" s="21">
        <f t="shared" si="11"/>
        <v>1</v>
      </c>
      <c r="D83" s="631"/>
      <c r="E83" s="21">
        <f t="shared" si="12"/>
        <v>0.06</v>
      </c>
      <c r="F83" s="631"/>
      <c r="G83" s="21">
        <f t="shared" si="13"/>
        <v>1</v>
      </c>
      <c r="H83" s="631"/>
      <c r="I83" s="21">
        <f t="shared" si="14"/>
        <v>0</v>
      </c>
      <c r="J83" s="631"/>
      <c r="K83" s="21">
        <f t="shared" si="15"/>
        <v>1</v>
      </c>
      <c r="L83" s="631"/>
      <c r="M83" s="21">
        <f t="shared" si="16"/>
        <v>1</v>
      </c>
      <c r="N83" s="631"/>
      <c r="O83" s="21">
        <f t="shared" si="17"/>
        <v>0</v>
      </c>
      <c r="P83" s="631"/>
      <c r="Q83" s="21">
        <f t="shared" si="18"/>
        <v>0</v>
      </c>
      <c r="R83" s="3165">
        <f t="shared" si="19"/>
        <v>0</v>
      </c>
      <c r="S83" s="308">
        <f t="shared" si="31"/>
        <v>0</v>
      </c>
    </row>
    <row r="84" spans="1:19">
      <c r="A84" s="142"/>
      <c r="B84" s="52"/>
      <c r="C84" s="21">
        <f t="shared" si="11"/>
        <v>1</v>
      </c>
      <c r="D84" s="631"/>
      <c r="E84" s="21">
        <f t="shared" si="12"/>
        <v>0.06</v>
      </c>
      <c r="F84" s="631"/>
      <c r="G84" s="21">
        <f t="shared" si="13"/>
        <v>1</v>
      </c>
      <c r="H84" s="631"/>
      <c r="I84" s="21">
        <f t="shared" si="14"/>
        <v>0</v>
      </c>
      <c r="J84" s="631"/>
      <c r="K84" s="21">
        <f t="shared" si="15"/>
        <v>1</v>
      </c>
      <c r="L84" s="631"/>
      <c r="M84" s="21">
        <f t="shared" si="16"/>
        <v>1</v>
      </c>
      <c r="N84" s="631"/>
      <c r="O84" s="21">
        <f t="shared" si="17"/>
        <v>0</v>
      </c>
      <c r="P84" s="631"/>
      <c r="Q84" s="21">
        <f t="shared" si="18"/>
        <v>0</v>
      </c>
      <c r="R84" s="3165">
        <f t="shared" si="19"/>
        <v>0</v>
      </c>
      <c r="S84" s="308">
        <f t="shared" si="31"/>
        <v>0</v>
      </c>
    </row>
    <row r="85" spans="1:19">
      <c r="A85" s="142"/>
      <c r="B85" s="52"/>
      <c r="C85" s="21">
        <f t="shared" si="11"/>
        <v>1</v>
      </c>
      <c r="D85" s="631"/>
      <c r="E85" s="21">
        <f t="shared" si="12"/>
        <v>0.06</v>
      </c>
      <c r="F85" s="631"/>
      <c r="G85" s="21">
        <f t="shared" si="13"/>
        <v>1</v>
      </c>
      <c r="H85" s="631"/>
      <c r="I85" s="21">
        <f t="shared" si="14"/>
        <v>0</v>
      </c>
      <c r="J85" s="631"/>
      <c r="K85" s="21">
        <f t="shared" si="15"/>
        <v>1</v>
      </c>
      <c r="L85" s="631"/>
      <c r="M85" s="21">
        <f t="shared" si="16"/>
        <v>1</v>
      </c>
      <c r="N85" s="631"/>
      <c r="O85" s="21">
        <f t="shared" si="17"/>
        <v>0</v>
      </c>
      <c r="P85" s="631"/>
      <c r="Q85" s="21">
        <f t="shared" si="18"/>
        <v>0</v>
      </c>
      <c r="R85" s="3165">
        <f t="shared" si="19"/>
        <v>0</v>
      </c>
      <c r="S85" s="308">
        <f t="shared" si="31"/>
        <v>0</v>
      </c>
    </row>
    <row r="86" spans="1:19">
      <c r="A86" s="142"/>
      <c r="B86" s="52"/>
      <c r="C86" s="21">
        <f t="shared" si="11"/>
        <v>1</v>
      </c>
      <c r="D86" s="631"/>
      <c r="E86" s="21">
        <f t="shared" si="12"/>
        <v>0.06</v>
      </c>
      <c r="F86" s="631"/>
      <c r="G86" s="21">
        <f t="shared" si="13"/>
        <v>1</v>
      </c>
      <c r="H86" s="631"/>
      <c r="I86" s="21">
        <f t="shared" si="14"/>
        <v>0</v>
      </c>
      <c r="J86" s="631"/>
      <c r="K86" s="21">
        <f t="shared" si="15"/>
        <v>1</v>
      </c>
      <c r="L86" s="631"/>
      <c r="M86" s="21">
        <f t="shared" si="16"/>
        <v>1</v>
      </c>
      <c r="N86" s="631"/>
      <c r="O86" s="21">
        <f t="shared" si="17"/>
        <v>0</v>
      </c>
      <c r="P86" s="631"/>
      <c r="Q86" s="21">
        <f t="shared" si="18"/>
        <v>0</v>
      </c>
      <c r="R86" s="3165">
        <f t="shared" si="19"/>
        <v>0</v>
      </c>
      <c r="S86" s="308">
        <f t="shared" si="31"/>
        <v>0</v>
      </c>
    </row>
    <row r="87" spans="1:19">
      <c r="A87" s="142"/>
      <c r="B87" s="52"/>
      <c r="C87" s="21">
        <f t="shared" si="11"/>
        <v>1</v>
      </c>
      <c r="D87" s="631"/>
      <c r="E87" s="21">
        <f t="shared" si="12"/>
        <v>0.06</v>
      </c>
      <c r="F87" s="631"/>
      <c r="G87" s="21">
        <f t="shared" si="13"/>
        <v>1</v>
      </c>
      <c r="H87" s="631"/>
      <c r="I87" s="21">
        <f t="shared" si="14"/>
        <v>0</v>
      </c>
      <c r="J87" s="631"/>
      <c r="K87" s="21">
        <f t="shared" si="15"/>
        <v>1</v>
      </c>
      <c r="L87" s="631"/>
      <c r="M87" s="21">
        <f t="shared" si="16"/>
        <v>1</v>
      </c>
      <c r="N87" s="631"/>
      <c r="O87" s="21">
        <f t="shared" si="17"/>
        <v>0</v>
      </c>
      <c r="P87" s="631"/>
      <c r="Q87" s="21">
        <f t="shared" si="18"/>
        <v>0</v>
      </c>
      <c r="R87" s="3165">
        <f t="shared" si="19"/>
        <v>0</v>
      </c>
      <c r="S87" s="308">
        <f t="shared" si="31"/>
        <v>0</v>
      </c>
    </row>
    <row r="88" spans="1:19">
      <c r="A88" s="142"/>
      <c r="B88" s="52"/>
      <c r="C88" s="21">
        <f t="shared" si="11"/>
        <v>1</v>
      </c>
      <c r="D88" s="631"/>
      <c r="E88" s="21">
        <f t="shared" si="12"/>
        <v>0.06</v>
      </c>
      <c r="F88" s="631"/>
      <c r="G88" s="21">
        <f t="shared" si="13"/>
        <v>1</v>
      </c>
      <c r="H88" s="631"/>
      <c r="I88" s="21">
        <f t="shared" si="14"/>
        <v>0</v>
      </c>
      <c r="J88" s="631"/>
      <c r="K88" s="21">
        <f t="shared" si="15"/>
        <v>1</v>
      </c>
      <c r="L88" s="631"/>
      <c r="M88" s="21">
        <f t="shared" si="16"/>
        <v>1</v>
      </c>
      <c r="N88" s="631"/>
      <c r="O88" s="21">
        <f t="shared" si="17"/>
        <v>0</v>
      </c>
      <c r="P88" s="631"/>
      <c r="Q88" s="21">
        <f t="shared" si="18"/>
        <v>0</v>
      </c>
      <c r="R88" s="3165">
        <f t="shared" si="19"/>
        <v>0</v>
      </c>
      <c r="S88" s="308">
        <f t="shared" si="31"/>
        <v>0</v>
      </c>
    </row>
    <row r="89" spans="1:19">
      <c r="A89" s="142"/>
      <c r="B89" s="52"/>
      <c r="C89" s="21">
        <f t="shared" si="11"/>
        <v>1</v>
      </c>
      <c r="D89" s="631"/>
      <c r="E89" s="21">
        <f t="shared" si="12"/>
        <v>0.06</v>
      </c>
      <c r="F89" s="631"/>
      <c r="G89" s="21">
        <f t="shared" si="13"/>
        <v>1</v>
      </c>
      <c r="H89" s="631"/>
      <c r="I89" s="21">
        <f t="shared" si="14"/>
        <v>0</v>
      </c>
      <c r="J89" s="631"/>
      <c r="K89" s="21">
        <f t="shared" si="15"/>
        <v>1</v>
      </c>
      <c r="L89" s="631"/>
      <c r="M89" s="21">
        <f t="shared" si="16"/>
        <v>1</v>
      </c>
      <c r="N89" s="631"/>
      <c r="O89" s="21">
        <f t="shared" si="17"/>
        <v>0</v>
      </c>
      <c r="P89" s="631"/>
      <c r="Q89" s="21">
        <f t="shared" si="18"/>
        <v>0</v>
      </c>
      <c r="R89" s="3165">
        <f t="shared" si="19"/>
        <v>0</v>
      </c>
      <c r="S89" s="308">
        <f t="shared" si="31"/>
        <v>0</v>
      </c>
    </row>
    <row r="90" spans="1:19">
      <c r="A90" s="142"/>
      <c r="B90" s="52"/>
      <c r="C90" s="21">
        <f t="shared" si="11"/>
        <v>1</v>
      </c>
      <c r="D90" s="631"/>
      <c r="E90" s="21">
        <f t="shared" si="12"/>
        <v>0.06</v>
      </c>
      <c r="F90" s="631"/>
      <c r="G90" s="21">
        <f t="shared" si="13"/>
        <v>1</v>
      </c>
      <c r="H90" s="631"/>
      <c r="I90" s="21">
        <f t="shared" si="14"/>
        <v>0</v>
      </c>
      <c r="J90" s="631"/>
      <c r="K90" s="21">
        <f t="shared" si="15"/>
        <v>1</v>
      </c>
      <c r="L90" s="631"/>
      <c r="M90" s="21">
        <f t="shared" si="16"/>
        <v>1</v>
      </c>
      <c r="N90" s="631"/>
      <c r="O90" s="21">
        <f t="shared" si="17"/>
        <v>0</v>
      </c>
      <c r="P90" s="631"/>
      <c r="Q90" s="21">
        <f t="shared" si="18"/>
        <v>0</v>
      </c>
      <c r="R90" s="3165">
        <f t="shared" si="19"/>
        <v>0</v>
      </c>
      <c r="S90" s="308">
        <f t="shared" si="31"/>
        <v>0</v>
      </c>
    </row>
    <row r="91" spans="1:19">
      <c r="A91" s="142"/>
      <c r="B91" s="52"/>
      <c r="C91" s="21">
        <f t="shared" ref="C91:C154" si="32">IF(B91="",1,(LOOKUP(B91,$3:$3,$4:$4)-LOOKUP($B$24,$3:$3,$4:$4)+100)/100)</f>
        <v>1</v>
      </c>
      <c r="D91" s="631"/>
      <c r="E91" s="21">
        <f t="shared" ref="E91:E154" si="33">(SUMIF($5:$5,D91,$6:$6)-SUMIF($5:$5,$D$24,$6:$6)+100)/100</f>
        <v>0.06</v>
      </c>
      <c r="F91" s="631"/>
      <c r="G91" s="21">
        <f t="shared" ref="G91:G154" si="34">(SUMIF($7:$7,F91,$8:$8)-SUMIF($7:$7,$F$24,$8:$8)+100)/100</f>
        <v>1</v>
      </c>
      <c r="H91" s="631"/>
      <c r="I91" s="21">
        <f t="shared" ref="I91:I154" si="35">(SUMIF($9:$9,H91,$10:$10)-SUMIF($9:$9,$H$24,$10:$10)+100)/100</f>
        <v>0</v>
      </c>
      <c r="J91" s="631"/>
      <c r="K91" s="21">
        <f t="shared" ref="K91:K154" si="36">(SUMIF($11:$11,J91,$12:$12)-SUMIF($11:$11,$J$24,$12:$12)+100)/100</f>
        <v>1</v>
      </c>
      <c r="L91" s="631"/>
      <c r="M91" s="21">
        <f t="shared" ref="M91:M154" si="37">(SUMIF($13:$13,L91,$14:$14)-SUMIF($13:$13,$L$24,$14:$14)+100)/100</f>
        <v>1</v>
      </c>
      <c r="N91" s="631"/>
      <c r="O91" s="21">
        <f t="shared" ref="O91:O154" si="38">(SUMIF($15:$15,N91,$16:$16)-SUMIF($15:$15,$N$24,$16:$16)+100)/100</f>
        <v>0</v>
      </c>
      <c r="P91" s="631"/>
      <c r="Q91" s="21">
        <f t="shared" ref="Q91:Q154" si="39">(SUMIF($17:$17,P91,$18:$18)-SUMIF($17:$17,$P$24,$18:$18)+100)/100</f>
        <v>0</v>
      </c>
      <c r="R91" s="3165">
        <f t="shared" ref="R91:R102" si="40">IF(B91="",0,ROUND($R$24*C91*E91*G91*I91*K91*M91*O91*Q91,2))</f>
        <v>0</v>
      </c>
      <c r="S91" s="308">
        <f t="shared" si="31"/>
        <v>0</v>
      </c>
    </row>
    <row r="92" spans="1:19">
      <c r="A92" s="142"/>
      <c r="B92" s="52"/>
      <c r="C92" s="21">
        <f t="shared" si="32"/>
        <v>1</v>
      </c>
      <c r="D92" s="631"/>
      <c r="E92" s="21">
        <f t="shared" si="33"/>
        <v>0.06</v>
      </c>
      <c r="F92" s="631"/>
      <c r="G92" s="21">
        <f t="shared" si="34"/>
        <v>1</v>
      </c>
      <c r="H92" s="631"/>
      <c r="I92" s="21">
        <f t="shared" si="35"/>
        <v>0</v>
      </c>
      <c r="J92" s="631"/>
      <c r="K92" s="21">
        <f t="shared" si="36"/>
        <v>1</v>
      </c>
      <c r="L92" s="631"/>
      <c r="M92" s="21">
        <f t="shared" si="37"/>
        <v>1</v>
      </c>
      <c r="N92" s="631"/>
      <c r="O92" s="21">
        <f t="shared" si="38"/>
        <v>0</v>
      </c>
      <c r="P92" s="631"/>
      <c r="Q92" s="21">
        <f t="shared" si="39"/>
        <v>0</v>
      </c>
      <c r="R92" s="3165">
        <f t="shared" si="40"/>
        <v>0</v>
      </c>
      <c r="S92" s="308">
        <f t="shared" si="31"/>
        <v>0</v>
      </c>
    </row>
    <row r="93" spans="1:19">
      <c r="A93" s="142"/>
      <c r="B93" s="52"/>
      <c r="C93" s="21">
        <f t="shared" si="32"/>
        <v>1</v>
      </c>
      <c r="D93" s="631"/>
      <c r="E93" s="21">
        <f t="shared" si="33"/>
        <v>0.06</v>
      </c>
      <c r="F93" s="631"/>
      <c r="G93" s="21">
        <f t="shared" si="34"/>
        <v>1</v>
      </c>
      <c r="H93" s="631"/>
      <c r="I93" s="21">
        <f t="shared" si="35"/>
        <v>0</v>
      </c>
      <c r="J93" s="631"/>
      <c r="K93" s="21">
        <f t="shared" si="36"/>
        <v>1</v>
      </c>
      <c r="L93" s="631"/>
      <c r="M93" s="21">
        <f t="shared" si="37"/>
        <v>1</v>
      </c>
      <c r="N93" s="631"/>
      <c r="O93" s="21">
        <f t="shared" si="38"/>
        <v>0</v>
      </c>
      <c r="P93" s="631"/>
      <c r="Q93" s="21">
        <f t="shared" si="39"/>
        <v>0</v>
      </c>
      <c r="R93" s="3165">
        <f t="shared" si="40"/>
        <v>0</v>
      </c>
      <c r="S93" s="308">
        <f t="shared" si="31"/>
        <v>0</v>
      </c>
    </row>
    <row r="94" spans="1:19">
      <c r="A94" s="142"/>
      <c r="B94" s="52"/>
      <c r="C94" s="21">
        <f t="shared" si="32"/>
        <v>1</v>
      </c>
      <c r="D94" s="631"/>
      <c r="E94" s="21">
        <f t="shared" si="33"/>
        <v>0.06</v>
      </c>
      <c r="F94" s="631"/>
      <c r="G94" s="21">
        <f t="shared" si="34"/>
        <v>1</v>
      </c>
      <c r="H94" s="631"/>
      <c r="I94" s="21">
        <f t="shared" si="35"/>
        <v>0</v>
      </c>
      <c r="J94" s="631"/>
      <c r="K94" s="21">
        <f t="shared" si="36"/>
        <v>1</v>
      </c>
      <c r="L94" s="631"/>
      <c r="M94" s="21">
        <f t="shared" si="37"/>
        <v>1</v>
      </c>
      <c r="N94" s="631"/>
      <c r="O94" s="21">
        <f t="shared" si="38"/>
        <v>0</v>
      </c>
      <c r="P94" s="631"/>
      <c r="Q94" s="21">
        <f t="shared" si="39"/>
        <v>0</v>
      </c>
      <c r="R94" s="3165">
        <f t="shared" si="40"/>
        <v>0</v>
      </c>
      <c r="S94" s="308">
        <f t="shared" si="31"/>
        <v>0</v>
      </c>
    </row>
    <row r="95" spans="1:19">
      <c r="A95" s="142"/>
      <c r="B95" s="52"/>
      <c r="C95" s="21">
        <f t="shared" si="32"/>
        <v>1</v>
      </c>
      <c r="D95" s="631"/>
      <c r="E95" s="21">
        <f t="shared" si="33"/>
        <v>0.06</v>
      </c>
      <c r="F95" s="631"/>
      <c r="G95" s="21">
        <f t="shared" si="34"/>
        <v>1</v>
      </c>
      <c r="H95" s="631"/>
      <c r="I95" s="21">
        <f t="shared" si="35"/>
        <v>0</v>
      </c>
      <c r="J95" s="631"/>
      <c r="K95" s="21">
        <f t="shared" si="36"/>
        <v>1</v>
      </c>
      <c r="L95" s="631"/>
      <c r="M95" s="21">
        <f t="shared" si="37"/>
        <v>1</v>
      </c>
      <c r="N95" s="631"/>
      <c r="O95" s="21">
        <f t="shared" si="38"/>
        <v>0</v>
      </c>
      <c r="P95" s="631"/>
      <c r="Q95" s="21">
        <f t="shared" si="39"/>
        <v>0</v>
      </c>
      <c r="R95" s="3165">
        <f t="shared" si="40"/>
        <v>0</v>
      </c>
      <c r="S95" s="308">
        <f t="shared" si="31"/>
        <v>0</v>
      </c>
    </row>
    <row r="96" spans="1:19">
      <c r="A96" s="142"/>
      <c r="B96" s="52"/>
      <c r="C96" s="21">
        <f t="shared" si="32"/>
        <v>1</v>
      </c>
      <c r="D96" s="631"/>
      <c r="E96" s="21">
        <f t="shared" si="33"/>
        <v>0.06</v>
      </c>
      <c r="F96" s="631"/>
      <c r="G96" s="21">
        <f t="shared" si="34"/>
        <v>1</v>
      </c>
      <c r="H96" s="631"/>
      <c r="I96" s="21">
        <f t="shared" si="35"/>
        <v>0</v>
      </c>
      <c r="J96" s="631"/>
      <c r="K96" s="21">
        <f t="shared" si="36"/>
        <v>1</v>
      </c>
      <c r="L96" s="631"/>
      <c r="M96" s="21">
        <f t="shared" si="37"/>
        <v>1</v>
      </c>
      <c r="N96" s="631"/>
      <c r="O96" s="21">
        <f t="shared" si="38"/>
        <v>0</v>
      </c>
      <c r="P96" s="631"/>
      <c r="Q96" s="21">
        <f t="shared" si="39"/>
        <v>0</v>
      </c>
      <c r="R96" s="3165">
        <f t="shared" si="40"/>
        <v>0</v>
      </c>
      <c r="S96" s="308">
        <f t="shared" si="31"/>
        <v>0</v>
      </c>
    </row>
    <row r="97" spans="1:19">
      <c r="A97" s="142"/>
      <c r="B97" s="52"/>
      <c r="C97" s="21">
        <f t="shared" si="32"/>
        <v>1</v>
      </c>
      <c r="D97" s="631"/>
      <c r="E97" s="21">
        <f t="shared" si="33"/>
        <v>0.06</v>
      </c>
      <c r="F97" s="631"/>
      <c r="G97" s="21">
        <f t="shared" si="34"/>
        <v>1</v>
      </c>
      <c r="H97" s="631"/>
      <c r="I97" s="21">
        <f t="shared" si="35"/>
        <v>0</v>
      </c>
      <c r="J97" s="631"/>
      <c r="K97" s="21">
        <f t="shared" si="36"/>
        <v>1</v>
      </c>
      <c r="L97" s="631"/>
      <c r="M97" s="21">
        <f t="shared" si="37"/>
        <v>1</v>
      </c>
      <c r="N97" s="631"/>
      <c r="O97" s="21">
        <f t="shared" si="38"/>
        <v>0</v>
      </c>
      <c r="P97" s="631"/>
      <c r="Q97" s="21">
        <f t="shared" si="39"/>
        <v>0</v>
      </c>
      <c r="R97" s="3165">
        <f t="shared" si="40"/>
        <v>0</v>
      </c>
      <c r="S97" s="308">
        <f t="shared" si="31"/>
        <v>0</v>
      </c>
    </row>
    <row r="98" spans="1:19">
      <c r="A98" s="142"/>
      <c r="B98" s="52"/>
      <c r="C98" s="21">
        <f t="shared" si="32"/>
        <v>1</v>
      </c>
      <c r="D98" s="631"/>
      <c r="E98" s="21">
        <f t="shared" si="33"/>
        <v>0.06</v>
      </c>
      <c r="F98" s="631"/>
      <c r="G98" s="21">
        <f t="shared" si="34"/>
        <v>1</v>
      </c>
      <c r="H98" s="631"/>
      <c r="I98" s="21">
        <f t="shared" si="35"/>
        <v>0</v>
      </c>
      <c r="J98" s="631"/>
      <c r="K98" s="21">
        <f t="shared" si="36"/>
        <v>1</v>
      </c>
      <c r="L98" s="631"/>
      <c r="M98" s="21">
        <f t="shared" si="37"/>
        <v>1</v>
      </c>
      <c r="N98" s="631"/>
      <c r="O98" s="21">
        <f t="shared" si="38"/>
        <v>0</v>
      </c>
      <c r="P98" s="631"/>
      <c r="Q98" s="21">
        <f t="shared" si="39"/>
        <v>0</v>
      </c>
      <c r="R98" s="3165">
        <f t="shared" si="40"/>
        <v>0</v>
      </c>
      <c r="S98" s="308">
        <f t="shared" si="31"/>
        <v>0</v>
      </c>
    </row>
    <row r="99" spans="1:19">
      <c r="A99" s="142"/>
      <c r="B99" s="52"/>
      <c r="C99" s="21">
        <f t="shared" si="32"/>
        <v>1</v>
      </c>
      <c r="D99" s="631"/>
      <c r="E99" s="21">
        <f t="shared" si="33"/>
        <v>0.06</v>
      </c>
      <c r="F99" s="631"/>
      <c r="G99" s="21">
        <f t="shared" si="34"/>
        <v>1</v>
      </c>
      <c r="H99" s="631"/>
      <c r="I99" s="21">
        <f t="shared" si="35"/>
        <v>0</v>
      </c>
      <c r="J99" s="631"/>
      <c r="K99" s="21">
        <f t="shared" si="36"/>
        <v>1</v>
      </c>
      <c r="L99" s="631"/>
      <c r="M99" s="21">
        <f t="shared" si="37"/>
        <v>1</v>
      </c>
      <c r="N99" s="631"/>
      <c r="O99" s="21">
        <f t="shared" si="38"/>
        <v>0</v>
      </c>
      <c r="P99" s="631"/>
      <c r="Q99" s="21">
        <f t="shared" si="39"/>
        <v>0</v>
      </c>
      <c r="R99" s="3165">
        <f t="shared" si="40"/>
        <v>0</v>
      </c>
      <c r="S99" s="308">
        <f t="shared" si="31"/>
        <v>0</v>
      </c>
    </row>
    <row r="100" spans="1:19">
      <c r="A100" s="142"/>
      <c r="B100" s="52"/>
      <c r="C100" s="21">
        <f t="shared" si="32"/>
        <v>1</v>
      </c>
      <c r="D100" s="631"/>
      <c r="E100" s="21">
        <f t="shared" si="33"/>
        <v>0.06</v>
      </c>
      <c r="F100" s="631"/>
      <c r="G100" s="21">
        <f t="shared" si="34"/>
        <v>1</v>
      </c>
      <c r="H100" s="631"/>
      <c r="I100" s="21">
        <f t="shared" si="35"/>
        <v>0</v>
      </c>
      <c r="J100" s="631"/>
      <c r="K100" s="21">
        <f t="shared" si="36"/>
        <v>1</v>
      </c>
      <c r="L100" s="631"/>
      <c r="M100" s="21">
        <f t="shared" si="37"/>
        <v>1</v>
      </c>
      <c r="N100" s="631"/>
      <c r="O100" s="21">
        <f t="shared" si="38"/>
        <v>0</v>
      </c>
      <c r="P100" s="631"/>
      <c r="Q100" s="21">
        <f t="shared" si="39"/>
        <v>0</v>
      </c>
      <c r="R100" s="3165">
        <f t="shared" si="40"/>
        <v>0</v>
      </c>
      <c r="S100" s="308">
        <f t="shared" si="31"/>
        <v>0</v>
      </c>
    </row>
    <row r="101" spans="1:19">
      <c r="A101" s="142"/>
      <c r="B101" s="52"/>
      <c r="C101" s="21">
        <f t="shared" si="32"/>
        <v>1</v>
      </c>
      <c r="D101" s="631"/>
      <c r="E101" s="21">
        <f t="shared" si="33"/>
        <v>0.06</v>
      </c>
      <c r="F101" s="631"/>
      <c r="G101" s="21">
        <f t="shared" si="34"/>
        <v>1</v>
      </c>
      <c r="H101" s="631"/>
      <c r="I101" s="21">
        <f t="shared" si="35"/>
        <v>0</v>
      </c>
      <c r="J101" s="631"/>
      <c r="K101" s="21">
        <f t="shared" si="36"/>
        <v>1</v>
      </c>
      <c r="L101" s="631"/>
      <c r="M101" s="21">
        <f t="shared" si="37"/>
        <v>1</v>
      </c>
      <c r="N101" s="631"/>
      <c r="O101" s="21">
        <f t="shared" si="38"/>
        <v>0</v>
      </c>
      <c r="P101" s="631"/>
      <c r="Q101" s="21">
        <f t="shared" si="39"/>
        <v>0</v>
      </c>
      <c r="R101" s="3165">
        <f t="shared" si="40"/>
        <v>0</v>
      </c>
      <c r="S101" s="308">
        <f t="shared" si="31"/>
        <v>0</v>
      </c>
    </row>
    <row r="102" spans="1:19">
      <c r="A102" s="142"/>
      <c r="B102" s="52"/>
      <c r="C102" s="21">
        <f t="shared" si="32"/>
        <v>1</v>
      </c>
      <c r="D102" s="631"/>
      <c r="E102" s="21">
        <f t="shared" si="33"/>
        <v>0.06</v>
      </c>
      <c r="F102" s="631"/>
      <c r="G102" s="21">
        <f t="shared" si="34"/>
        <v>1</v>
      </c>
      <c r="H102" s="631"/>
      <c r="I102" s="21">
        <f t="shared" si="35"/>
        <v>0</v>
      </c>
      <c r="J102" s="631"/>
      <c r="K102" s="21">
        <f t="shared" si="36"/>
        <v>1</v>
      </c>
      <c r="L102" s="631"/>
      <c r="M102" s="21">
        <f t="shared" si="37"/>
        <v>1</v>
      </c>
      <c r="N102" s="631"/>
      <c r="O102" s="21">
        <f t="shared" si="38"/>
        <v>0</v>
      </c>
      <c r="P102" s="631"/>
      <c r="Q102" s="21">
        <f t="shared" si="39"/>
        <v>0</v>
      </c>
      <c r="R102" s="3165">
        <f t="shared" si="40"/>
        <v>0</v>
      </c>
      <c r="S102" s="308">
        <f t="shared" si="31"/>
        <v>0</v>
      </c>
    </row>
    <row r="103" spans="1:19">
      <c r="A103" s="142"/>
      <c r="B103" s="52"/>
      <c r="C103" s="21">
        <f t="shared" si="32"/>
        <v>1</v>
      </c>
      <c r="D103" s="631"/>
      <c r="E103" s="21">
        <f t="shared" si="33"/>
        <v>0.06</v>
      </c>
      <c r="F103" s="631"/>
      <c r="G103" s="21">
        <f t="shared" si="34"/>
        <v>1</v>
      </c>
      <c r="H103" s="631"/>
      <c r="I103" s="21">
        <f t="shared" si="35"/>
        <v>0</v>
      </c>
      <c r="J103" s="631"/>
      <c r="K103" s="21">
        <f t="shared" si="36"/>
        <v>1</v>
      </c>
      <c r="L103" s="631"/>
      <c r="M103" s="21">
        <f t="shared" si="37"/>
        <v>1</v>
      </c>
      <c r="N103" s="631"/>
      <c r="O103" s="21">
        <f t="shared" si="38"/>
        <v>0</v>
      </c>
      <c r="P103" s="631"/>
      <c r="Q103" s="21">
        <f t="shared" si="39"/>
        <v>0</v>
      </c>
      <c r="R103" s="21">
        <f t="shared" ref="R103:R154" si="41">IF(B103="",0,ROUND($R$24*C103*E103*G103*I103*K103*M103*O103*Q103,0))</f>
        <v>0</v>
      </c>
      <c r="S103" s="308">
        <f t="shared" si="31"/>
        <v>0</v>
      </c>
    </row>
    <row r="104" spans="1:19">
      <c r="A104" s="142"/>
      <c r="B104" s="52"/>
      <c r="C104" s="21">
        <f t="shared" si="32"/>
        <v>1</v>
      </c>
      <c r="D104" s="631"/>
      <c r="E104" s="21">
        <f t="shared" si="33"/>
        <v>0.06</v>
      </c>
      <c r="F104" s="631"/>
      <c r="G104" s="21">
        <f t="shared" si="34"/>
        <v>1</v>
      </c>
      <c r="H104" s="631"/>
      <c r="I104" s="21">
        <f t="shared" si="35"/>
        <v>0</v>
      </c>
      <c r="J104" s="631"/>
      <c r="K104" s="21">
        <f t="shared" si="36"/>
        <v>1</v>
      </c>
      <c r="L104" s="631"/>
      <c r="M104" s="21">
        <f t="shared" si="37"/>
        <v>1</v>
      </c>
      <c r="N104" s="631"/>
      <c r="O104" s="21">
        <f t="shared" si="38"/>
        <v>0</v>
      </c>
      <c r="P104" s="631"/>
      <c r="Q104" s="21">
        <f t="shared" si="39"/>
        <v>0</v>
      </c>
      <c r="R104" s="21">
        <f t="shared" si="41"/>
        <v>0</v>
      </c>
      <c r="S104" s="308">
        <f t="shared" si="31"/>
        <v>0</v>
      </c>
    </row>
    <row r="105" spans="1:19">
      <c r="A105" s="142"/>
      <c r="B105" s="52"/>
      <c r="C105" s="21">
        <f t="shared" si="32"/>
        <v>1</v>
      </c>
      <c r="D105" s="631"/>
      <c r="E105" s="21">
        <f t="shared" si="33"/>
        <v>0.06</v>
      </c>
      <c r="F105" s="631"/>
      <c r="G105" s="21">
        <f t="shared" si="34"/>
        <v>1</v>
      </c>
      <c r="H105" s="631"/>
      <c r="I105" s="21">
        <f t="shared" si="35"/>
        <v>0</v>
      </c>
      <c r="J105" s="631"/>
      <c r="K105" s="21">
        <f t="shared" si="36"/>
        <v>1</v>
      </c>
      <c r="L105" s="631"/>
      <c r="M105" s="21">
        <f t="shared" si="37"/>
        <v>1</v>
      </c>
      <c r="N105" s="631"/>
      <c r="O105" s="21">
        <f t="shared" si="38"/>
        <v>0</v>
      </c>
      <c r="P105" s="631"/>
      <c r="Q105" s="21">
        <f t="shared" si="39"/>
        <v>0</v>
      </c>
      <c r="R105" s="21">
        <f t="shared" si="41"/>
        <v>0</v>
      </c>
      <c r="S105" s="308">
        <f t="shared" si="31"/>
        <v>0</v>
      </c>
    </row>
    <row r="106" spans="1:19">
      <c r="A106" s="142"/>
      <c r="B106" s="52"/>
      <c r="C106" s="21">
        <f t="shared" si="32"/>
        <v>1</v>
      </c>
      <c r="D106" s="631"/>
      <c r="E106" s="21">
        <f t="shared" si="33"/>
        <v>0.06</v>
      </c>
      <c r="F106" s="631"/>
      <c r="G106" s="21">
        <f t="shared" si="34"/>
        <v>1</v>
      </c>
      <c r="H106" s="631"/>
      <c r="I106" s="21">
        <f t="shared" si="35"/>
        <v>0</v>
      </c>
      <c r="J106" s="631"/>
      <c r="K106" s="21">
        <f t="shared" si="36"/>
        <v>1</v>
      </c>
      <c r="L106" s="631"/>
      <c r="M106" s="21">
        <f t="shared" si="37"/>
        <v>1</v>
      </c>
      <c r="N106" s="631"/>
      <c r="O106" s="21">
        <f t="shared" si="38"/>
        <v>0</v>
      </c>
      <c r="P106" s="631"/>
      <c r="Q106" s="21">
        <f t="shared" si="39"/>
        <v>0</v>
      </c>
      <c r="R106" s="21">
        <f t="shared" si="41"/>
        <v>0</v>
      </c>
      <c r="S106" s="308">
        <f t="shared" si="31"/>
        <v>0</v>
      </c>
    </row>
    <row r="107" spans="1:19">
      <c r="A107" s="142"/>
      <c r="B107" s="52"/>
      <c r="C107" s="21">
        <f t="shared" si="32"/>
        <v>1</v>
      </c>
      <c r="D107" s="631"/>
      <c r="E107" s="21">
        <f t="shared" si="33"/>
        <v>0.06</v>
      </c>
      <c r="F107" s="631"/>
      <c r="G107" s="21">
        <f t="shared" si="34"/>
        <v>1</v>
      </c>
      <c r="H107" s="631"/>
      <c r="I107" s="21">
        <f t="shared" si="35"/>
        <v>0</v>
      </c>
      <c r="J107" s="631"/>
      <c r="K107" s="21">
        <f t="shared" si="36"/>
        <v>1</v>
      </c>
      <c r="L107" s="631"/>
      <c r="M107" s="21">
        <f t="shared" si="37"/>
        <v>1</v>
      </c>
      <c r="N107" s="631"/>
      <c r="O107" s="21">
        <f t="shared" si="38"/>
        <v>0</v>
      </c>
      <c r="P107" s="631"/>
      <c r="Q107" s="21">
        <f t="shared" si="39"/>
        <v>0</v>
      </c>
      <c r="R107" s="21">
        <f t="shared" si="41"/>
        <v>0</v>
      </c>
      <c r="S107" s="308">
        <f t="shared" si="31"/>
        <v>0</v>
      </c>
    </row>
    <row r="108" spans="1:19">
      <c r="A108" s="142"/>
      <c r="B108" s="52"/>
      <c r="C108" s="21">
        <f t="shared" si="32"/>
        <v>1</v>
      </c>
      <c r="D108" s="631"/>
      <c r="E108" s="21">
        <f t="shared" si="33"/>
        <v>0.06</v>
      </c>
      <c r="F108" s="631"/>
      <c r="G108" s="21">
        <f t="shared" si="34"/>
        <v>1</v>
      </c>
      <c r="H108" s="631"/>
      <c r="I108" s="21">
        <f t="shared" si="35"/>
        <v>0</v>
      </c>
      <c r="J108" s="631"/>
      <c r="K108" s="21">
        <f t="shared" si="36"/>
        <v>1</v>
      </c>
      <c r="L108" s="631"/>
      <c r="M108" s="21">
        <f t="shared" si="37"/>
        <v>1</v>
      </c>
      <c r="N108" s="631"/>
      <c r="O108" s="21">
        <f t="shared" si="38"/>
        <v>0</v>
      </c>
      <c r="P108" s="631"/>
      <c r="Q108" s="21">
        <f t="shared" si="39"/>
        <v>0</v>
      </c>
      <c r="R108" s="21">
        <f t="shared" si="41"/>
        <v>0</v>
      </c>
      <c r="S108" s="308">
        <f t="shared" si="31"/>
        <v>0</v>
      </c>
    </row>
    <row r="109" spans="1:19">
      <c r="A109" s="142"/>
      <c r="B109" s="52"/>
      <c r="C109" s="21">
        <f t="shared" si="32"/>
        <v>1</v>
      </c>
      <c r="D109" s="631"/>
      <c r="E109" s="21">
        <f t="shared" si="33"/>
        <v>0.06</v>
      </c>
      <c r="F109" s="631"/>
      <c r="G109" s="21">
        <f t="shared" si="34"/>
        <v>1</v>
      </c>
      <c r="H109" s="631"/>
      <c r="I109" s="21">
        <f t="shared" si="35"/>
        <v>0</v>
      </c>
      <c r="J109" s="631"/>
      <c r="K109" s="21">
        <f t="shared" si="36"/>
        <v>1</v>
      </c>
      <c r="L109" s="631"/>
      <c r="M109" s="21">
        <f t="shared" si="37"/>
        <v>1</v>
      </c>
      <c r="N109" s="631"/>
      <c r="O109" s="21">
        <f t="shared" si="38"/>
        <v>0</v>
      </c>
      <c r="P109" s="631"/>
      <c r="Q109" s="21">
        <f t="shared" si="39"/>
        <v>0</v>
      </c>
      <c r="R109" s="21">
        <f t="shared" si="41"/>
        <v>0</v>
      </c>
      <c r="S109" s="308">
        <f t="shared" si="31"/>
        <v>0</v>
      </c>
    </row>
    <row r="110" spans="1:19">
      <c r="A110" s="142"/>
      <c r="B110" s="52"/>
      <c r="C110" s="21">
        <f t="shared" si="32"/>
        <v>1</v>
      </c>
      <c r="D110" s="631"/>
      <c r="E110" s="21">
        <f t="shared" si="33"/>
        <v>0.06</v>
      </c>
      <c r="F110" s="631"/>
      <c r="G110" s="21">
        <f t="shared" si="34"/>
        <v>1</v>
      </c>
      <c r="H110" s="631"/>
      <c r="I110" s="21">
        <f t="shared" si="35"/>
        <v>0</v>
      </c>
      <c r="J110" s="631"/>
      <c r="K110" s="21">
        <f t="shared" si="36"/>
        <v>1</v>
      </c>
      <c r="L110" s="631"/>
      <c r="M110" s="21">
        <f t="shared" si="37"/>
        <v>1</v>
      </c>
      <c r="N110" s="631"/>
      <c r="O110" s="21">
        <f t="shared" si="38"/>
        <v>0</v>
      </c>
      <c r="P110" s="631"/>
      <c r="Q110" s="21">
        <f t="shared" si="39"/>
        <v>0</v>
      </c>
      <c r="R110" s="21">
        <f t="shared" si="41"/>
        <v>0</v>
      </c>
      <c r="S110" s="308">
        <f t="shared" si="31"/>
        <v>0</v>
      </c>
    </row>
    <row r="111" spans="1:19">
      <c r="A111" s="142"/>
      <c r="B111" s="52"/>
      <c r="C111" s="21">
        <f t="shared" si="32"/>
        <v>1</v>
      </c>
      <c r="D111" s="631"/>
      <c r="E111" s="21">
        <f t="shared" si="33"/>
        <v>0.06</v>
      </c>
      <c r="F111" s="631"/>
      <c r="G111" s="21">
        <f t="shared" si="34"/>
        <v>1</v>
      </c>
      <c r="H111" s="631"/>
      <c r="I111" s="21">
        <f t="shared" si="35"/>
        <v>0</v>
      </c>
      <c r="J111" s="631"/>
      <c r="K111" s="21">
        <f t="shared" si="36"/>
        <v>1</v>
      </c>
      <c r="L111" s="631"/>
      <c r="M111" s="21">
        <f t="shared" si="37"/>
        <v>1</v>
      </c>
      <c r="N111" s="631"/>
      <c r="O111" s="21">
        <f t="shared" si="38"/>
        <v>0</v>
      </c>
      <c r="P111" s="631"/>
      <c r="Q111" s="21">
        <f t="shared" si="39"/>
        <v>0</v>
      </c>
      <c r="R111" s="21">
        <f t="shared" si="41"/>
        <v>0</v>
      </c>
      <c r="S111" s="308">
        <f t="shared" si="31"/>
        <v>0</v>
      </c>
    </row>
    <row r="112" spans="1:19">
      <c r="A112" s="142"/>
      <c r="B112" s="52"/>
      <c r="C112" s="21">
        <f t="shared" si="32"/>
        <v>1</v>
      </c>
      <c r="D112" s="631"/>
      <c r="E112" s="21">
        <f t="shared" si="33"/>
        <v>0.06</v>
      </c>
      <c r="F112" s="631"/>
      <c r="G112" s="21">
        <f t="shared" si="34"/>
        <v>1</v>
      </c>
      <c r="H112" s="631"/>
      <c r="I112" s="21">
        <f t="shared" si="35"/>
        <v>0</v>
      </c>
      <c r="J112" s="631"/>
      <c r="K112" s="21">
        <f t="shared" si="36"/>
        <v>1</v>
      </c>
      <c r="L112" s="631"/>
      <c r="M112" s="21">
        <f t="shared" si="37"/>
        <v>1</v>
      </c>
      <c r="N112" s="631"/>
      <c r="O112" s="21">
        <f t="shared" si="38"/>
        <v>0</v>
      </c>
      <c r="P112" s="631"/>
      <c r="Q112" s="21">
        <f t="shared" si="39"/>
        <v>0</v>
      </c>
      <c r="R112" s="21">
        <f t="shared" si="41"/>
        <v>0</v>
      </c>
      <c r="S112" s="308">
        <f t="shared" si="31"/>
        <v>0</v>
      </c>
    </row>
    <row r="113" spans="1:19">
      <c r="A113" s="142"/>
      <c r="B113" s="52"/>
      <c r="C113" s="21">
        <f t="shared" si="32"/>
        <v>1</v>
      </c>
      <c r="D113" s="631"/>
      <c r="E113" s="21">
        <f t="shared" si="33"/>
        <v>0.06</v>
      </c>
      <c r="F113" s="631"/>
      <c r="G113" s="21">
        <f t="shared" si="34"/>
        <v>1</v>
      </c>
      <c r="H113" s="631"/>
      <c r="I113" s="21">
        <f t="shared" si="35"/>
        <v>0</v>
      </c>
      <c r="J113" s="631"/>
      <c r="K113" s="21">
        <f t="shared" si="36"/>
        <v>1</v>
      </c>
      <c r="L113" s="631"/>
      <c r="M113" s="21">
        <f t="shared" si="37"/>
        <v>1</v>
      </c>
      <c r="N113" s="631"/>
      <c r="O113" s="21">
        <f t="shared" si="38"/>
        <v>0</v>
      </c>
      <c r="P113" s="631"/>
      <c r="Q113" s="21">
        <f t="shared" si="39"/>
        <v>0</v>
      </c>
      <c r="R113" s="21">
        <f t="shared" si="41"/>
        <v>0</v>
      </c>
      <c r="S113" s="308">
        <f t="shared" si="31"/>
        <v>0</v>
      </c>
    </row>
    <row r="114" spans="1:19">
      <c r="A114" s="142"/>
      <c r="B114" s="52"/>
      <c r="C114" s="21">
        <f t="shared" si="32"/>
        <v>1</v>
      </c>
      <c r="D114" s="631"/>
      <c r="E114" s="21">
        <f t="shared" si="33"/>
        <v>0.06</v>
      </c>
      <c r="F114" s="631"/>
      <c r="G114" s="21">
        <f t="shared" si="34"/>
        <v>1</v>
      </c>
      <c r="H114" s="631"/>
      <c r="I114" s="21">
        <f t="shared" si="35"/>
        <v>0</v>
      </c>
      <c r="J114" s="631"/>
      <c r="K114" s="21">
        <f t="shared" si="36"/>
        <v>1</v>
      </c>
      <c r="L114" s="631"/>
      <c r="M114" s="21">
        <f t="shared" si="37"/>
        <v>1</v>
      </c>
      <c r="N114" s="631"/>
      <c r="O114" s="21">
        <f t="shared" si="38"/>
        <v>0</v>
      </c>
      <c r="P114" s="631"/>
      <c r="Q114" s="21">
        <f t="shared" si="39"/>
        <v>0</v>
      </c>
      <c r="R114" s="21">
        <f t="shared" si="41"/>
        <v>0</v>
      </c>
      <c r="S114" s="308">
        <f t="shared" si="31"/>
        <v>0</v>
      </c>
    </row>
    <row r="115" spans="1:19">
      <c r="A115" s="142"/>
      <c r="B115" s="52"/>
      <c r="C115" s="21">
        <f t="shared" si="32"/>
        <v>1</v>
      </c>
      <c r="D115" s="631"/>
      <c r="E115" s="21">
        <f t="shared" si="33"/>
        <v>0.06</v>
      </c>
      <c r="F115" s="631"/>
      <c r="G115" s="21">
        <f t="shared" si="34"/>
        <v>1</v>
      </c>
      <c r="H115" s="631"/>
      <c r="I115" s="21">
        <f t="shared" si="35"/>
        <v>0</v>
      </c>
      <c r="J115" s="631"/>
      <c r="K115" s="21">
        <f t="shared" si="36"/>
        <v>1</v>
      </c>
      <c r="L115" s="631"/>
      <c r="M115" s="21">
        <f t="shared" si="37"/>
        <v>1</v>
      </c>
      <c r="N115" s="631"/>
      <c r="O115" s="21">
        <f t="shared" si="38"/>
        <v>0</v>
      </c>
      <c r="P115" s="631"/>
      <c r="Q115" s="21">
        <f t="shared" si="39"/>
        <v>0</v>
      </c>
      <c r="R115" s="21">
        <f t="shared" si="41"/>
        <v>0</v>
      </c>
      <c r="S115" s="308">
        <f t="shared" si="31"/>
        <v>0</v>
      </c>
    </row>
    <row r="116" spans="1:19">
      <c r="A116" s="142"/>
      <c r="B116" s="52"/>
      <c r="C116" s="21">
        <f t="shared" si="32"/>
        <v>1</v>
      </c>
      <c r="D116" s="631"/>
      <c r="E116" s="21">
        <f t="shared" si="33"/>
        <v>0.06</v>
      </c>
      <c r="F116" s="631"/>
      <c r="G116" s="21">
        <f t="shared" si="34"/>
        <v>1</v>
      </c>
      <c r="H116" s="631"/>
      <c r="I116" s="21">
        <f t="shared" si="35"/>
        <v>0</v>
      </c>
      <c r="J116" s="631"/>
      <c r="K116" s="21">
        <f t="shared" si="36"/>
        <v>1</v>
      </c>
      <c r="L116" s="631"/>
      <c r="M116" s="21">
        <f t="shared" si="37"/>
        <v>1</v>
      </c>
      <c r="N116" s="631"/>
      <c r="O116" s="21">
        <f t="shared" si="38"/>
        <v>0</v>
      </c>
      <c r="P116" s="631"/>
      <c r="Q116" s="21">
        <f t="shared" si="39"/>
        <v>0</v>
      </c>
      <c r="R116" s="21">
        <f t="shared" si="41"/>
        <v>0</v>
      </c>
      <c r="S116" s="308">
        <f t="shared" si="31"/>
        <v>0</v>
      </c>
    </row>
    <row r="117" spans="1:19">
      <c r="A117" s="142"/>
      <c r="B117" s="52"/>
      <c r="C117" s="21">
        <f t="shared" si="32"/>
        <v>1</v>
      </c>
      <c r="D117" s="631"/>
      <c r="E117" s="21">
        <f t="shared" si="33"/>
        <v>0.06</v>
      </c>
      <c r="F117" s="631"/>
      <c r="G117" s="21">
        <f t="shared" si="34"/>
        <v>1</v>
      </c>
      <c r="H117" s="631"/>
      <c r="I117" s="21">
        <f t="shared" si="35"/>
        <v>0</v>
      </c>
      <c r="J117" s="631"/>
      <c r="K117" s="21">
        <f t="shared" si="36"/>
        <v>1</v>
      </c>
      <c r="L117" s="631"/>
      <c r="M117" s="21">
        <f t="shared" si="37"/>
        <v>1</v>
      </c>
      <c r="N117" s="631"/>
      <c r="O117" s="21">
        <f t="shared" si="38"/>
        <v>0</v>
      </c>
      <c r="P117" s="631"/>
      <c r="Q117" s="21">
        <f t="shared" si="39"/>
        <v>0</v>
      </c>
      <c r="R117" s="21">
        <f t="shared" si="41"/>
        <v>0</v>
      </c>
      <c r="S117" s="308">
        <f t="shared" si="31"/>
        <v>0</v>
      </c>
    </row>
    <row r="118" spans="1:19">
      <c r="A118" s="142"/>
      <c r="B118" s="52"/>
      <c r="C118" s="21">
        <f t="shared" si="32"/>
        <v>1</v>
      </c>
      <c r="D118" s="631"/>
      <c r="E118" s="21">
        <f t="shared" si="33"/>
        <v>0.06</v>
      </c>
      <c r="F118" s="631"/>
      <c r="G118" s="21">
        <f t="shared" si="34"/>
        <v>1</v>
      </c>
      <c r="H118" s="631"/>
      <c r="I118" s="21">
        <f t="shared" si="35"/>
        <v>0</v>
      </c>
      <c r="J118" s="631"/>
      <c r="K118" s="21">
        <f t="shared" si="36"/>
        <v>1</v>
      </c>
      <c r="L118" s="631"/>
      <c r="M118" s="21">
        <f t="shared" si="37"/>
        <v>1</v>
      </c>
      <c r="N118" s="631"/>
      <c r="O118" s="21">
        <f t="shared" si="38"/>
        <v>0</v>
      </c>
      <c r="P118" s="631"/>
      <c r="Q118" s="21">
        <f t="shared" si="39"/>
        <v>0</v>
      </c>
      <c r="R118" s="21">
        <f t="shared" si="41"/>
        <v>0</v>
      </c>
      <c r="S118" s="308">
        <f t="shared" si="31"/>
        <v>0</v>
      </c>
    </row>
    <row r="119" spans="1:19">
      <c r="A119" s="142"/>
      <c r="B119" s="52"/>
      <c r="C119" s="21">
        <f t="shared" si="32"/>
        <v>1</v>
      </c>
      <c r="D119" s="631"/>
      <c r="E119" s="21">
        <f t="shared" si="33"/>
        <v>0.06</v>
      </c>
      <c r="F119" s="631"/>
      <c r="G119" s="21">
        <f t="shared" si="34"/>
        <v>1</v>
      </c>
      <c r="H119" s="631"/>
      <c r="I119" s="21">
        <f t="shared" si="35"/>
        <v>0</v>
      </c>
      <c r="J119" s="631"/>
      <c r="K119" s="21">
        <f t="shared" si="36"/>
        <v>1</v>
      </c>
      <c r="L119" s="631"/>
      <c r="M119" s="21">
        <f t="shared" si="37"/>
        <v>1</v>
      </c>
      <c r="N119" s="631"/>
      <c r="O119" s="21">
        <f t="shared" si="38"/>
        <v>0</v>
      </c>
      <c r="P119" s="631"/>
      <c r="Q119" s="21">
        <f t="shared" si="39"/>
        <v>0</v>
      </c>
      <c r="R119" s="21">
        <f t="shared" si="41"/>
        <v>0</v>
      </c>
      <c r="S119" s="308">
        <f t="shared" si="31"/>
        <v>0</v>
      </c>
    </row>
    <row r="120" spans="1:19">
      <c r="A120" s="142"/>
      <c r="B120" s="52"/>
      <c r="C120" s="21">
        <f t="shared" si="32"/>
        <v>1</v>
      </c>
      <c r="D120" s="631"/>
      <c r="E120" s="21">
        <f t="shared" si="33"/>
        <v>0.06</v>
      </c>
      <c r="F120" s="631"/>
      <c r="G120" s="21">
        <f t="shared" si="34"/>
        <v>1</v>
      </c>
      <c r="H120" s="631"/>
      <c r="I120" s="21">
        <f t="shared" si="35"/>
        <v>0</v>
      </c>
      <c r="J120" s="631"/>
      <c r="K120" s="21">
        <f t="shared" si="36"/>
        <v>1</v>
      </c>
      <c r="L120" s="631"/>
      <c r="M120" s="21">
        <f t="shared" si="37"/>
        <v>1</v>
      </c>
      <c r="N120" s="631"/>
      <c r="O120" s="21">
        <f t="shared" si="38"/>
        <v>0</v>
      </c>
      <c r="P120" s="631"/>
      <c r="Q120" s="21">
        <f t="shared" si="39"/>
        <v>0</v>
      </c>
      <c r="R120" s="21">
        <f t="shared" si="41"/>
        <v>0</v>
      </c>
      <c r="S120" s="308">
        <f t="shared" si="31"/>
        <v>0</v>
      </c>
    </row>
    <row r="121" spans="1:19">
      <c r="A121" s="142"/>
      <c r="B121" s="52"/>
      <c r="C121" s="21">
        <f t="shared" si="32"/>
        <v>1</v>
      </c>
      <c r="D121" s="631"/>
      <c r="E121" s="21">
        <f t="shared" si="33"/>
        <v>0.06</v>
      </c>
      <c r="F121" s="631"/>
      <c r="G121" s="21">
        <f t="shared" si="34"/>
        <v>1</v>
      </c>
      <c r="H121" s="631"/>
      <c r="I121" s="21">
        <f t="shared" si="35"/>
        <v>0</v>
      </c>
      <c r="J121" s="631"/>
      <c r="K121" s="21">
        <f t="shared" si="36"/>
        <v>1</v>
      </c>
      <c r="L121" s="631"/>
      <c r="M121" s="21">
        <f t="shared" si="37"/>
        <v>1</v>
      </c>
      <c r="N121" s="631"/>
      <c r="O121" s="21">
        <f t="shared" si="38"/>
        <v>0</v>
      </c>
      <c r="P121" s="631"/>
      <c r="Q121" s="21">
        <f t="shared" si="39"/>
        <v>0</v>
      </c>
      <c r="R121" s="21">
        <f t="shared" si="41"/>
        <v>0</v>
      </c>
      <c r="S121" s="308">
        <f t="shared" si="31"/>
        <v>0</v>
      </c>
    </row>
    <row r="122" spans="1:19">
      <c r="A122" s="142"/>
      <c r="B122" s="52"/>
      <c r="C122" s="21">
        <f t="shared" si="32"/>
        <v>1</v>
      </c>
      <c r="D122" s="631"/>
      <c r="E122" s="21">
        <f t="shared" si="33"/>
        <v>0.06</v>
      </c>
      <c r="F122" s="631"/>
      <c r="G122" s="21">
        <f t="shared" si="34"/>
        <v>1</v>
      </c>
      <c r="H122" s="631"/>
      <c r="I122" s="21">
        <f t="shared" si="35"/>
        <v>0</v>
      </c>
      <c r="J122" s="631"/>
      <c r="K122" s="21">
        <f t="shared" si="36"/>
        <v>1</v>
      </c>
      <c r="L122" s="631"/>
      <c r="M122" s="21">
        <f t="shared" si="37"/>
        <v>1</v>
      </c>
      <c r="N122" s="631"/>
      <c r="O122" s="21">
        <f t="shared" si="38"/>
        <v>0</v>
      </c>
      <c r="P122" s="631"/>
      <c r="Q122" s="21">
        <f t="shared" si="39"/>
        <v>0</v>
      </c>
      <c r="R122" s="21">
        <f t="shared" si="41"/>
        <v>0</v>
      </c>
      <c r="S122" s="308">
        <f t="shared" si="31"/>
        <v>0</v>
      </c>
    </row>
    <row r="123" spans="1:19">
      <c r="A123" s="142"/>
      <c r="B123" s="52"/>
      <c r="C123" s="21">
        <f t="shared" si="32"/>
        <v>1</v>
      </c>
      <c r="D123" s="631"/>
      <c r="E123" s="21">
        <f t="shared" si="33"/>
        <v>0.06</v>
      </c>
      <c r="F123" s="631"/>
      <c r="G123" s="21">
        <f t="shared" si="34"/>
        <v>1</v>
      </c>
      <c r="H123" s="631"/>
      <c r="I123" s="21">
        <f t="shared" si="35"/>
        <v>0</v>
      </c>
      <c r="J123" s="631"/>
      <c r="K123" s="21">
        <f t="shared" si="36"/>
        <v>1</v>
      </c>
      <c r="L123" s="631"/>
      <c r="M123" s="21">
        <f t="shared" si="37"/>
        <v>1</v>
      </c>
      <c r="N123" s="631"/>
      <c r="O123" s="21">
        <f t="shared" si="38"/>
        <v>0</v>
      </c>
      <c r="P123" s="631"/>
      <c r="Q123" s="21">
        <f t="shared" si="39"/>
        <v>0</v>
      </c>
      <c r="R123" s="21">
        <f t="shared" si="41"/>
        <v>0</v>
      </c>
      <c r="S123" s="308">
        <f t="shared" si="31"/>
        <v>0</v>
      </c>
    </row>
    <row r="124" spans="1:19">
      <c r="A124" s="142"/>
      <c r="B124" s="52"/>
      <c r="C124" s="21">
        <f t="shared" si="32"/>
        <v>1</v>
      </c>
      <c r="D124" s="631"/>
      <c r="E124" s="21">
        <f t="shared" si="33"/>
        <v>0.06</v>
      </c>
      <c r="F124" s="631"/>
      <c r="G124" s="21">
        <f t="shared" si="34"/>
        <v>1</v>
      </c>
      <c r="H124" s="631"/>
      <c r="I124" s="21">
        <f t="shared" si="35"/>
        <v>0</v>
      </c>
      <c r="J124" s="631"/>
      <c r="K124" s="21">
        <f t="shared" si="36"/>
        <v>1</v>
      </c>
      <c r="L124" s="631"/>
      <c r="M124" s="21">
        <f t="shared" si="37"/>
        <v>1</v>
      </c>
      <c r="N124" s="631"/>
      <c r="O124" s="21">
        <f t="shared" si="38"/>
        <v>0</v>
      </c>
      <c r="P124" s="631"/>
      <c r="Q124" s="21">
        <f t="shared" si="39"/>
        <v>0</v>
      </c>
      <c r="R124" s="21">
        <f t="shared" si="41"/>
        <v>0</v>
      </c>
      <c r="S124" s="308">
        <f t="shared" ref="S124:S187" si="42">ROUND(R124*B124/10000,0)</f>
        <v>0</v>
      </c>
    </row>
    <row r="125" spans="1:19">
      <c r="A125" s="142"/>
      <c r="B125" s="52"/>
      <c r="C125" s="21">
        <f t="shared" si="32"/>
        <v>1</v>
      </c>
      <c r="D125" s="631"/>
      <c r="E125" s="21">
        <f t="shared" si="33"/>
        <v>0.06</v>
      </c>
      <c r="F125" s="631"/>
      <c r="G125" s="21">
        <f t="shared" si="34"/>
        <v>1</v>
      </c>
      <c r="H125" s="631"/>
      <c r="I125" s="21">
        <f t="shared" si="35"/>
        <v>0</v>
      </c>
      <c r="J125" s="631"/>
      <c r="K125" s="21">
        <f t="shared" si="36"/>
        <v>1</v>
      </c>
      <c r="L125" s="631"/>
      <c r="M125" s="21">
        <f t="shared" si="37"/>
        <v>1</v>
      </c>
      <c r="N125" s="631"/>
      <c r="O125" s="21">
        <f t="shared" si="38"/>
        <v>0</v>
      </c>
      <c r="P125" s="631"/>
      <c r="Q125" s="21">
        <f t="shared" si="39"/>
        <v>0</v>
      </c>
      <c r="R125" s="21">
        <f t="shared" si="41"/>
        <v>0</v>
      </c>
      <c r="S125" s="308">
        <f t="shared" si="42"/>
        <v>0</v>
      </c>
    </row>
    <row r="126" spans="1:19">
      <c r="A126" s="142"/>
      <c r="B126" s="52"/>
      <c r="C126" s="21">
        <f t="shared" si="32"/>
        <v>1</v>
      </c>
      <c r="D126" s="631"/>
      <c r="E126" s="21">
        <f t="shared" si="33"/>
        <v>0.06</v>
      </c>
      <c r="F126" s="631"/>
      <c r="G126" s="21">
        <f t="shared" si="34"/>
        <v>1</v>
      </c>
      <c r="H126" s="631"/>
      <c r="I126" s="21">
        <f t="shared" si="35"/>
        <v>0</v>
      </c>
      <c r="J126" s="631"/>
      <c r="K126" s="21">
        <f t="shared" si="36"/>
        <v>1</v>
      </c>
      <c r="L126" s="631"/>
      <c r="M126" s="21">
        <f t="shared" si="37"/>
        <v>1</v>
      </c>
      <c r="N126" s="631"/>
      <c r="O126" s="21">
        <f t="shared" si="38"/>
        <v>0</v>
      </c>
      <c r="P126" s="631"/>
      <c r="Q126" s="21">
        <f t="shared" si="39"/>
        <v>0</v>
      </c>
      <c r="R126" s="21">
        <f t="shared" si="41"/>
        <v>0</v>
      </c>
      <c r="S126" s="308">
        <f t="shared" si="42"/>
        <v>0</v>
      </c>
    </row>
    <row r="127" spans="1:19">
      <c r="A127" s="142"/>
      <c r="B127" s="52"/>
      <c r="C127" s="21">
        <f t="shared" si="32"/>
        <v>1</v>
      </c>
      <c r="D127" s="631"/>
      <c r="E127" s="21">
        <f t="shared" si="33"/>
        <v>0.06</v>
      </c>
      <c r="F127" s="631"/>
      <c r="G127" s="21">
        <f t="shared" si="34"/>
        <v>1</v>
      </c>
      <c r="H127" s="631"/>
      <c r="I127" s="21">
        <f t="shared" si="35"/>
        <v>0</v>
      </c>
      <c r="J127" s="631"/>
      <c r="K127" s="21">
        <f t="shared" si="36"/>
        <v>1</v>
      </c>
      <c r="L127" s="631"/>
      <c r="M127" s="21">
        <f t="shared" si="37"/>
        <v>1</v>
      </c>
      <c r="N127" s="631"/>
      <c r="O127" s="21">
        <f t="shared" si="38"/>
        <v>0</v>
      </c>
      <c r="P127" s="631"/>
      <c r="Q127" s="21">
        <f t="shared" si="39"/>
        <v>0</v>
      </c>
      <c r="R127" s="21">
        <f t="shared" si="41"/>
        <v>0</v>
      </c>
      <c r="S127" s="308">
        <f t="shared" si="42"/>
        <v>0</v>
      </c>
    </row>
    <row r="128" spans="1:19">
      <c r="A128" s="142"/>
      <c r="B128" s="52"/>
      <c r="C128" s="21">
        <f t="shared" si="32"/>
        <v>1</v>
      </c>
      <c r="D128" s="631"/>
      <c r="E128" s="21">
        <f t="shared" si="33"/>
        <v>0.06</v>
      </c>
      <c r="F128" s="631"/>
      <c r="G128" s="21">
        <f t="shared" si="34"/>
        <v>1</v>
      </c>
      <c r="H128" s="631"/>
      <c r="I128" s="21">
        <f t="shared" si="35"/>
        <v>0</v>
      </c>
      <c r="J128" s="631"/>
      <c r="K128" s="21">
        <f t="shared" si="36"/>
        <v>1</v>
      </c>
      <c r="L128" s="631"/>
      <c r="M128" s="21">
        <f t="shared" si="37"/>
        <v>1</v>
      </c>
      <c r="N128" s="631"/>
      <c r="O128" s="21">
        <f t="shared" si="38"/>
        <v>0</v>
      </c>
      <c r="P128" s="631"/>
      <c r="Q128" s="21">
        <f t="shared" si="39"/>
        <v>0</v>
      </c>
      <c r="R128" s="21">
        <f t="shared" si="41"/>
        <v>0</v>
      </c>
      <c r="S128" s="308">
        <f t="shared" si="42"/>
        <v>0</v>
      </c>
    </row>
    <row r="129" spans="1:19">
      <c r="A129" s="142"/>
      <c r="B129" s="52"/>
      <c r="C129" s="21">
        <f t="shared" si="32"/>
        <v>1</v>
      </c>
      <c r="D129" s="631"/>
      <c r="E129" s="21">
        <f t="shared" si="33"/>
        <v>0.06</v>
      </c>
      <c r="F129" s="631"/>
      <c r="G129" s="21">
        <f t="shared" si="34"/>
        <v>1</v>
      </c>
      <c r="H129" s="631"/>
      <c r="I129" s="21">
        <f t="shared" si="35"/>
        <v>0</v>
      </c>
      <c r="J129" s="631"/>
      <c r="K129" s="21">
        <f t="shared" si="36"/>
        <v>1</v>
      </c>
      <c r="L129" s="631"/>
      <c r="M129" s="21">
        <f t="shared" si="37"/>
        <v>1</v>
      </c>
      <c r="N129" s="631"/>
      <c r="O129" s="21">
        <f t="shared" si="38"/>
        <v>0</v>
      </c>
      <c r="P129" s="631"/>
      <c r="Q129" s="21">
        <f t="shared" si="39"/>
        <v>0</v>
      </c>
      <c r="R129" s="21">
        <f t="shared" si="41"/>
        <v>0</v>
      </c>
      <c r="S129" s="308">
        <f t="shared" si="42"/>
        <v>0</v>
      </c>
    </row>
    <row r="130" spans="1:19">
      <c r="A130" s="142"/>
      <c r="B130" s="52"/>
      <c r="C130" s="21">
        <f t="shared" si="32"/>
        <v>1</v>
      </c>
      <c r="D130" s="631"/>
      <c r="E130" s="21">
        <f t="shared" si="33"/>
        <v>0.06</v>
      </c>
      <c r="F130" s="631"/>
      <c r="G130" s="21">
        <f t="shared" si="34"/>
        <v>1</v>
      </c>
      <c r="H130" s="631"/>
      <c r="I130" s="21">
        <f t="shared" si="35"/>
        <v>0</v>
      </c>
      <c r="J130" s="631"/>
      <c r="K130" s="21">
        <f t="shared" si="36"/>
        <v>1</v>
      </c>
      <c r="L130" s="631"/>
      <c r="M130" s="21">
        <f t="shared" si="37"/>
        <v>1</v>
      </c>
      <c r="N130" s="631"/>
      <c r="O130" s="21">
        <f t="shared" si="38"/>
        <v>0</v>
      </c>
      <c r="P130" s="631"/>
      <c r="Q130" s="21">
        <f t="shared" si="39"/>
        <v>0</v>
      </c>
      <c r="R130" s="21">
        <f t="shared" si="41"/>
        <v>0</v>
      </c>
      <c r="S130" s="308">
        <f t="shared" si="42"/>
        <v>0</v>
      </c>
    </row>
    <row r="131" spans="1:19">
      <c r="A131" s="142"/>
      <c r="B131" s="52"/>
      <c r="C131" s="21">
        <f t="shared" si="32"/>
        <v>1</v>
      </c>
      <c r="D131" s="631"/>
      <c r="E131" s="21">
        <f t="shared" si="33"/>
        <v>0.06</v>
      </c>
      <c r="F131" s="631"/>
      <c r="G131" s="21">
        <f t="shared" si="34"/>
        <v>1</v>
      </c>
      <c r="H131" s="631"/>
      <c r="I131" s="21">
        <f t="shared" si="35"/>
        <v>0</v>
      </c>
      <c r="J131" s="631"/>
      <c r="K131" s="21">
        <f t="shared" si="36"/>
        <v>1</v>
      </c>
      <c r="L131" s="631"/>
      <c r="M131" s="21">
        <f t="shared" si="37"/>
        <v>1</v>
      </c>
      <c r="N131" s="631"/>
      <c r="O131" s="21">
        <f t="shared" si="38"/>
        <v>0</v>
      </c>
      <c r="P131" s="631"/>
      <c r="Q131" s="21">
        <f t="shared" si="39"/>
        <v>0</v>
      </c>
      <c r="R131" s="21">
        <f t="shared" si="41"/>
        <v>0</v>
      </c>
      <c r="S131" s="308">
        <f t="shared" si="42"/>
        <v>0</v>
      </c>
    </row>
    <row r="132" spans="1:19">
      <c r="A132" s="142"/>
      <c r="B132" s="52"/>
      <c r="C132" s="21">
        <f t="shared" si="32"/>
        <v>1</v>
      </c>
      <c r="D132" s="631"/>
      <c r="E132" s="21">
        <f t="shared" si="33"/>
        <v>0.06</v>
      </c>
      <c r="F132" s="631"/>
      <c r="G132" s="21">
        <f t="shared" si="34"/>
        <v>1</v>
      </c>
      <c r="H132" s="631"/>
      <c r="I132" s="21">
        <f t="shared" si="35"/>
        <v>0</v>
      </c>
      <c r="J132" s="631"/>
      <c r="K132" s="21">
        <f t="shared" si="36"/>
        <v>1</v>
      </c>
      <c r="L132" s="631"/>
      <c r="M132" s="21">
        <f t="shared" si="37"/>
        <v>1</v>
      </c>
      <c r="N132" s="631"/>
      <c r="O132" s="21">
        <f t="shared" si="38"/>
        <v>0</v>
      </c>
      <c r="P132" s="631"/>
      <c r="Q132" s="21">
        <f t="shared" si="39"/>
        <v>0</v>
      </c>
      <c r="R132" s="21">
        <f t="shared" si="41"/>
        <v>0</v>
      </c>
      <c r="S132" s="308">
        <f t="shared" si="42"/>
        <v>0</v>
      </c>
    </row>
    <row r="133" spans="1:19">
      <c r="A133" s="142"/>
      <c r="B133" s="52"/>
      <c r="C133" s="21">
        <f t="shared" si="32"/>
        <v>1</v>
      </c>
      <c r="D133" s="631"/>
      <c r="E133" s="21">
        <f t="shared" si="33"/>
        <v>0.06</v>
      </c>
      <c r="F133" s="631"/>
      <c r="G133" s="21">
        <f t="shared" si="34"/>
        <v>1</v>
      </c>
      <c r="H133" s="631"/>
      <c r="I133" s="21">
        <f t="shared" si="35"/>
        <v>0</v>
      </c>
      <c r="J133" s="631"/>
      <c r="K133" s="21">
        <f t="shared" si="36"/>
        <v>1</v>
      </c>
      <c r="L133" s="631"/>
      <c r="M133" s="21">
        <f t="shared" si="37"/>
        <v>1</v>
      </c>
      <c r="N133" s="631"/>
      <c r="O133" s="21">
        <f t="shared" si="38"/>
        <v>0</v>
      </c>
      <c r="P133" s="631"/>
      <c r="Q133" s="21">
        <f t="shared" si="39"/>
        <v>0</v>
      </c>
      <c r="R133" s="21">
        <f t="shared" si="41"/>
        <v>0</v>
      </c>
      <c r="S133" s="308">
        <f t="shared" si="42"/>
        <v>0</v>
      </c>
    </row>
    <row r="134" spans="1:19">
      <c r="A134" s="142"/>
      <c r="B134" s="52"/>
      <c r="C134" s="21">
        <f t="shared" si="32"/>
        <v>1</v>
      </c>
      <c r="D134" s="631"/>
      <c r="E134" s="21">
        <f t="shared" si="33"/>
        <v>0.06</v>
      </c>
      <c r="F134" s="631"/>
      <c r="G134" s="21">
        <f t="shared" si="34"/>
        <v>1</v>
      </c>
      <c r="H134" s="631"/>
      <c r="I134" s="21">
        <f t="shared" si="35"/>
        <v>0</v>
      </c>
      <c r="J134" s="631"/>
      <c r="K134" s="21">
        <f t="shared" si="36"/>
        <v>1</v>
      </c>
      <c r="L134" s="631"/>
      <c r="M134" s="21">
        <f t="shared" si="37"/>
        <v>1</v>
      </c>
      <c r="N134" s="631"/>
      <c r="O134" s="21">
        <f t="shared" si="38"/>
        <v>0</v>
      </c>
      <c r="P134" s="631"/>
      <c r="Q134" s="21">
        <f t="shared" si="39"/>
        <v>0</v>
      </c>
      <c r="R134" s="21">
        <f t="shared" si="41"/>
        <v>0</v>
      </c>
      <c r="S134" s="308">
        <f t="shared" si="42"/>
        <v>0</v>
      </c>
    </row>
    <row r="135" spans="1:19">
      <c r="A135" s="142"/>
      <c r="B135" s="52"/>
      <c r="C135" s="21">
        <f t="shared" si="32"/>
        <v>1</v>
      </c>
      <c r="D135" s="631"/>
      <c r="E135" s="21">
        <f t="shared" si="33"/>
        <v>0.06</v>
      </c>
      <c r="F135" s="631"/>
      <c r="G135" s="21">
        <f t="shared" si="34"/>
        <v>1</v>
      </c>
      <c r="H135" s="631"/>
      <c r="I135" s="21">
        <f t="shared" si="35"/>
        <v>0</v>
      </c>
      <c r="J135" s="631"/>
      <c r="K135" s="21">
        <f t="shared" si="36"/>
        <v>1</v>
      </c>
      <c r="L135" s="631"/>
      <c r="M135" s="21">
        <f t="shared" si="37"/>
        <v>1</v>
      </c>
      <c r="N135" s="631"/>
      <c r="O135" s="21">
        <f t="shared" si="38"/>
        <v>0</v>
      </c>
      <c r="P135" s="631"/>
      <c r="Q135" s="21">
        <f t="shared" si="39"/>
        <v>0</v>
      </c>
      <c r="R135" s="21">
        <f t="shared" si="41"/>
        <v>0</v>
      </c>
      <c r="S135" s="308">
        <f t="shared" si="42"/>
        <v>0</v>
      </c>
    </row>
    <row r="136" spans="1:19">
      <c r="A136" s="142"/>
      <c r="B136" s="52"/>
      <c r="C136" s="21">
        <f t="shared" si="32"/>
        <v>1</v>
      </c>
      <c r="D136" s="631"/>
      <c r="E136" s="21">
        <f t="shared" si="33"/>
        <v>0.06</v>
      </c>
      <c r="F136" s="631"/>
      <c r="G136" s="21">
        <f t="shared" si="34"/>
        <v>1</v>
      </c>
      <c r="H136" s="631"/>
      <c r="I136" s="21">
        <f t="shared" si="35"/>
        <v>0</v>
      </c>
      <c r="J136" s="631"/>
      <c r="K136" s="21">
        <f t="shared" si="36"/>
        <v>1</v>
      </c>
      <c r="L136" s="631"/>
      <c r="M136" s="21">
        <f t="shared" si="37"/>
        <v>1</v>
      </c>
      <c r="N136" s="631"/>
      <c r="O136" s="21">
        <f t="shared" si="38"/>
        <v>0</v>
      </c>
      <c r="P136" s="631"/>
      <c r="Q136" s="21">
        <f t="shared" si="39"/>
        <v>0</v>
      </c>
      <c r="R136" s="21">
        <f t="shared" si="41"/>
        <v>0</v>
      </c>
      <c r="S136" s="308">
        <f t="shared" si="42"/>
        <v>0</v>
      </c>
    </row>
    <row r="137" spans="1:19">
      <c r="A137" s="142"/>
      <c r="B137" s="52"/>
      <c r="C137" s="21">
        <f t="shared" si="32"/>
        <v>1</v>
      </c>
      <c r="D137" s="631"/>
      <c r="E137" s="21">
        <f t="shared" si="33"/>
        <v>0.06</v>
      </c>
      <c r="F137" s="631"/>
      <c r="G137" s="21">
        <f t="shared" si="34"/>
        <v>1</v>
      </c>
      <c r="H137" s="631"/>
      <c r="I137" s="21">
        <f t="shared" si="35"/>
        <v>0</v>
      </c>
      <c r="J137" s="631"/>
      <c r="K137" s="21">
        <f t="shared" si="36"/>
        <v>1</v>
      </c>
      <c r="L137" s="631"/>
      <c r="M137" s="21">
        <f t="shared" si="37"/>
        <v>1</v>
      </c>
      <c r="N137" s="631"/>
      <c r="O137" s="21">
        <f t="shared" si="38"/>
        <v>0</v>
      </c>
      <c r="P137" s="631"/>
      <c r="Q137" s="21">
        <f t="shared" si="39"/>
        <v>0</v>
      </c>
      <c r="R137" s="21">
        <f t="shared" si="41"/>
        <v>0</v>
      </c>
      <c r="S137" s="308">
        <f t="shared" si="42"/>
        <v>0</v>
      </c>
    </row>
    <row r="138" spans="1:19">
      <c r="A138" s="142"/>
      <c r="B138" s="52"/>
      <c r="C138" s="21">
        <f t="shared" si="32"/>
        <v>1</v>
      </c>
      <c r="D138" s="631"/>
      <c r="E138" s="21">
        <f t="shared" si="33"/>
        <v>0.06</v>
      </c>
      <c r="F138" s="631"/>
      <c r="G138" s="21">
        <f t="shared" si="34"/>
        <v>1</v>
      </c>
      <c r="H138" s="631"/>
      <c r="I138" s="21">
        <f t="shared" si="35"/>
        <v>0</v>
      </c>
      <c r="J138" s="631"/>
      <c r="K138" s="21">
        <f t="shared" si="36"/>
        <v>1</v>
      </c>
      <c r="L138" s="631"/>
      <c r="M138" s="21">
        <f t="shared" si="37"/>
        <v>1</v>
      </c>
      <c r="N138" s="631"/>
      <c r="O138" s="21">
        <f t="shared" si="38"/>
        <v>0</v>
      </c>
      <c r="P138" s="631"/>
      <c r="Q138" s="21">
        <f t="shared" si="39"/>
        <v>0</v>
      </c>
      <c r="R138" s="21">
        <f t="shared" si="41"/>
        <v>0</v>
      </c>
      <c r="S138" s="308">
        <f t="shared" si="42"/>
        <v>0</v>
      </c>
    </row>
    <row r="139" spans="1:19">
      <c r="A139" s="142"/>
      <c r="B139" s="52"/>
      <c r="C139" s="21">
        <f t="shared" si="32"/>
        <v>1</v>
      </c>
      <c r="D139" s="631"/>
      <c r="E139" s="21">
        <f t="shared" si="33"/>
        <v>0.06</v>
      </c>
      <c r="F139" s="631"/>
      <c r="G139" s="21">
        <f t="shared" si="34"/>
        <v>1</v>
      </c>
      <c r="H139" s="631"/>
      <c r="I139" s="21">
        <f t="shared" si="35"/>
        <v>0</v>
      </c>
      <c r="J139" s="631"/>
      <c r="K139" s="21">
        <f t="shared" si="36"/>
        <v>1</v>
      </c>
      <c r="L139" s="631"/>
      <c r="M139" s="21">
        <f t="shared" si="37"/>
        <v>1</v>
      </c>
      <c r="N139" s="631"/>
      <c r="O139" s="21">
        <f t="shared" si="38"/>
        <v>0</v>
      </c>
      <c r="P139" s="631"/>
      <c r="Q139" s="21">
        <f t="shared" si="39"/>
        <v>0</v>
      </c>
      <c r="R139" s="21">
        <f t="shared" si="41"/>
        <v>0</v>
      </c>
      <c r="S139" s="308">
        <f t="shared" si="42"/>
        <v>0</v>
      </c>
    </row>
    <row r="140" spans="1:19">
      <c r="A140" s="142"/>
      <c r="B140" s="52"/>
      <c r="C140" s="21">
        <f t="shared" si="32"/>
        <v>1</v>
      </c>
      <c r="D140" s="631"/>
      <c r="E140" s="21">
        <f t="shared" si="33"/>
        <v>0.06</v>
      </c>
      <c r="F140" s="631"/>
      <c r="G140" s="21">
        <f t="shared" si="34"/>
        <v>1</v>
      </c>
      <c r="H140" s="631"/>
      <c r="I140" s="21">
        <f t="shared" si="35"/>
        <v>0</v>
      </c>
      <c r="J140" s="631"/>
      <c r="K140" s="21">
        <f t="shared" si="36"/>
        <v>1</v>
      </c>
      <c r="L140" s="631"/>
      <c r="M140" s="21">
        <f t="shared" si="37"/>
        <v>1</v>
      </c>
      <c r="N140" s="631"/>
      <c r="O140" s="21">
        <f t="shared" si="38"/>
        <v>0</v>
      </c>
      <c r="P140" s="631"/>
      <c r="Q140" s="21">
        <f t="shared" si="39"/>
        <v>0</v>
      </c>
      <c r="R140" s="21">
        <f t="shared" si="41"/>
        <v>0</v>
      </c>
      <c r="S140" s="308">
        <f t="shared" si="42"/>
        <v>0</v>
      </c>
    </row>
    <row r="141" spans="1:19">
      <c r="A141" s="142"/>
      <c r="B141" s="52"/>
      <c r="C141" s="21">
        <f t="shared" si="32"/>
        <v>1</v>
      </c>
      <c r="D141" s="631"/>
      <c r="E141" s="21">
        <f t="shared" si="33"/>
        <v>0.06</v>
      </c>
      <c r="F141" s="631"/>
      <c r="G141" s="21">
        <f t="shared" si="34"/>
        <v>1</v>
      </c>
      <c r="H141" s="631"/>
      <c r="I141" s="21">
        <f t="shared" si="35"/>
        <v>0</v>
      </c>
      <c r="J141" s="631"/>
      <c r="K141" s="21">
        <f t="shared" si="36"/>
        <v>1</v>
      </c>
      <c r="L141" s="631"/>
      <c r="M141" s="21">
        <f t="shared" si="37"/>
        <v>1</v>
      </c>
      <c r="N141" s="631"/>
      <c r="O141" s="21">
        <f t="shared" si="38"/>
        <v>0</v>
      </c>
      <c r="P141" s="631"/>
      <c r="Q141" s="21">
        <f t="shared" si="39"/>
        <v>0</v>
      </c>
      <c r="R141" s="21">
        <f t="shared" si="41"/>
        <v>0</v>
      </c>
      <c r="S141" s="308">
        <f t="shared" si="42"/>
        <v>0</v>
      </c>
    </row>
    <row r="142" spans="1:19">
      <c r="A142" s="142"/>
      <c r="B142" s="52"/>
      <c r="C142" s="21">
        <f t="shared" si="32"/>
        <v>1</v>
      </c>
      <c r="D142" s="631"/>
      <c r="E142" s="21">
        <f t="shared" si="33"/>
        <v>0.06</v>
      </c>
      <c r="F142" s="631"/>
      <c r="G142" s="21">
        <f t="shared" si="34"/>
        <v>1</v>
      </c>
      <c r="H142" s="631"/>
      <c r="I142" s="21">
        <f t="shared" si="35"/>
        <v>0</v>
      </c>
      <c r="J142" s="631"/>
      <c r="K142" s="21">
        <f t="shared" si="36"/>
        <v>1</v>
      </c>
      <c r="L142" s="631"/>
      <c r="M142" s="21">
        <f t="shared" si="37"/>
        <v>1</v>
      </c>
      <c r="N142" s="631"/>
      <c r="O142" s="21">
        <f t="shared" si="38"/>
        <v>0</v>
      </c>
      <c r="P142" s="631"/>
      <c r="Q142" s="21">
        <f t="shared" si="39"/>
        <v>0</v>
      </c>
      <c r="R142" s="21">
        <f t="shared" si="41"/>
        <v>0</v>
      </c>
      <c r="S142" s="308">
        <f t="shared" si="42"/>
        <v>0</v>
      </c>
    </row>
    <row r="143" spans="1:19">
      <c r="A143" s="142"/>
      <c r="B143" s="52"/>
      <c r="C143" s="21">
        <f t="shared" si="32"/>
        <v>1</v>
      </c>
      <c r="D143" s="631"/>
      <c r="E143" s="21">
        <f t="shared" si="33"/>
        <v>0.06</v>
      </c>
      <c r="F143" s="631"/>
      <c r="G143" s="21">
        <f t="shared" si="34"/>
        <v>1</v>
      </c>
      <c r="H143" s="631"/>
      <c r="I143" s="21">
        <f t="shared" si="35"/>
        <v>0</v>
      </c>
      <c r="J143" s="631"/>
      <c r="K143" s="21">
        <f t="shared" si="36"/>
        <v>1</v>
      </c>
      <c r="L143" s="631"/>
      <c r="M143" s="21">
        <f t="shared" si="37"/>
        <v>1</v>
      </c>
      <c r="N143" s="631"/>
      <c r="O143" s="21">
        <f t="shared" si="38"/>
        <v>0</v>
      </c>
      <c r="P143" s="631"/>
      <c r="Q143" s="21">
        <f t="shared" si="39"/>
        <v>0</v>
      </c>
      <c r="R143" s="21">
        <f t="shared" si="41"/>
        <v>0</v>
      </c>
      <c r="S143" s="308">
        <f t="shared" si="42"/>
        <v>0</v>
      </c>
    </row>
    <row r="144" spans="1:19">
      <c r="A144" s="142"/>
      <c r="B144" s="52"/>
      <c r="C144" s="21">
        <f t="shared" si="32"/>
        <v>1</v>
      </c>
      <c r="D144" s="631"/>
      <c r="E144" s="21">
        <f t="shared" si="33"/>
        <v>0.06</v>
      </c>
      <c r="F144" s="631"/>
      <c r="G144" s="21">
        <f t="shared" si="34"/>
        <v>1</v>
      </c>
      <c r="H144" s="631"/>
      <c r="I144" s="21">
        <f t="shared" si="35"/>
        <v>0</v>
      </c>
      <c r="J144" s="631"/>
      <c r="K144" s="21">
        <f t="shared" si="36"/>
        <v>1</v>
      </c>
      <c r="L144" s="631"/>
      <c r="M144" s="21">
        <f t="shared" si="37"/>
        <v>1</v>
      </c>
      <c r="N144" s="631"/>
      <c r="O144" s="21">
        <f t="shared" si="38"/>
        <v>0</v>
      </c>
      <c r="P144" s="631"/>
      <c r="Q144" s="21">
        <f t="shared" si="39"/>
        <v>0</v>
      </c>
      <c r="R144" s="21">
        <f t="shared" si="41"/>
        <v>0</v>
      </c>
      <c r="S144" s="308">
        <f t="shared" si="42"/>
        <v>0</v>
      </c>
    </row>
    <row r="145" spans="1:19">
      <c r="A145" s="142"/>
      <c r="B145" s="52"/>
      <c r="C145" s="21">
        <f t="shared" si="32"/>
        <v>1</v>
      </c>
      <c r="D145" s="631"/>
      <c r="E145" s="21">
        <f t="shared" si="33"/>
        <v>0.06</v>
      </c>
      <c r="F145" s="631"/>
      <c r="G145" s="21">
        <f t="shared" si="34"/>
        <v>1</v>
      </c>
      <c r="H145" s="631"/>
      <c r="I145" s="21">
        <f t="shared" si="35"/>
        <v>0</v>
      </c>
      <c r="J145" s="631"/>
      <c r="K145" s="21">
        <f t="shared" si="36"/>
        <v>1</v>
      </c>
      <c r="L145" s="631"/>
      <c r="M145" s="21">
        <f t="shared" si="37"/>
        <v>1</v>
      </c>
      <c r="N145" s="631"/>
      <c r="O145" s="21">
        <f t="shared" si="38"/>
        <v>0</v>
      </c>
      <c r="P145" s="631"/>
      <c r="Q145" s="21">
        <f t="shared" si="39"/>
        <v>0</v>
      </c>
      <c r="R145" s="21">
        <f t="shared" si="41"/>
        <v>0</v>
      </c>
      <c r="S145" s="308">
        <f t="shared" si="42"/>
        <v>0</v>
      </c>
    </row>
    <row r="146" spans="1:19">
      <c r="A146" s="142"/>
      <c r="B146" s="52"/>
      <c r="C146" s="21">
        <f t="shared" si="32"/>
        <v>1</v>
      </c>
      <c r="D146" s="631"/>
      <c r="E146" s="21">
        <f t="shared" si="33"/>
        <v>0.06</v>
      </c>
      <c r="F146" s="631"/>
      <c r="G146" s="21">
        <f t="shared" si="34"/>
        <v>1</v>
      </c>
      <c r="H146" s="631"/>
      <c r="I146" s="21">
        <f t="shared" si="35"/>
        <v>0</v>
      </c>
      <c r="J146" s="631"/>
      <c r="K146" s="21">
        <f t="shared" si="36"/>
        <v>1</v>
      </c>
      <c r="L146" s="631"/>
      <c r="M146" s="21">
        <f t="shared" si="37"/>
        <v>1</v>
      </c>
      <c r="N146" s="631"/>
      <c r="O146" s="21">
        <f t="shared" si="38"/>
        <v>0</v>
      </c>
      <c r="P146" s="631"/>
      <c r="Q146" s="21">
        <f t="shared" si="39"/>
        <v>0</v>
      </c>
      <c r="R146" s="21">
        <f t="shared" si="41"/>
        <v>0</v>
      </c>
      <c r="S146" s="308">
        <f t="shared" si="42"/>
        <v>0</v>
      </c>
    </row>
    <row r="147" spans="1:19">
      <c r="A147" s="142"/>
      <c r="B147" s="52"/>
      <c r="C147" s="21">
        <f t="shared" si="32"/>
        <v>1</v>
      </c>
      <c r="D147" s="631"/>
      <c r="E147" s="21">
        <f t="shared" si="33"/>
        <v>0.06</v>
      </c>
      <c r="F147" s="631"/>
      <c r="G147" s="21">
        <f t="shared" si="34"/>
        <v>1</v>
      </c>
      <c r="H147" s="631"/>
      <c r="I147" s="21">
        <f t="shared" si="35"/>
        <v>0</v>
      </c>
      <c r="J147" s="631"/>
      <c r="K147" s="21">
        <f t="shared" si="36"/>
        <v>1</v>
      </c>
      <c r="L147" s="631"/>
      <c r="M147" s="21">
        <f t="shared" si="37"/>
        <v>1</v>
      </c>
      <c r="N147" s="631"/>
      <c r="O147" s="21">
        <f t="shared" si="38"/>
        <v>0</v>
      </c>
      <c r="P147" s="631"/>
      <c r="Q147" s="21">
        <f t="shared" si="39"/>
        <v>0</v>
      </c>
      <c r="R147" s="21">
        <f t="shared" si="41"/>
        <v>0</v>
      </c>
      <c r="S147" s="308">
        <f t="shared" si="42"/>
        <v>0</v>
      </c>
    </row>
    <row r="148" spans="1:19">
      <c r="A148" s="142"/>
      <c r="B148" s="52"/>
      <c r="C148" s="21">
        <f t="shared" si="32"/>
        <v>1</v>
      </c>
      <c r="D148" s="631"/>
      <c r="E148" s="21">
        <f t="shared" si="33"/>
        <v>0.06</v>
      </c>
      <c r="F148" s="631"/>
      <c r="G148" s="21">
        <f t="shared" si="34"/>
        <v>1</v>
      </c>
      <c r="H148" s="631"/>
      <c r="I148" s="21">
        <f t="shared" si="35"/>
        <v>0</v>
      </c>
      <c r="J148" s="631"/>
      <c r="K148" s="21">
        <f t="shared" si="36"/>
        <v>1</v>
      </c>
      <c r="L148" s="631"/>
      <c r="M148" s="21">
        <f t="shared" si="37"/>
        <v>1</v>
      </c>
      <c r="N148" s="631"/>
      <c r="O148" s="21">
        <f t="shared" si="38"/>
        <v>0</v>
      </c>
      <c r="P148" s="631"/>
      <c r="Q148" s="21">
        <f t="shared" si="39"/>
        <v>0</v>
      </c>
      <c r="R148" s="21">
        <f t="shared" si="41"/>
        <v>0</v>
      </c>
      <c r="S148" s="308">
        <f t="shared" si="42"/>
        <v>0</v>
      </c>
    </row>
    <row r="149" spans="1:19">
      <c r="A149" s="142"/>
      <c r="B149" s="52"/>
      <c r="C149" s="21">
        <f t="shared" si="32"/>
        <v>1</v>
      </c>
      <c r="D149" s="631"/>
      <c r="E149" s="21">
        <f t="shared" si="33"/>
        <v>0.06</v>
      </c>
      <c r="F149" s="631"/>
      <c r="G149" s="21">
        <f t="shared" si="34"/>
        <v>1</v>
      </c>
      <c r="H149" s="631"/>
      <c r="I149" s="21">
        <f t="shared" si="35"/>
        <v>0</v>
      </c>
      <c r="J149" s="631"/>
      <c r="K149" s="21">
        <f t="shared" si="36"/>
        <v>1</v>
      </c>
      <c r="L149" s="631"/>
      <c r="M149" s="21">
        <f t="shared" si="37"/>
        <v>1</v>
      </c>
      <c r="N149" s="631"/>
      <c r="O149" s="21">
        <f t="shared" si="38"/>
        <v>0</v>
      </c>
      <c r="P149" s="631"/>
      <c r="Q149" s="21">
        <f t="shared" si="39"/>
        <v>0</v>
      </c>
      <c r="R149" s="21">
        <f t="shared" si="41"/>
        <v>0</v>
      </c>
      <c r="S149" s="308">
        <f t="shared" si="42"/>
        <v>0</v>
      </c>
    </row>
    <row r="150" spans="1:19">
      <c r="A150" s="142"/>
      <c r="B150" s="52"/>
      <c r="C150" s="21">
        <f t="shared" si="32"/>
        <v>1</v>
      </c>
      <c r="D150" s="631"/>
      <c r="E150" s="21">
        <f t="shared" si="33"/>
        <v>0.06</v>
      </c>
      <c r="F150" s="631"/>
      <c r="G150" s="21">
        <f t="shared" si="34"/>
        <v>1</v>
      </c>
      <c r="H150" s="631"/>
      <c r="I150" s="21">
        <f t="shared" si="35"/>
        <v>0</v>
      </c>
      <c r="J150" s="631"/>
      <c r="K150" s="21">
        <f t="shared" si="36"/>
        <v>1</v>
      </c>
      <c r="L150" s="631"/>
      <c r="M150" s="21">
        <f t="shared" si="37"/>
        <v>1</v>
      </c>
      <c r="N150" s="631"/>
      <c r="O150" s="21">
        <f t="shared" si="38"/>
        <v>0</v>
      </c>
      <c r="P150" s="631"/>
      <c r="Q150" s="21">
        <f t="shared" si="39"/>
        <v>0</v>
      </c>
      <c r="R150" s="21">
        <f t="shared" si="41"/>
        <v>0</v>
      </c>
      <c r="S150" s="308">
        <f t="shared" si="42"/>
        <v>0</v>
      </c>
    </row>
    <row r="151" spans="1:19">
      <c r="A151" s="142"/>
      <c r="B151" s="52"/>
      <c r="C151" s="21">
        <f t="shared" si="32"/>
        <v>1</v>
      </c>
      <c r="D151" s="631"/>
      <c r="E151" s="21">
        <f t="shared" si="33"/>
        <v>0.06</v>
      </c>
      <c r="F151" s="631"/>
      <c r="G151" s="21">
        <f t="shared" si="34"/>
        <v>1</v>
      </c>
      <c r="H151" s="631"/>
      <c r="I151" s="21">
        <f t="shared" si="35"/>
        <v>0</v>
      </c>
      <c r="J151" s="631"/>
      <c r="K151" s="21">
        <f t="shared" si="36"/>
        <v>1</v>
      </c>
      <c r="L151" s="631"/>
      <c r="M151" s="21">
        <f t="shared" si="37"/>
        <v>1</v>
      </c>
      <c r="N151" s="631"/>
      <c r="O151" s="21">
        <f t="shared" si="38"/>
        <v>0</v>
      </c>
      <c r="P151" s="631"/>
      <c r="Q151" s="21">
        <f t="shared" si="39"/>
        <v>0</v>
      </c>
      <c r="R151" s="21">
        <f t="shared" si="41"/>
        <v>0</v>
      </c>
      <c r="S151" s="308">
        <f t="shared" si="42"/>
        <v>0</v>
      </c>
    </row>
    <row r="152" spans="1:19">
      <c r="A152" s="142"/>
      <c r="B152" s="52"/>
      <c r="C152" s="21">
        <f t="shared" si="32"/>
        <v>1</v>
      </c>
      <c r="D152" s="631"/>
      <c r="E152" s="21">
        <f t="shared" si="33"/>
        <v>0.06</v>
      </c>
      <c r="F152" s="631"/>
      <c r="G152" s="21">
        <f t="shared" si="34"/>
        <v>1</v>
      </c>
      <c r="H152" s="631"/>
      <c r="I152" s="21">
        <f t="shared" si="35"/>
        <v>0</v>
      </c>
      <c r="J152" s="631"/>
      <c r="K152" s="21">
        <f t="shared" si="36"/>
        <v>1</v>
      </c>
      <c r="L152" s="631"/>
      <c r="M152" s="21">
        <f t="shared" si="37"/>
        <v>1</v>
      </c>
      <c r="N152" s="631"/>
      <c r="O152" s="21">
        <f t="shared" si="38"/>
        <v>0</v>
      </c>
      <c r="P152" s="631"/>
      <c r="Q152" s="21">
        <f t="shared" si="39"/>
        <v>0</v>
      </c>
      <c r="R152" s="21">
        <f t="shared" si="41"/>
        <v>0</v>
      </c>
      <c r="S152" s="308">
        <f t="shared" si="42"/>
        <v>0</v>
      </c>
    </row>
    <row r="153" spans="1:19">
      <c r="A153" s="142"/>
      <c r="B153" s="52"/>
      <c r="C153" s="21">
        <f t="shared" si="32"/>
        <v>1</v>
      </c>
      <c r="D153" s="631"/>
      <c r="E153" s="21">
        <f t="shared" si="33"/>
        <v>0.06</v>
      </c>
      <c r="F153" s="631"/>
      <c r="G153" s="21">
        <f t="shared" si="34"/>
        <v>1</v>
      </c>
      <c r="H153" s="631"/>
      <c r="I153" s="21">
        <f t="shared" si="35"/>
        <v>0</v>
      </c>
      <c r="J153" s="631"/>
      <c r="K153" s="21">
        <f t="shared" si="36"/>
        <v>1</v>
      </c>
      <c r="L153" s="631"/>
      <c r="M153" s="21">
        <f t="shared" si="37"/>
        <v>1</v>
      </c>
      <c r="N153" s="631"/>
      <c r="O153" s="21">
        <f t="shared" si="38"/>
        <v>0</v>
      </c>
      <c r="P153" s="631"/>
      <c r="Q153" s="21">
        <f t="shared" si="39"/>
        <v>0</v>
      </c>
      <c r="R153" s="21">
        <f t="shared" si="41"/>
        <v>0</v>
      </c>
      <c r="S153" s="308">
        <f t="shared" si="42"/>
        <v>0</v>
      </c>
    </row>
    <row r="154" spans="1:19">
      <c r="A154" s="142"/>
      <c r="B154" s="52"/>
      <c r="C154" s="21">
        <f t="shared" si="32"/>
        <v>1</v>
      </c>
      <c r="D154" s="631"/>
      <c r="E154" s="21">
        <f t="shared" si="33"/>
        <v>0.06</v>
      </c>
      <c r="F154" s="631"/>
      <c r="G154" s="21">
        <f t="shared" si="34"/>
        <v>1</v>
      </c>
      <c r="H154" s="631"/>
      <c r="I154" s="21">
        <f t="shared" si="35"/>
        <v>0</v>
      </c>
      <c r="J154" s="631"/>
      <c r="K154" s="21">
        <f t="shared" si="36"/>
        <v>1</v>
      </c>
      <c r="L154" s="631"/>
      <c r="M154" s="21">
        <f t="shared" si="37"/>
        <v>1</v>
      </c>
      <c r="N154" s="631"/>
      <c r="O154" s="21">
        <f t="shared" si="38"/>
        <v>0</v>
      </c>
      <c r="P154" s="631"/>
      <c r="Q154" s="21">
        <f t="shared" si="39"/>
        <v>0</v>
      </c>
      <c r="R154" s="21">
        <f t="shared" si="41"/>
        <v>0</v>
      </c>
      <c r="S154" s="308">
        <f t="shared" si="42"/>
        <v>0</v>
      </c>
    </row>
    <row r="155" spans="1:19">
      <c r="A155" s="142"/>
      <c r="B155" s="52"/>
      <c r="C155" s="21">
        <f t="shared" ref="C155:C218" si="43">IF(B155="",1,(LOOKUP(B155,$3:$3,$4:$4)-LOOKUP($B$24,$3:$3,$4:$4)+100)/100)</f>
        <v>1</v>
      </c>
      <c r="D155" s="631"/>
      <c r="E155" s="21">
        <f t="shared" ref="E155:E218" si="44">(SUMIF($5:$5,D155,$6:$6)-SUMIF($5:$5,$D$24,$6:$6)+100)/100</f>
        <v>0.06</v>
      </c>
      <c r="F155" s="631"/>
      <c r="G155" s="21">
        <f t="shared" ref="G155:G218" si="45">(SUMIF($7:$7,F155,$8:$8)-SUMIF($7:$7,$F$24,$8:$8)+100)/100</f>
        <v>1</v>
      </c>
      <c r="H155" s="631"/>
      <c r="I155" s="21">
        <f t="shared" ref="I155:I218" si="46">(SUMIF($9:$9,H155,$10:$10)-SUMIF($9:$9,$H$24,$10:$10)+100)/100</f>
        <v>0</v>
      </c>
      <c r="J155" s="631"/>
      <c r="K155" s="21">
        <f t="shared" ref="K155:K218" si="47">(SUMIF($11:$11,J155,$12:$12)-SUMIF($11:$11,$J$24,$12:$12)+100)/100</f>
        <v>1</v>
      </c>
      <c r="L155" s="631"/>
      <c r="M155" s="21">
        <f t="shared" ref="M155:M218" si="48">(SUMIF($13:$13,L155,$14:$14)-SUMIF($13:$13,$L$24,$14:$14)+100)/100</f>
        <v>1</v>
      </c>
      <c r="N155" s="631"/>
      <c r="O155" s="21">
        <f t="shared" ref="O155:O218" si="49">(SUMIF($15:$15,N155,$16:$16)-SUMIF($15:$15,$N$24,$16:$16)+100)/100</f>
        <v>0</v>
      </c>
      <c r="P155" s="631"/>
      <c r="Q155" s="21">
        <f t="shared" ref="Q155:Q218" si="50">(SUMIF($17:$17,P155,$18:$18)-SUMIF($17:$17,$P$24,$18:$18)+100)/100</f>
        <v>0</v>
      </c>
      <c r="R155" s="21">
        <f t="shared" ref="R155:R218" si="51">IF(B155="",0,ROUND($R$24*C155*E155*G155*I155*K155*M155*O155*Q155,0))</f>
        <v>0</v>
      </c>
      <c r="S155" s="308">
        <f t="shared" si="42"/>
        <v>0</v>
      </c>
    </row>
    <row r="156" spans="1:19">
      <c r="A156" s="142"/>
      <c r="B156" s="52"/>
      <c r="C156" s="21">
        <f t="shared" si="43"/>
        <v>1</v>
      </c>
      <c r="D156" s="631"/>
      <c r="E156" s="21">
        <f t="shared" si="44"/>
        <v>0.06</v>
      </c>
      <c r="F156" s="631"/>
      <c r="G156" s="21">
        <f t="shared" si="45"/>
        <v>1</v>
      </c>
      <c r="H156" s="631"/>
      <c r="I156" s="21">
        <f t="shared" si="46"/>
        <v>0</v>
      </c>
      <c r="J156" s="631"/>
      <c r="K156" s="21">
        <f t="shared" si="47"/>
        <v>1</v>
      </c>
      <c r="L156" s="631"/>
      <c r="M156" s="21">
        <f t="shared" si="48"/>
        <v>1</v>
      </c>
      <c r="N156" s="631"/>
      <c r="O156" s="21">
        <f t="shared" si="49"/>
        <v>0</v>
      </c>
      <c r="P156" s="631"/>
      <c r="Q156" s="21">
        <f t="shared" si="50"/>
        <v>0</v>
      </c>
      <c r="R156" s="21">
        <f t="shared" si="51"/>
        <v>0</v>
      </c>
      <c r="S156" s="308">
        <f t="shared" si="42"/>
        <v>0</v>
      </c>
    </row>
    <row r="157" spans="1:19">
      <c r="A157" s="142"/>
      <c r="B157" s="52"/>
      <c r="C157" s="21">
        <f t="shared" si="43"/>
        <v>1</v>
      </c>
      <c r="D157" s="631"/>
      <c r="E157" s="21">
        <f t="shared" si="44"/>
        <v>0.06</v>
      </c>
      <c r="F157" s="631"/>
      <c r="G157" s="21">
        <f t="shared" si="45"/>
        <v>1</v>
      </c>
      <c r="H157" s="631"/>
      <c r="I157" s="21">
        <f t="shared" si="46"/>
        <v>0</v>
      </c>
      <c r="J157" s="631"/>
      <c r="K157" s="21">
        <f t="shared" si="47"/>
        <v>1</v>
      </c>
      <c r="L157" s="631"/>
      <c r="M157" s="21">
        <f t="shared" si="48"/>
        <v>1</v>
      </c>
      <c r="N157" s="631"/>
      <c r="O157" s="21">
        <f t="shared" si="49"/>
        <v>0</v>
      </c>
      <c r="P157" s="631"/>
      <c r="Q157" s="21">
        <f t="shared" si="50"/>
        <v>0</v>
      </c>
      <c r="R157" s="21">
        <f t="shared" si="51"/>
        <v>0</v>
      </c>
      <c r="S157" s="308">
        <f t="shared" si="42"/>
        <v>0</v>
      </c>
    </row>
    <row r="158" spans="1:19">
      <c r="A158" s="142"/>
      <c r="B158" s="52"/>
      <c r="C158" s="21">
        <f t="shared" si="43"/>
        <v>1</v>
      </c>
      <c r="D158" s="631"/>
      <c r="E158" s="21">
        <f t="shared" si="44"/>
        <v>0.06</v>
      </c>
      <c r="F158" s="631"/>
      <c r="G158" s="21">
        <f t="shared" si="45"/>
        <v>1</v>
      </c>
      <c r="H158" s="631"/>
      <c r="I158" s="21">
        <f t="shared" si="46"/>
        <v>0</v>
      </c>
      <c r="J158" s="631"/>
      <c r="K158" s="21">
        <f t="shared" si="47"/>
        <v>1</v>
      </c>
      <c r="L158" s="631"/>
      <c r="M158" s="21">
        <f t="shared" si="48"/>
        <v>1</v>
      </c>
      <c r="N158" s="631"/>
      <c r="O158" s="21">
        <f t="shared" si="49"/>
        <v>0</v>
      </c>
      <c r="P158" s="631"/>
      <c r="Q158" s="21">
        <f t="shared" si="50"/>
        <v>0</v>
      </c>
      <c r="R158" s="21">
        <f t="shared" si="51"/>
        <v>0</v>
      </c>
      <c r="S158" s="308">
        <f t="shared" si="42"/>
        <v>0</v>
      </c>
    </row>
    <row r="159" spans="1:19">
      <c r="A159" s="142"/>
      <c r="B159" s="52"/>
      <c r="C159" s="21">
        <f t="shared" si="43"/>
        <v>1</v>
      </c>
      <c r="D159" s="631"/>
      <c r="E159" s="21">
        <f t="shared" si="44"/>
        <v>0.06</v>
      </c>
      <c r="F159" s="631"/>
      <c r="G159" s="21">
        <f t="shared" si="45"/>
        <v>1</v>
      </c>
      <c r="H159" s="631"/>
      <c r="I159" s="21">
        <f t="shared" si="46"/>
        <v>0</v>
      </c>
      <c r="J159" s="631"/>
      <c r="K159" s="21">
        <f t="shared" si="47"/>
        <v>1</v>
      </c>
      <c r="L159" s="631"/>
      <c r="M159" s="21">
        <f t="shared" si="48"/>
        <v>1</v>
      </c>
      <c r="N159" s="631"/>
      <c r="O159" s="21">
        <f t="shared" si="49"/>
        <v>0</v>
      </c>
      <c r="P159" s="631"/>
      <c r="Q159" s="21">
        <f t="shared" si="50"/>
        <v>0</v>
      </c>
      <c r="R159" s="21">
        <f t="shared" si="51"/>
        <v>0</v>
      </c>
      <c r="S159" s="308">
        <f t="shared" si="42"/>
        <v>0</v>
      </c>
    </row>
    <row r="160" spans="1:19">
      <c r="A160" s="142"/>
      <c r="B160" s="52"/>
      <c r="C160" s="21">
        <f t="shared" si="43"/>
        <v>1</v>
      </c>
      <c r="D160" s="631"/>
      <c r="E160" s="21">
        <f t="shared" si="44"/>
        <v>0.06</v>
      </c>
      <c r="F160" s="631"/>
      <c r="G160" s="21">
        <f t="shared" si="45"/>
        <v>1</v>
      </c>
      <c r="H160" s="631"/>
      <c r="I160" s="21">
        <f t="shared" si="46"/>
        <v>0</v>
      </c>
      <c r="J160" s="631"/>
      <c r="K160" s="21">
        <f t="shared" si="47"/>
        <v>1</v>
      </c>
      <c r="L160" s="631"/>
      <c r="M160" s="21">
        <f t="shared" si="48"/>
        <v>1</v>
      </c>
      <c r="N160" s="631"/>
      <c r="O160" s="21">
        <f t="shared" si="49"/>
        <v>0</v>
      </c>
      <c r="P160" s="631"/>
      <c r="Q160" s="21">
        <f t="shared" si="50"/>
        <v>0</v>
      </c>
      <c r="R160" s="21">
        <f t="shared" si="51"/>
        <v>0</v>
      </c>
      <c r="S160" s="308">
        <f t="shared" si="42"/>
        <v>0</v>
      </c>
    </row>
    <row r="161" spans="1:19">
      <c r="A161" s="142"/>
      <c r="B161" s="52"/>
      <c r="C161" s="21">
        <f t="shared" si="43"/>
        <v>1</v>
      </c>
      <c r="D161" s="631"/>
      <c r="E161" s="21">
        <f t="shared" si="44"/>
        <v>0.06</v>
      </c>
      <c r="F161" s="631"/>
      <c r="G161" s="21">
        <f t="shared" si="45"/>
        <v>1</v>
      </c>
      <c r="H161" s="631"/>
      <c r="I161" s="21">
        <f t="shared" si="46"/>
        <v>0</v>
      </c>
      <c r="J161" s="631"/>
      <c r="K161" s="21">
        <f t="shared" si="47"/>
        <v>1</v>
      </c>
      <c r="L161" s="631"/>
      <c r="M161" s="21">
        <f t="shared" si="48"/>
        <v>1</v>
      </c>
      <c r="N161" s="631"/>
      <c r="O161" s="21">
        <f t="shared" si="49"/>
        <v>0</v>
      </c>
      <c r="P161" s="631"/>
      <c r="Q161" s="21">
        <f t="shared" si="50"/>
        <v>0</v>
      </c>
      <c r="R161" s="21">
        <f t="shared" si="51"/>
        <v>0</v>
      </c>
      <c r="S161" s="308">
        <f t="shared" si="42"/>
        <v>0</v>
      </c>
    </row>
    <row r="162" spans="1:19">
      <c r="A162" s="142"/>
      <c r="B162" s="52"/>
      <c r="C162" s="21">
        <f t="shared" si="43"/>
        <v>1</v>
      </c>
      <c r="D162" s="631"/>
      <c r="E162" s="21">
        <f t="shared" si="44"/>
        <v>0.06</v>
      </c>
      <c r="F162" s="631"/>
      <c r="G162" s="21">
        <f t="shared" si="45"/>
        <v>1</v>
      </c>
      <c r="H162" s="631"/>
      <c r="I162" s="21">
        <f t="shared" si="46"/>
        <v>0</v>
      </c>
      <c r="J162" s="631"/>
      <c r="K162" s="21">
        <f t="shared" si="47"/>
        <v>1</v>
      </c>
      <c r="L162" s="631"/>
      <c r="M162" s="21">
        <f t="shared" si="48"/>
        <v>1</v>
      </c>
      <c r="N162" s="631"/>
      <c r="O162" s="21">
        <f t="shared" si="49"/>
        <v>0</v>
      </c>
      <c r="P162" s="631"/>
      <c r="Q162" s="21">
        <f t="shared" si="50"/>
        <v>0</v>
      </c>
      <c r="R162" s="21">
        <f t="shared" si="51"/>
        <v>0</v>
      </c>
      <c r="S162" s="308">
        <f t="shared" si="42"/>
        <v>0</v>
      </c>
    </row>
    <row r="163" spans="1:19">
      <c r="A163" s="142"/>
      <c r="B163" s="52"/>
      <c r="C163" s="21">
        <f t="shared" si="43"/>
        <v>1</v>
      </c>
      <c r="D163" s="631"/>
      <c r="E163" s="21">
        <f t="shared" si="44"/>
        <v>0.06</v>
      </c>
      <c r="F163" s="631"/>
      <c r="G163" s="21">
        <f t="shared" si="45"/>
        <v>1</v>
      </c>
      <c r="H163" s="631"/>
      <c r="I163" s="21">
        <f t="shared" si="46"/>
        <v>0</v>
      </c>
      <c r="J163" s="631"/>
      <c r="K163" s="21">
        <f t="shared" si="47"/>
        <v>1</v>
      </c>
      <c r="L163" s="631"/>
      <c r="M163" s="21">
        <f t="shared" si="48"/>
        <v>1</v>
      </c>
      <c r="N163" s="631"/>
      <c r="O163" s="21">
        <f t="shared" si="49"/>
        <v>0</v>
      </c>
      <c r="P163" s="631"/>
      <c r="Q163" s="21">
        <f t="shared" si="50"/>
        <v>0</v>
      </c>
      <c r="R163" s="21">
        <f t="shared" si="51"/>
        <v>0</v>
      </c>
      <c r="S163" s="308">
        <f t="shared" si="42"/>
        <v>0</v>
      </c>
    </row>
    <row r="164" spans="1:19">
      <c r="A164" s="142"/>
      <c r="B164" s="52"/>
      <c r="C164" s="21">
        <f t="shared" si="43"/>
        <v>1</v>
      </c>
      <c r="D164" s="631"/>
      <c r="E164" s="21">
        <f t="shared" si="44"/>
        <v>0.06</v>
      </c>
      <c r="F164" s="631"/>
      <c r="G164" s="21">
        <f t="shared" si="45"/>
        <v>1</v>
      </c>
      <c r="H164" s="631"/>
      <c r="I164" s="21">
        <f t="shared" si="46"/>
        <v>0</v>
      </c>
      <c r="J164" s="631"/>
      <c r="K164" s="21">
        <f t="shared" si="47"/>
        <v>1</v>
      </c>
      <c r="L164" s="631"/>
      <c r="M164" s="21">
        <f t="shared" si="48"/>
        <v>1</v>
      </c>
      <c r="N164" s="631"/>
      <c r="O164" s="21">
        <f t="shared" si="49"/>
        <v>0</v>
      </c>
      <c r="P164" s="631"/>
      <c r="Q164" s="21">
        <f t="shared" si="50"/>
        <v>0</v>
      </c>
      <c r="R164" s="21">
        <f t="shared" si="51"/>
        <v>0</v>
      </c>
      <c r="S164" s="308">
        <f t="shared" si="42"/>
        <v>0</v>
      </c>
    </row>
    <row r="165" spans="1:19">
      <c r="A165" s="142"/>
      <c r="B165" s="52"/>
      <c r="C165" s="21">
        <f t="shared" si="43"/>
        <v>1</v>
      </c>
      <c r="D165" s="631"/>
      <c r="E165" s="21">
        <f t="shared" si="44"/>
        <v>0.06</v>
      </c>
      <c r="F165" s="631"/>
      <c r="G165" s="21">
        <f t="shared" si="45"/>
        <v>1</v>
      </c>
      <c r="H165" s="631"/>
      <c r="I165" s="21">
        <f t="shared" si="46"/>
        <v>0</v>
      </c>
      <c r="J165" s="631"/>
      <c r="K165" s="21">
        <f t="shared" si="47"/>
        <v>1</v>
      </c>
      <c r="L165" s="631"/>
      <c r="M165" s="21">
        <f t="shared" si="48"/>
        <v>1</v>
      </c>
      <c r="N165" s="631"/>
      <c r="O165" s="21">
        <f t="shared" si="49"/>
        <v>0</v>
      </c>
      <c r="P165" s="631"/>
      <c r="Q165" s="21">
        <f t="shared" si="50"/>
        <v>0</v>
      </c>
      <c r="R165" s="21">
        <f t="shared" si="51"/>
        <v>0</v>
      </c>
      <c r="S165" s="308">
        <f t="shared" si="42"/>
        <v>0</v>
      </c>
    </row>
    <row r="166" spans="1:19">
      <c r="A166" s="142"/>
      <c r="B166" s="52"/>
      <c r="C166" s="21">
        <f t="shared" si="43"/>
        <v>1</v>
      </c>
      <c r="D166" s="631"/>
      <c r="E166" s="21">
        <f t="shared" si="44"/>
        <v>0.06</v>
      </c>
      <c r="F166" s="631"/>
      <c r="G166" s="21">
        <f t="shared" si="45"/>
        <v>1</v>
      </c>
      <c r="H166" s="631"/>
      <c r="I166" s="21">
        <f t="shared" si="46"/>
        <v>0</v>
      </c>
      <c r="J166" s="631"/>
      <c r="K166" s="21">
        <f t="shared" si="47"/>
        <v>1</v>
      </c>
      <c r="L166" s="631"/>
      <c r="M166" s="21">
        <f t="shared" si="48"/>
        <v>1</v>
      </c>
      <c r="N166" s="631"/>
      <c r="O166" s="21">
        <f t="shared" si="49"/>
        <v>0</v>
      </c>
      <c r="P166" s="631"/>
      <c r="Q166" s="21">
        <f t="shared" si="50"/>
        <v>0</v>
      </c>
      <c r="R166" s="21">
        <f t="shared" si="51"/>
        <v>0</v>
      </c>
      <c r="S166" s="308">
        <f t="shared" si="42"/>
        <v>0</v>
      </c>
    </row>
    <row r="167" spans="1:19">
      <c r="A167" s="142"/>
      <c r="B167" s="52"/>
      <c r="C167" s="21">
        <f t="shared" si="43"/>
        <v>1</v>
      </c>
      <c r="D167" s="631"/>
      <c r="E167" s="21">
        <f t="shared" si="44"/>
        <v>0.06</v>
      </c>
      <c r="F167" s="631"/>
      <c r="G167" s="21">
        <f t="shared" si="45"/>
        <v>1</v>
      </c>
      <c r="H167" s="631"/>
      <c r="I167" s="21">
        <f t="shared" si="46"/>
        <v>0</v>
      </c>
      <c r="J167" s="631"/>
      <c r="K167" s="21">
        <f t="shared" si="47"/>
        <v>1</v>
      </c>
      <c r="L167" s="631"/>
      <c r="M167" s="21">
        <f t="shared" si="48"/>
        <v>1</v>
      </c>
      <c r="N167" s="631"/>
      <c r="O167" s="21">
        <f t="shared" si="49"/>
        <v>0</v>
      </c>
      <c r="P167" s="631"/>
      <c r="Q167" s="21">
        <f t="shared" si="50"/>
        <v>0</v>
      </c>
      <c r="R167" s="21">
        <f t="shared" si="51"/>
        <v>0</v>
      </c>
      <c r="S167" s="308">
        <f t="shared" si="42"/>
        <v>0</v>
      </c>
    </row>
    <row r="168" spans="1:19">
      <c r="A168" s="142"/>
      <c r="B168" s="52"/>
      <c r="C168" s="21">
        <f t="shared" si="43"/>
        <v>1</v>
      </c>
      <c r="D168" s="631"/>
      <c r="E168" s="21">
        <f t="shared" si="44"/>
        <v>0.06</v>
      </c>
      <c r="F168" s="631"/>
      <c r="G168" s="21">
        <f t="shared" si="45"/>
        <v>1</v>
      </c>
      <c r="H168" s="631"/>
      <c r="I168" s="21">
        <f t="shared" si="46"/>
        <v>0</v>
      </c>
      <c r="J168" s="631"/>
      <c r="K168" s="21">
        <f t="shared" si="47"/>
        <v>1</v>
      </c>
      <c r="L168" s="631"/>
      <c r="M168" s="21">
        <f t="shared" si="48"/>
        <v>1</v>
      </c>
      <c r="N168" s="631"/>
      <c r="O168" s="21">
        <f t="shared" si="49"/>
        <v>0</v>
      </c>
      <c r="P168" s="631"/>
      <c r="Q168" s="21">
        <f t="shared" si="50"/>
        <v>0</v>
      </c>
      <c r="R168" s="21">
        <f t="shared" si="51"/>
        <v>0</v>
      </c>
      <c r="S168" s="308">
        <f t="shared" si="42"/>
        <v>0</v>
      </c>
    </row>
    <row r="169" spans="1:19">
      <c r="A169" s="142"/>
      <c r="B169" s="52"/>
      <c r="C169" s="21">
        <f t="shared" si="43"/>
        <v>1</v>
      </c>
      <c r="D169" s="631"/>
      <c r="E169" s="21">
        <f t="shared" si="44"/>
        <v>0.06</v>
      </c>
      <c r="F169" s="631"/>
      <c r="G169" s="21">
        <f t="shared" si="45"/>
        <v>1</v>
      </c>
      <c r="H169" s="631"/>
      <c r="I169" s="21">
        <f t="shared" si="46"/>
        <v>0</v>
      </c>
      <c r="J169" s="631"/>
      <c r="K169" s="21">
        <f t="shared" si="47"/>
        <v>1</v>
      </c>
      <c r="L169" s="631"/>
      <c r="M169" s="21">
        <f t="shared" si="48"/>
        <v>1</v>
      </c>
      <c r="N169" s="631"/>
      <c r="O169" s="21">
        <f t="shared" si="49"/>
        <v>0</v>
      </c>
      <c r="P169" s="631"/>
      <c r="Q169" s="21">
        <f t="shared" si="50"/>
        <v>0</v>
      </c>
      <c r="R169" s="21">
        <f t="shared" si="51"/>
        <v>0</v>
      </c>
      <c r="S169" s="308">
        <f t="shared" si="42"/>
        <v>0</v>
      </c>
    </row>
    <row r="170" spans="1:19">
      <c r="A170" s="142"/>
      <c r="B170" s="52"/>
      <c r="C170" s="21">
        <f t="shared" si="43"/>
        <v>1</v>
      </c>
      <c r="D170" s="631"/>
      <c r="E170" s="21">
        <f t="shared" si="44"/>
        <v>0.06</v>
      </c>
      <c r="F170" s="631"/>
      <c r="G170" s="21">
        <f t="shared" si="45"/>
        <v>1</v>
      </c>
      <c r="H170" s="631"/>
      <c r="I170" s="21">
        <f t="shared" si="46"/>
        <v>0</v>
      </c>
      <c r="J170" s="631"/>
      <c r="K170" s="21">
        <f t="shared" si="47"/>
        <v>1</v>
      </c>
      <c r="L170" s="631"/>
      <c r="M170" s="21">
        <f t="shared" si="48"/>
        <v>1</v>
      </c>
      <c r="N170" s="631"/>
      <c r="O170" s="21">
        <f t="shared" si="49"/>
        <v>0</v>
      </c>
      <c r="P170" s="631"/>
      <c r="Q170" s="21">
        <f t="shared" si="50"/>
        <v>0</v>
      </c>
      <c r="R170" s="21">
        <f t="shared" si="51"/>
        <v>0</v>
      </c>
      <c r="S170" s="308">
        <f t="shared" si="42"/>
        <v>0</v>
      </c>
    </row>
    <row r="171" spans="1:19">
      <c r="A171" s="142"/>
      <c r="B171" s="52"/>
      <c r="C171" s="21">
        <f t="shared" si="43"/>
        <v>1</v>
      </c>
      <c r="D171" s="631"/>
      <c r="E171" s="21">
        <f t="shared" si="44"/>
        <v>0.06</v>
      </c>
      <c r="F171" s="631"/>
      <c r="G171" s="21">
        <f t="shared" si="45"/>
        <v>1</v>
      </c>
      <c r="H171" s="631"/>
      <c r="I171" s="21">
        <f t="shared" si="46"/>
        <v>0</v>
      </c>
      <c r="J171" s="631"/>
      <c r="K171" s="21">
        <f t="shared" si="47"/>
        <v>1</v>
      </c>
      <c r="L171" s="631"/>
      <c r="M171" s="21">
        <f t="shared" si="48"/>
        <v>1</v>
      </c>
      <c r="N171" s="631"/>
      <c r="O171" s="21">
        <f t="shared" si="49"/>
        <v>0</v>
      </c>
      <c r="P171" s="631"/>
      <c r="Q171" s="21">
        <f t="shared" si="50"/>
        <v>0</v>
      </c>
      <c r="R171" s="21">
        <f t="shared" si="51"/>
        <v>0</v>
      </c>
      <c r="S171" s="308">
        <f t="shared" si="42"/>
        <v>0</v>
      </c>
    </row>
    <row r="172" spans="1:19">
      <c r="A172" s="142"/>
      <c r="B172" s="52"/>
      <c r="C172" s="21">
        <f t="shared" si="43"/>
        <v>1</v>
      </c>
      <c r="D172" s="631"/>
      <c r="E172" s="21">
        <f t="shared" si="44"/>
        <v>0.06</v>
      </c>
      <c r="F172" s="631"/>
      <c r="G172" s="21">
        <f t="shared" si="45"/>
        <v>1</v>
      </c>
      <c r="H172" s="631"/>
      <c r="I172" s="21">
        <f t="shared" si="46"/>
        <v>0</v>
      </c>
      <c r="J172" s="631"/>
      <c r="K172" s="21">
        <f t="shared" si="47"/>
        <v>1</v>
      </c>
      <c r="L172" s="631"/>
      <c r="M172" s="21">
        <f t="shared" si="48"/>
        <v>1</v>
      </c>
      <c r="N172" s="631"/>
      <c r="O172" s="21">
        <f t="shared" si="49"/>
        <v>0</v>
      </c>
      <c r="P172" s="631"/>
      <c r="Q172" s="21">
        <f t="shared" si="50"/>
        <v>0</v>
      </c>
      <c r="R172" s="21">
        <f t="shared" si="51"/>
        <v>0</v>
      </c>
      <c r="S172" s="308">
        <f t="shared" si="42"/>
        <v>0</v>
      </c>
    </row>
    <row r="173" spans="1:19">
      <c r="A173" s="142"/>
      <c r="B173" s="52"/>
      <c r="C173" s="21">
        <f t="shared" si="43"/>
        <v>1</v>
      </c>
      <c r="D173" s="631"/>
      <c r="E173" s="21">
        <f t="shared" si="44"/>
        <v>0.06</v>
      </c>
      <c r="F173" s="631"/>
      <c r="G173" s="21">
        <f t="shared" si="45"/>
        <v>1</v>
      </c>
      <c r="H173" s="631"/>
      <c r="I173" s="21">
        <f t="shared" si="46"/>
        <v>0</v>
      </c>
      <c r="J173" s="631"/>
      <c r="K173" s="21">
        <f t="shared" si="47"/>
        <v>1</v>
      </c>
      <c r="L173" s="631"/>
      <c r="M173" s="21">
        <f t="shared" si="48"/>
        <v>1</v>
      </c>
      <c r="N173" s="631"/>
      <c r="O173" s="21">
        <f t="shared" si="49"/>
        <v>0</v>
      </c>
      <c r="P173" s="631"/>
      <c r="Q173" s="21">
        <f t="shared" si="50"/>
        <v>0</v>
      </c>
      <c r="R173" s="21">
        <f t="shared" si="51"/>
        <v>0</v>
      </c>
      <c r="S173" s="308">
        <f t="shared" si="42"/>
        <v>0</v>
      </c>
    </row>
    <row r="174" spans="1:19">
      <c r="A174" s="142"/>
      <c r="B174" s="52"/>
      <c r="C174" s="21">
        <f t="shared" si="43"/>
        <v>1</v>
      </c>
      <c r="D174" s="631"/>
      <c r="E174" s="21">
        <f t="shared" si="44"/>
        <v>0.06</v>
      </c>
      <c r="F174" s="631"/>
      <c r="G174" s="21">
        <f t="shared" si="45"/>
        <v>1</v>
      </c>
      <c r="H174" s="631"/>
      <c r="I174" s="21">
        <f t="shared" si="46"/>
        <v>0</v>
      </c>
      <c r="J174" s="631"/>
      <c r="K174" s="21">
        <f t="shared" si="47"/>
        <v>1</v>
      </c>
      <c r="L174" s="631"/>
      <c r="M174" s="21">
        <f t="shared" si="48"/>
        <v>1</v>
      </c>
      <c r="N174" s="631"/>
      <c r="O174" s="21">
        <f t="shared" si="49"/>
        <v>0</v>
      </c>
      <c r="P174" s="631"/>
      <c r="Q174" s="21">
        <f t="shared" si="50"/>
        <v>0</v>
      </c>
      <c r="R174" s="21">
        <f t="shared" si="51"/>
        <v>0</v>
      </c>
      <c r="S174" s="308">
        <f t="shared" si="42"/>
        <v>0</v>
      </c>
    </row>
    <row r="175" spans="1:19">
      <c r="A175" s="142"/>
      <c r="B175" s="52"/>
      <c r="C175" s="21">
        <f t="shared" si="43"/>
        <v>1</v>
      </c>
      <c r="D175" s="631"/>
      <c r="E175" s="21">
        <f t="shared" si="44"/>
        <v>0.06</v>
      </c>
      <c r="F175" s="631"/>
      <c r="G175" s="21">
        <f t="shared" si="45"/>
        <v>1</v>
      </c>
      <c r="H175" s="631"/>
      <c r="I175" s="21">
        <f t="shared" si="46"/>
        <v>0</v>
      </c>
      <c r="J175" s="631"/>
      <c r="K175" s="21">
        <f t="shared" si="47"/>
        <v>1</v>
      </c>
      <c r="L175" s="631"/>
      <c r="M175" s="21">
        <f t="shared" si="48"/>
        <v>1</v>
      </c>
      <c r="N175" s="631"/>
      <c r="O175" s="21">
        <f t="shared" si="49"/>
        <v>0</v>
      </c>
      <c r="P175" s="631"/>
      <c r="Q175" s="21">
        <f t="shared" si="50"/>
        <v>0</v>
      </c>
      <c r="R175" s="21">
        <f t="shared" si="51"/>
        <v>0</v>
      </c>
      <c r="S175" s="308">
        <f t="shared" si="42"/>
        <v>0</v>
      </c>
    </row>
    <row r="176" spans="1:19">
      <c r="A176" s="142"/>
      <c r="B176" s="52"/>
      <c r="C176" s="21">
        <f t="shared" si="43"/>
        <v>1</v>
      </c>
      <c r="D176" s="631"/>
      <c r="E176" s="21">
        <f t="shared" si="44"/>
        <v>0.06</v>
      </c>
      <c r="F176" s="631"/>
      <c r="G176" s="21">
        <f t="shared" si="45"/>
        <v>1</v>
      </c>
      <c r="H176" s="631"/>
      <c r="I176" s="21">
        <f t="shared" si="46"/>
        <v>0</v>
      </c>
      <c r="J176" s="631"/>
      <c r="K176" s="21">
        <f t="shared" si="47"/>
        <v>1</v>
      </c>
      <c r="L176" s="631"/>
      <c r="M176" s="21">
        <f t="shared" si="48"/>
        <v>1</v>
      </c>
      <c r="N176" s="631"/>
      <c r="O176" s="21">
        <f t="shared" si="49"/>
        <v>0</v>
      </c>
      <c r="P176" s="631"/>
      <c r="Q176" s="21">
        <f t="shared" si="50"/>
        <v>0</v>
      </c>
      <c r="R176" s="21">
        <f t="shared" si="51"/>
        <v>0</v>
      </c>
      <c r="S176" s="308">
        <f t="shared" si="42"/>
        <v>0</v>
      </c>
    </row>
    <row r="177" spans="1:19">
      <c r="A177" s="142"/>
      <c r="B177" s="52"/>
      <c r="C177" s="21">
        <f t="shared" si="43"/>
        <v>1</v>
      </c>
      <c r="D177" s="631"/>
      <c r="E177" s="21">
        <f t="shared" si="44"/>
        <v>0.06</v>
      </c>
      <c r="F177" s="631"/>
      <c r="G177" s="21">
        <f t="shared" si="45"/>
        <v>1</v>
      </c>
      <c r="H177" s="631"/>
      <c r="I177" s="21">
        <f t="shared" si="46"/>
        <v>0</v>
      </c>
      <c r="J177" s="631"/>
      <c r="K177" s="21">
        <f t="shared" si="47"/>
        <v>1</v>
      </c>
      <c r="L177" s="631"/>
      <c r="M177" s="21">
        <f t="shared" si="48"/>
        <v>1</v>
      </c>
      <c r="N177" s="631"/>
      <c r="O177" s="21">
        <f t="shared" si="49"/>
        <v>0</v>
      </c>
      <c r="P177" s="631"/>
      <c r="Q177" s="21">
        <f t="shared" si="50"/>
        <v>0</v>
      </c>
      <c r="R177" s="21">
        <f t="shared" si="51"/>
        <v>0</v>
      </c>
      <c r="S177" s="308">
        <f t="shared" si="42"/>
        <v>0</v>
      </c>
    </row>
    <row r="178" spans="1:19">
      <c r="A178" s="142"/>
      <c r="B178" s="52"/>
      <c r="C178" s="21">
        <f t="shared" si="43"/>
        <v>1</v>
      </c>
      <c r="D178" s="631"/>
      <c r="E178" s="21">
        <f t="shared" si="44"/>
        <v>0.06</v>
      </c>
      <c r="F178" s="631"/>
      <c r="G178" s="21">
        <f t="shared" si="45"/>
        <v>1</v>
      </c>
      <c r="H178" s="631"/>
      <c r="I178" s="21">
        <f t="shared" si="46"/>
        <v>0</v>
      </c>
      <c r="J178" s="631"/>
      <c r="K178" s="21">
        <f t="shared" si="47"/>
        <v>1</v>
      </c>
      <c r="L178" s="631"/>
      <c r="M178" s="21">
        <f t="shared" si="48"/>
        <v>1</v>
      </c>
      <c r="N178" s="631"/>
      <c r="O178" s="21">
        <f t="shared" si="49"/>
        <v>0</v>
      </c>
      <c r="P178" s="631"/>
      <c r="Q178" s="21">
        <f t="shared" si="50"/>
        <v>0</v>
      </c>
      <c r="R178" s="21">
        <f t="shared" si="51"/>
        <v>0</v>
      </c>
      <c r="S178" s="308">
        <f t="shared" si="42"/>
        <v>0</v>
      </c>
    </row>
    <row r="179" spans="1:19">
      <c r="A179" s="142"/>
      <c r="B179" s="52"/>
      <c r="C179" s="21">
        <f t="shared" si="43"/>
        <v>1</v>
      </c>
      <c r="D179" s="631"/>
      <c r="E179" s="21">
        <f t="shared" si="44"/>
        <v>0.06</v>
      </c>
      <c r="F179" s="631"/>
      <c r="G179" s="21">
        <f t="shared" si="45"/>
        <v>1</v>
      </c>
      <c r="H179" s="631"/>
      <c r="I179" s="21">
        <f t="shared" si="46"/>
        <v>0</v>
      </c>
      <c r="J179" s="631"/>
      <c r="K179" s="21">
        <f t="shared" si="47"/>
        <v>1</v>
      </c>
      <c r="L179" s="631"/>
      <c r="M179" s="21">
        <f t="shared" si="48"/>
        <v>1</v>
      </c>
      <c r="N179" s="631"/>
      <c r="O179" s="21">
        <f t="shared" si="49"/>
        <v>0</v>
      </c>
      <c r="P179" s="631"/>
      <c r="Q179" s="21">
        <f t="shared" si="50"/>
        <v>0</v>
      </c>
      <c r="R179" s="21">
        <f t="shared" si="51"/>
        <v>0</v>
      </c>
      <c r="S179" s="308">
        <f t="shared" si="42"/>
        <v>0</v>
      </c>
    </row>
    <row r="180" spans="1:19">
      <c r="A180" s="142"/>
      <c r="B180" s="52"/>
      <c r="C180" s="21">
        <f t="shared" si="43"/>
        <v>1</v>
      </c>
      <c r="D180" s="631"/>
      <c r="E180" s="21">
        <f t="shared" si="44"/>
        <v>0.06</v>
      </c>
      <c r="F180" s="631"/>
      <c r="G180" s="21">
        <f t="shared" si="45"/>
        <v>1</v>
      </c>
      <c r="H180" s="631"/>
      <c r="I180" s="21">
        <f t="shared" si="46"/>
        <v>0</v>
      </c>
      <c r="J180" s="631"/>
      <c r="K180" s="21">
        <f t="shared" si="47"/>
        <v>1</v>
      </c>
      <c r="L180" s="631"/>
      <c r="M180" s="21">
        <f t="shared" si="48"/>
        <v>1</v>
      </c>
      <c r="N180" s="631"/>
      <c r="O180" s="21">
        <f t="shared" si="49"/>
        <v>0</v>
      </c>
      <c r="P180" s="631"/>
      <c r="Q180" s="21">
        <f t="shared" si="50"/>
        <v>0</v>
      </c>
      <c r="R180" s="21">
        <f t="shared" si="51"/>
        <v>0</v>
      </c>
      <c r="S180" s="308">
        <f t="shared" si="42"/>
        <v>0</v>
      </c>
    </row>
    <row r="181" spans="1:19">
      <c r="A181" s="142"/>
      <c r="B181" s="52"/>
      <c r="C181" s="21">
        <f t="shared" si="43"/>
        <v>1</v>
      </c>
      <c r="D181" s="631"/>
      <c r="E181" s="21">
        <f t="shared" si="44"/>
        <v>0.06</v>
      </c>
      <c r="F181" s="631"/>
      <c r="G181" s="21">
        <f t="shared" si="45"/>
        <v>1</v>
      </c>
      <c r="H181" s="631"/>
      <c r="I181" s="21">
        <f t="shared" si="46"/>
        <v>0</v>
      </c>
      <c r="J181" s="631"/>
      <c r="K181" s="21">
        <f t="shared" si="47"/>
        <v>1</v>
      </c>
      <c r="L181" s="631"/>
      <c r="M181" s="21">
        <f t="shared" si="48"/>
        <v>1</v>
      </c>
      <c r="N181" s="631"/>
      <c r="O181" s="21">
        <f t="shared" si="49"/>
        <v>0</v>
      </c>
      <c r="P181" s="631"/>
      <c r="Q181" s="21">
        <f t="shared" si="50"/>
        <v>0</v>
      </c>
      <c r="R181" s="21">
        <f t="shared" si="51"/>
        <v>0</v>
      </c>
      <c r="S181" s="308">
        <f t="shared" si="42"/>
        <v>0</v>
      </c>
    </row>
    <row r="182" spans="1:19">
      <c r="A182" s="142"/>
      <c r="B182" s="52"/>
      <c r="C182" s="21">
        <f t="shared" si="43"/>
        <v>1</v>
      </c>
      <c r="D182" s="631"/>
      <c r="E182" s="21">
        <f t="shared" si="44"/>
        <v>0.06</v>
      </c>
      <c r="F182" s="631"/>
      <c r="G182" s="21">
        <f t="shared" si="45"/>
        <v>1</v>
      </c>
      <c r="H182" s="631"/>
      <c r="I182" s="21">
        <f t="shared" si="46"/>
        <v>0</v>
      </c>
      <c r="J182" s="631"/>
      <c r="K182" s="21">
        <f t="shared" si="47"/>
        <v>1</v>
      </c>
      <c r="L182" s="631"/>
      <c r="M182" s="21">
        <f t="shared" si="48"/>
        <v>1</v>
      </c>
      <c r="N182" s="631"/>
      <c r="O182" s="21">
        <f t="shared" si="49"/>
        <v>0</v>
      </c>
      <c r="P182" s="631"/>
      <c r="Q182" s="21">
        <f t="shared" si="50"/>
        <v>0</v>
      </c>
      <c r="R182" s="21">
        <f t="shared" si="51"/>
        <v>0</v>
      </c>
      <c r="S182" s="308">
        <f t="shared" si="42"/>
        <v>0</v>
      </c>
    </row>
    <row r="183" spans="1:19">
      <c r="A183" s="142"/>
      <c r="B183" s="52"/>
      <c r="C183" s="21">
        <f t="shared" si="43"/>
        <v>1</v>
      </c>
      <c r="D183" s="631"/>
      <c r="E183" s="21">
        <f t="shared" si="44"/>
        <v>0.06</v>
      </c>
      <c r="F183" s="631"/>
      <c r="G183" s="21">
        <f t="shared" si="45"/>
        <v>1</v>
      </c>
      <c r="H183" s="631"/>
      <c r="I183" s="21">
        <f t="shared" si="46"/>
        <v>0</v>
      </c>
      <c r="J183" s="631"/>
      <c r="K183" s="21">
        <f t="shared" si="47"/>
        <v>1</v>
      </c>
      <c r="L183" s="631"/>
      <c r="M183" s="21">
        <f t="shared" si="48"/>
        <v>1</v>
      </c>
      <c r="N183" s="631"/>
      <c r="O183" s="21">
        <f t="shared" si="49"/>
        <v>0</v>
      </c>
      <c r="P183" s="631"/>
      <c r="Q183" s="21">
        <f t="shared" si="50"/>
        <v>0</v>
      </c>
      <c r="R183" s="21">
        <f t="shared" si="51"/>
        <v>0</v>
      </c>
      <c r="S183" s="308">
        <f t="shared" si="42"/>
        <v>0</v>
      </c>
    </row>
    <row r="184" spans="1:19">
      <c r="A184" s="142"/>
      <c r="B184" s="52"/>
      <c r="C184" s="21">
        <f t="shared" si="43"/>
        <v>1</v>
      </c>
      <c r="D184" s="631"/>
      <c r="E184" s="21">
        <f t="shared" si="44"/>
        <v>0.06</v>
      </c>
      <c r="F184" s="631"/>
      <c r="G184" s="21">
        <f t="shared" si="45"/>
        <v>1</v>
      </c>
      <c r="H184" s="631"/>
      <c r="I184" s="21">
        <f t="shared" si="46"/>
        <v>0</v>
      </c>
      <c r="J184" s="631"/>
      <c r="K184" s="21">
        <f t="shared" si="47"/>
        <v>1</v>
      </c>
      <c r="L184" s="631"/>
      <c r="M184" s="21">
        <f t="shared" si="48"/>
        <v>1</v>
      </c>
      <c r="N184" s="631"/>
      <c r="O184" s="21">
        <f t="shared" si="49"/>
        <v>0</v>
      </c>
      <c r="P184" s="631"/>
      <c r="Q184" s="21">
        <f t="shared" si="50"/>
        <v>0</v>
      </c>
      <c r="R184" s="21">
        <f t="shared" si="51"/>
        <v>0</v>
      </c>
      <c r="S184" s="308">
        <f t="shared" si="42"/>
        <v>0</v>
      </c>
    </row>
    <row r="185" spans="1:19">
      <c r="A185" s="142"/>
      <c r="B185" s="52"/>
      <c r="C185" s="21">
        <f t="shared" si="43"/>
        <v>1</v>
      </c>
      <c r="D185" s="631"/>
      <c r="E185" s="21">
        <f t="shared" si="44"/>
        <v>0.06</v>
      </c>
      <c r="F185" s="631"/>
      <c r="G185" s="21">
        <f t="shared" si="45"/>
        <v>1</v>
      </c>
      <c r="H185" s="631"/>
      <c r="I185" s="21">
        <f t="shared" si="46"/>
        <v>0</v>
      </c>
      <c r="J185" s="631"/>
      <c r="K185" s="21">
        <f t="shared" si="47"/>
        <v>1</v>
      </c>
      <c r="L185" s="631"/>
      <c r="M185" s="21">
        <f t="shared" si="48"/>
        <v>1</v>
      </c>
      <c r="N185" s="631"/>
      <c r="O185" s="21">
        <f t="shared" si="49"/>
        <v>0</v>
      </c>
      <c r="P185" s="631"/>
      <c r="Q185" s="21">
        <f t="shared" si="50"/>
        <v>0</v>
      </c>
      <c r="R185" s="21">
        <f t="shared" si="51"/>
        <v>0</v>
      </c>
      <c r="S185" s="308">
        <f t="shared" si="42"/>
        <v>0</v>
      </c>
    </row>
    <row r="186" spans="1:19">
      <c r="A186" s="142"/>
      <c r="B186" s="52"/>
      <c r="C186" s="21">
        <f t="shared" si="43"/>
        <v>1</v>
      </c>
      <c r="D186" s="631"/>
      <c r="E186" s="21">
        <f t="shared" si="44"/>
        <v>0.06</v>
      </c>
      <c r="F186" s="631"/>
      <c r="G186" s="21">
        <f t="shared" si="45"/>
        <v>1</v>
      </c>
      <c r="H186" s="631"/>
      <c r="I186" s="21">
        <f t="shared" si="46"/>
        <v>0</v>
      </c>
      <c r="J186" s="631"/>
      <c r="K186" s="21">
        <f t="shared" si="47"/>
        <v>1</v>
      </c>
      <c r="L186" s="631"/>
      <c r="M186" s="21">
        <f t="shared" si="48"/>
        <v>1</v>
      </c>
      <c r="N186" s="631"/>
      <c r="O186" s="21">
        <f t="shared" si="49"/>
        <v>0</v>
      </c>
      <c r="P186" s="631"/>
      <c r="Q186" s="21">
        <f t="shared" si="50"/>
        <v>0</v>
      </c>
      <c r="R186" s="21">
        <f t="shared" si="51"/>
        <v>0</v>
      </c>
      <c r="S186" s="308">
        <f t="shared" si="42"/>
        <v>0</v>
      </c>
    </row>
    <row r="187" spans="1:19">
      <c r="A187" s="142"/>
      <c r="B187" s="52"/>
      <c r="C187" s="21">
        <f t="shared" si="43"/>
        <v>1</v>
      </c>
      <c r="D187" s="631"/>
      <c r="E187" s="21">
        <f t="shared" si="44"/>
        <v>0.06</v>
      </c>
      <c r="F187" s="631"/>
      <c r="G187" s="21">
        <f t="shared" si="45"/>
        <v>1</v>
      </c>
      <c r="H187" s="631"/>
      <c r="I187" s="21">
        <f t="shared" si="46"/>
        <v>0</v>
      </c>
      <c r="J187" s="631"/>
      <c r="K187" s="21">
        <f t="shared" si="47"/>
        <v>1</v>
      </c>
      <c r="L187" s="631"/>
      <c r="M187" s="21">
        <f t="shared" si="48"/>
        <v>1</v>
      </c>
      <c r="N187" s="631"/>
      <c r="O187" s="21">
        <f t="shared" si="49"/>
        <v>0</v>
      </c>
      <c r="P187" s="631"/>
      <c r="Q187" s="21">
        <f t="shared" si="50"/>
        <v>0</v>
      </c>
      <c r="R187" s="21">
        <f t="shared" si="51"/>
        <v>0</v>
      </c>
      <c r="S187" s="308">
        <f t="shared" si="42"/>
        <v>0</v>
      </c>
    </row>
    <row r="188" spans="1:19">
      <c r="A188" s="142"/>
      <c r="B188" s="52"/>
      <c r="C188" s="21">
        <f t="shared" si="43"/>
        <v>1</v>
      </c>
      <c r="D188" s="631"/>
      <c r="E188" s="21">
        <f t="shared" si="44"/>
        <v>0.06</v>
      </c>
      <c r="F188" s="631"/>
      <c r="G188" s="21">
        <f t="shared" si="45"/>
        <v>1</v>
      </c>
      <c r="H188" s="631"/>
      <c r="I188" s="21">
        <f t="shared" si="46"/>
        <v>0</v>
      </c>
      <c r="J188" s="631"/>
      <c r="K188" s="21">
        <f t="shared" si="47"/>
        <v>1</v>
      </c>
      <c r="L188" s="631"/>
      <c r="M188" s="21">
        <f t="shared" si="48"/>
        <v>1</v>
      </c>
      <c r="N188" s="631"/>
      <c r="O188" s="21">
        <f t="shared" si="49"/>
        <v>0</v>
      </c>
      <c r="P188" s="631"/>
      <c r="Q188" s="21">
        <f t="shared" si="50"/>
        <v>0</v>
      </c>
      <c r="R188" s="21">
        <f t="shared" si="51"/>
        <v>0</v>
      </c>
      <c r="S188" s="308">
        <f t="shared" ref="S188:S223" si="52">ROUND(R188*B188/10000,0)</f>
        <v>0</v>
      </c>
    </row>
    <row r="189" spans="1:19">
      <c r="A189" s="142"/>
      <c r="B189" s="52"/>
      <c r="C189" s="21">
        <f t="shared" si="43"/>
        <v>1</v>
      </c>
      <c r="D189" s="631"/>
      <c r="E189" s="21">
        <f t="shared" si="44"/>
        <v>0.06</v>
      </c>
      <c r="F189" s="631"/>
      <c r="G189" s="21">
        <f t="shared" si="45"/>
        <v>1</v>
      </c>
      <c r="H189" s="631"/>
      <c r="I189" s="21">
        <f t="shared" si="46"/>
        <v>0</v>
      </c>
      <c r="J189" s="631"/>
      <c r="K189" s="21">
        <f t="shared" si="47"/>
        <v>1</v>
      </c>
      <c r="L189" s="631"/>
      <c r="M189" s="21">
        <f t="shared" si="48"/>
        <v>1</v>
      </c>
      <c r="N189" s="631"/>
      <c r="O189" s="21">
        <f t="shared" si="49"/>
        <v>0</v>
      </c>
      <c r="P189" s="631"/>
      <c r="Q189" s="21">
        <f t="shared" si="50"/>
        <v>0</v>
      </c>
      <c r="R189" s="21">
        <f t="shared" si="51"/>
        <v>0</v>
      </c>
      <c r="S189" s="308">
        <f t="shared" si="52"/>
        <v>0</v>
      </c>
    </row>
    <row r="190" spans="1:19">
      <c r="A190" s="142"/>
      <c r="B190" s="52"/>
      <c r="C190" s="21">
        <f t="shared" si="43"/>
        <v>1</v>
      </c>
      <c r="D190" s="631"/>
      <c r="E190" s="21">
        <f t="shared" si="44"/>
        <v>0.06</v>
      </c>
      <c r="F190" s="631"/>
      <c r="G190" s="21">
        <f t="shared" si="45"/>
        <v>1</v>
      </c>
      <c r="H190" s="631"/>
      <c r="I190" s="21">
        <f t="shared" si="46"/>
        <v>0</v>
      </c>
      <c r="J190" s="631"/>
      <c r="K190" s="21">
        <f t="shared" si="47"/>
        <v>1</v>
      </c>
      <c r="L190" s="631"/>
      <c r="M190" s="21">
        <f t="shared" si="48"/>
        <v>1</v>
      </c>
      <c r="N190" s="631"/>
      <c r="O190" s="21">
        <f t="shared" si="49"/>
        <v>0</v>
      </c>
      <c r="P190" s="631"/>
      <c r="Q190" s="21">
        <f t="shared" si="50"/>
        <v>0</v>
      </c>
      <c r="R190" s="21">
        <f t="shared" si="51"/>
        <v>0</v>
      </c>
      <c r="S190" s="308">
        <f t="shared" si="52"/>
        <v>0</v>
      </c>
    </row>
    <row r="191" spans="1:19">
      <c r="A191" s="142"/>
      <c r="B191" s="52"/>
      <c r="C191" s="21">
        <f t="shared" si="43"/>
        <v>1</v>
      </c>
      <c r="D191" s="631"/>
      <c r="E191" s="21">
        <f t="shared" si="44"/>
        <v>0.06</v>
      </c>
      <c r="F191" s="631"/>
      <c r="G191" s="21">
        <f t="shared" si="45"/>
        <v>1</v>
      </c>
      <c r="H191" s="631"/>
      <c r="I191" s="21">
        <f t="shared" si="46"/>
        <v>0</v>
      </c>
      <c r="J191" s="631"/>
      <c r="K191" s="21">
        <f t="shared" si="47"/>
        <v>1</v>
      </c>
      <c r="L191" s="631"/>
      <c r="M191" s="21">
        <f t="shared" si="48"/>
        <v>1</v>
      </c>
      <c r="N191" s="631"/>
      <c r="O191" s="21">
        <f t="shared" si="49"/>
        <v>0</v>
      </c>
      <c r="P191" s="631"/>
      <c r="Q191" s="21">
        <f t="shared" si="50"/>
        <v>0</v>
      </c>
      <c r="R191" s="21">
        <f t="shared" si="51"/>
        <v>0</v>
      </c>
      <c r="S191" s="308">
        <f t="shared" si="52"/>
        <v>0</v>
      </c>
    </row>
    <row r="192" spans="1:19">
      <c r="A192" s="142"/>
      <c r="B192" s="52"/>
      <c r="C192" s="21">
        <f t="shared" si="43"/>
        <v>1</v>
      </c>
      <c r="D192" s="631"/>
      <c r="E192" s="21">
        <f t="shared" si="44"/>
        <v>0.06</v>
      </c>
      <c r="F192" s="631"/>
      <c r="G192" s="21">
        <f t="shared" si="45"/>
        <v>1</v>
      </c>
      <c r="H192" s="631"/>
      <c r="I192" s="21">
        <f t="shared" si="46"/>
        <v>0</v>
      </c>
      <c r="J192" s="631"/>
      <c r="K192" s="21">
        <f t="shared" si="47"/>
        <v>1</v>
      </c>
      <c r="L192" s="631"/>
      <c r="M192" s="21">
        <f t="shared" si="48"/>
        <v>1</v>
      </c>
      <c r="N192" s="631"/>
      <c r="O192" s="21">
        <f t="shared" si="49"/>
        <v>0</v>
      </c>
      <c r="P192" s="631"/>
      <c r="Q192" s="21">
        <f t="shared" si="50"/>
        <v>0</v>
      </c>
      <c r="R192" s="21">
        <f t="shared" si="51"/>
        <v>0</v>
      </c>
      <c r="S192" s="308">
        <f t="shared" si="52"/>
        <v>0</v>
      </c>
    </row>
    <row r="193" spans="1:19">
      <c r="A193" s="142"/>
      <c r="B193" s="52"/>
      <c r="C193" s="21">
        <f t="shared" si="43"/>
        <v>1</v>
      </c>
      <c r="D193" s="631"/>
      <c r="E193" s="21">
        <f t="shared" si="44"/>
        <v>0.06</v>
      </c>
      <c r="F193" s="631"/>
      <c r="G193" s="21">
        <f t="shared" si="45"/>
        <v>1</v>
      </c>
      <c r="H193" s="631"/>
      <c r="I193" s="21">
        <f t="shared" si="46"/>
        <v>0</v>
      </c>
      <c r="J193" s="631"/>
      <c r="K193" s="21">
        <f t="shared" si="47"/>
        <v>1</v>
      </c>
      <c r="L193" s="631"/>
      <c r="M193" s="21">
        <f t="shared" si="48"/>
        <v>1</v>
      </c>
      <c r="N193" s="631"/>
      <c r="O193" s="21">
        <f t="shared" si="49"/>
        <v>0</v>
      </c>
      <c r="P193" s="631"/>
      <c r="Q193" s="21">
        <f t="shared" si="50"/>
        <v>0</v>
      </c>
      <c r="R193" s="21">
        <f t="shared" si="51"/>
        <v>0</v>
      </c>
      <c r="S193" s="308">
        <f t="shared" si="52"/>
        <v>0</v>
      </c>
    </row>
    <row r="194" spans="1:19">
      <c r="A194" s="142"/>
      <c r="B194" s="52"/>
      <c r="C194" s="21">
        <f t="shared" si="43"/>
        <v>1</v>
      </c>
      <c r="D194" s="631"/>
      <c r="E194" s="21">
        <f t="shared" si="44"/>
        <v>0.06</v>
      </c>
      <c r="F194" s="631"/>
      <c r="G194" s="21">
        <f t="shared" si="45"/>
        <v>1</v>
      </c>
      <c r="H194" s="631"/>
      <c r="I194" s="21">
        <f t="shared" si="46"/>
        <v>0</v>
      </c>
      <c r="J194" s="631"/>
      <c r="K194" s="21">
        <f t="shared" si="47"/>
        <v>1</v>
      </c>
      <c r="L194" s="631"/>
      <c r="M194" s="21">
        <f t="shared" si="48"/>
        <v>1</v>
      </c>
      <c r="N194" s="631"/>
      <c r="O194" s="21">
        <f t="shared" si="49"/>
        <v>0</v>
      </c>
      <c r="P194" s="631"/>
      <c r="Q194" s="21">
        <f t="shared" si="50"/>
        <v>0</v>
      </c>
      <c r="R194" s="21">
        <f t="shared" si="51"/>
        <v>0</v>
      </c>
      <c r="S194" s="308">
        <f t="shared" si="52"/>
        <v>0</v>
      </c>
    </row>
    <row r="195" spans="1:19">
      <c r="A195" s="142"/>
      <c r="B195" s="52"/>
      <c r="C195" s="21">
        <f t="shared" si="43"/>
        <v>1</v>
      </c>
      <c r="D195" s="631"/>
      <c r="E195" s="21">
        <f t="shared" si="44"/>
        <v>0.06</v>
      </c>
      <c r="F195" s="631"/>
      <c r="G195" s="21">
        <f t="shared" si="45"/>
        <v>1</v>
      </c>
      <c r="H195" s="631"/>
      <c r="I195" s="21">
        <f t="shared" si="46"/>
        <v>0</v>
      </c>
      <c r="J195" s="631"/>
      <c r="K195" s="21">
        <f t="shared" si="47"/>
        <v>1</v>
      </c>
      <c r="L195" s="631"/>
      <c r="M195" s="21">
        <f t="shared" si="48"/>
        <v>1</v>
      </c>
      <c r="N195" s="631"/>
      <c r="O195" s="21">
        <f t="shared" si="49"/>
        <v>0</v>
      </c>
      <c r="P195" s="631"/>
      <c r="Q195" s="21">
        <f t="shared" si="50"/>
        <v>0</v>
      </c>
      <c r="R195" s="21">
        <f t="shared" si="51"/>
        <v>0</v>
      </c>
      <c r="S195" s="308">
        <f t="shared" si="52"/>
        <v>0</v>
      </c>
    </row>
    <row r="196" spans="1:19">
      <c r="A196" s="142"/>
      <c r="B196" s="52"/>
      <c r="C196" s="21">
        <f t="shared" si="43"/>
        <v>1</v>
      </c>
      <c r="D196" s="631"/>
      <c r="E196" s="21">
        <f t="shared" si="44"/>
        <v>0.06</v>
      </c>
      <c r="F196" s="631"/>
      <c r="G196" s="21">
        <f t="shared" si="45"/>
        <v>1</v>
      </c>
      <c r="H196" s="631"/>
      <c r="I196" s="21">
        <f t="shared" si="46"/>
        <v>0</v>
      </c>
      <c r="J196" s="631"/>
      <c r="K196" s="21">
        <f t="shared" si="47"/>
        <v>1</v>
      </c>
      <c r="L196" s="631"/>
      <c r="M196" s="21">
        <f t="shared" si="48"/>
        <v>1</v>
      </c>
      <c r="N196" s="631"/>
      <c r="O196" s="21">
        <f t="shared" si="49"/>
        <v>0</v>
      </c>
      <c r="P196" s="631"/>
      <c r="Q196" s="21">
        <f t="shared" si="50"/>
        <v>0</v>
      </c>
      <c r="R196" s="21">
        <f t="shared" si="51"/>
        <v>0</v>
      </c>
      <c r="S196" s="308">
        <f t="shared" si="52"/>
        <v>0</v>
      </c>
    </row>
    <row r="197" spans="1:19">
      <c r="A197" s="142"/>
      <c r="B197" s="52"/>
      <c r="C197" s="21">
        <f t="shared" si="43"/>
        <v>1</v>
      </c>
      <c r="D197" s="631"/>
      <c r="E197" s="21">
        <f t="shared" si="44"/>
        <v>0.06</v>
      </c>
      <c r="F197" s="631"/>
      <c r="G197" s="21">
        <f t="shared" si="45"/>
        <v>1</v>
      </c>
      <c r="H197" s="631"/>
      <c r="I197" s="21">
        <f t="shared" si="46"/>
        <v>0</v>
      </c>
      <c r="J197" s="631"/>
      <c r="K197" s="21">
        <f t="shared" si="47"/>
        <v>1</v>
      </c>
      <c r="L197" s="631"/>
      <c r="M197" s="21">
        <f t="shared" si="48"/>
        <v>1</v>
      </c>
      <c r="N197" s="631"/>
      <c r="O197" s="21">
        <f t="shared" si="49"/>
        <v>0</v>
      </c>
      <c r="P197" s="631"/>
      <c r="Q197" s="21">
        <f t="shared" si="50"/>
        <v>0</v>
      </c>
      <c r="R197" s="21">
        <f t="shared" si="51"/>
        <v>0</v>
      </c>
      <c r="S197" s="308">
        <f t="shared" si="52"/>
        <v>0</v>
      </c>
    </row>
    <row r="198" spans="1:19">
      <c r="A198" s="142"/>
      <c r="B198" s="52"/>
      <c r="C198" s="21">
        <f t="shared" si="43"/>
        <v>1</v>
      </c>
      <c r="D198" s="631"/>
      <c r="E198" s="21">
        <f t="shared" si="44"/>
        <v>0.06</v>
      </c>
      <c r="F198" s="631"/>
      <c r="G198" s="21">
        <f t="shared" si="45"/>
        <v>1</v>
      </c>
      <c r="H198" s="631"/>
      <c r="I198" s="21">
        <f t="shared" si="46"/>
        <v>0</v>
      </c>
      <c r="J198" s="631"/>
      <c r="K198" s="21">
        <f t="shared" si="47"/>
        <v>1</v>
      </c>
      <c r="L198" s="631"/>
      <c r="M198" s="21">
        <f t="shared" si="48"/>
        <v>1</v>
      </c>
      <c r="N198" s="631"/>
      <c r="O198" s="21">
        <f t="shared" si="49"/>
        <v>0</v>
      </c>
      <c r="P198" s="631"/>
      <c r="Q198" s="21">
        <f t="shared" si="50"/>
        <v>0</v>
      </c>
      <c r="R198" s="21">
        <f t="shared" si="51"/>
        <v>0</v>
      </c>
      <c r="S198" s="308">
        <f t="shared" si="52"/>
        <v>0</v>
      </c>
    </row>
    <row r="199" spans="1:19">
      <c r="A199" s="142"/>
      <c r="B199" s="52"/>
      <c r="C199" s="21">
        <f t="shared" si="43"/>
        <v>1</v>
      </c>
      <c r="D199" s="631"/>
      <c r="E199" s="21">
        <f t="shared" si="44"/>
        <v>0.06</v>
      </c>
      <c r="F199" s="631"/>
      <c r="G199" s="21">
        <f t="shared" si="45"/>
        <v>1</v>
      </c>
      <c r="H199" s="631"/>
      <c r="I199" s="21">
        <f t="shared" si="46"/>
        <v>0</v>
      </c>
      <c r="J199" s="631"/>
      <c r="K199" s="21">
        <f t="shared" si="47"/>
        <v>1</v>
      </c>
      <c r="L199" s="631"/>
      <c r="M199" s="21">
        <f t="shared" si="48"/>
        <v>1</v>
      </c>
      <c r="N199" s="631"/>
      <c r="O199" s="21">
        <f t="shared" si="49"/>
        <v>0</v>
      </c>
      <c r="P199" s="631"/>
      <c r="Q199" s="21">
        <f t="shared" si="50"/>
        <v>0</v>
      </c>
      <c r="R199" s="21">
        <f t="shared" si="51"/>
        <v>0</v>
      </c>
      <c r="S199" s="308">
        <f t="shared" si="52"/>
        <v>0</v>
      </c>
    </row>
    <row r="200" spans="1:19">
      <c r="A200" s="142"/>
      <c r="B200" s="52"/>
      <c r="C200" s="21">
        <f t="shared" si="43"/>
        <v>1</v>
      </c>
      <c r="D200" s="631"/>
      <c r="E200" s="21">
        <f t="shared" si="44"/>
        <v>0.06</v>
      </c>
      <c r="F200" s="631"/>
      <c r="G200" s="21">
        <f t="shared" si="45"/>
        <v>1</v>
      </c>
      <c r="H200" s="631"/>
      <c r="I200" s="21">
        <f t="shared" si="46"/>
        <v>0</v>
      </c>
      <c r="J200" s="631"/>
      <c r="K200" s="21">
        <f t="shared" si="47"/>
        <v>1</v>
      </c>
      <c r="L200" s="631"/>
      <c r="M200" s="21">
        <f t="shared" si="48"/>
        <v>1</v>
      </c>
      <c r="N200" s="631"/>
      <c r="O200" s="21">
        <f t="shared" si="49"/>
        <v>0</v>
      </c>
      <c r="P200" s="631"/>
      <c r="Q200" s="21">
        <f t="shared" si="50"/>
        <v>0</v>
      </c>
      <c r="R200" s="21">
        <f t="shared" si="51"/>
        <v>0</v>
      </c>
      <c r="S200" s="308">
        <f t="shared" si="52"/>
        <v>0</v>
      </c>
    </row>
    <row r="201" spans="1:19">
      <c r="A201" s="142"/>
      <c r="B201" s="52"/>
      <c r="C201" s="21">
        <f t="shared" si="43"/>
        <v>1</v>
      </c>
      <c r="D201" s="631"/>
      <c r="E201" s="21">
        <f t="shared" si="44"/>
        <v>0.06</v>
      </c>
      <c r="F201" s="631"/>
      <c r="G201" s="21">
        <f t="shared" si="45"/>
        <v>1</v>
      </c>
      <c r="H201" s="631"/>
      <c r="I201" s="21">
        <f t="shared" si="46"/>
        <v>0</v>
      </c>
      <c r="J201" s="631"/>
      <c r="K201" s="21">
        <f t="shared" si="47"/>
        <v>1</v>
      </c>
      <c r="L201" s="631"/>
      <c r="M201" s="21">
        <f t="shared" si="48"/>
        <v>1</v>
      </c>
      <c r="N201" s="631"/>
      <c r="O201" s="21">
        <f t="shared" si="49"/>
        <v>0</v>
      </c>
      <c r="P201" s="631"/>
      <c r="Q201" s="21">
        <f t="shared" si="50"/>
        <v>0</v>
      </c>
      <c r="R201" s="21">
        <f t="shared" si="51"/>
        <v>0</v>
      </c>
      <c r="S201" s="308">
        <f t="shared" si="52"/>
        <v>0</v>
      </c>
    </row>
    <row r="202" spans="1:19">
      <c r="A202" s="142"/>
      <c r="B202" s="52"/>
      <c r="C202" s="21">
        <f t="shared" si="43"/>
        <v>1</v>
      </c>
      <c r="D202" s="631"/>
      <c r="E202" s="21">
        <f t="shared" si="44"/>
        <v>0.06</v>
      </c>
      <c r="F202" s="631"/>
      <c r="G202" s="21">
        <f t="shared" si="45"/>
        <v>1</v>
      </c>
      <c r="H202" s="631"/>
      <c r="I202" s="21">
        <f t="shared" si="46"/>
        <v>0</v>
      </c>
      <c r="J202" s="631"/>
      <c r="K202" s="21">
        <f t="shared" si="47"/>
        <v>1</v>
      </c>
      <c r="L202" s="631"/>
      <c r="M202" s="21">
        <f t="shared" si="48"/>
        <v>1</v>
      </c>
      <c r="N202" s="631"/>
      <c r="O202" s="21">
        <f t="shared" si="49"/>
        <v>0</v>
      </c>
      <c r="P202" s="631"/>
      <c r="Q202" s="21">
        <f t="shared" si="50"/>
        <v>0</v>
      </c>
      <c r="R202" s="21">
        <f t="shared" si="51"/>
        <v>0</v>
      </c>
      <c r="S202" s="308">
        <f t="shared" si="52"/>
        <v>0</v>
      </c>
    </row>
    <row r="203" spans="1:19">
      <c r="A203" s="142"/>
      <c r="B203" s="52"/>
      <c r="C203" s="21">
        <f t="shared" si="43"/>
        <v>1</v>
      </c>
      <c r="D203" s="631"/>
      <c r="E203" s="21">
        <f t="shared" si="44"/>
        <v>0.06</v>
      </c>
      <c r="F203" s="631"/>
      <c r="G203" s="21">
        <f t="shared" si="45"/>
        <v>1</v>
      </c>
      <c r="H203" s="631"/>
      <c r="I203" s="21">
        <f t="shared" si="46"/>
        <v>0</v>
      </c>
      <c r="J203" s="631"/>
      <c r="K203" s="21">
        <f t="shared" si="47"/>
        <v>1</v>
      </c>
      <c r="L203" s="631"/>
      <c r="M203" s="21">
        <f t="shared" si="48"/>
        <v>1</v>
      </c>
      <c r="N203" s="631"/>
      <c r="O203" s="21">
        <f t="shared" si="49"/>
        <v>0</v>
      </c>
      <c r="P203" s="631"/>
      <c r="Q203" s="21">
        <f t="shared" si="50"/>
        <v>0</v>
      </c>
      <c r="R203" s="21">
        <f t="shared" si="51"/>
        <v>0</v>
      </c>
      <c r="S203" s="308">
        <f t="shared" si="52"/>
        <v>0</v>
      </c>
    </row>
    <row r="204" spans="1:19">
      <c r="A204" s="142"/>
      <c r="B204" s="52"/>
      <c r="C204" s="21">
        <f t="shared" si="43"/>
        <v>1</v>
      </c>
      <c r="D204" s="631"/>
      <c r="E204" s="21">
        <f t="shared" si="44"/>
        <v>0.06</v>
      </c>
      <c r="F204" s="631"/>
      <c r="G204" s="21">
        <f t="shared" si="45"/>
        <v>1</v>
      </c>
      <c r="H204" s="631"/>
      <c r="I204" s="21">
        <f t="shared" si="46"/>
        <v>0</v>
      </c>
      <c r="J204" s="631"/>
      <c r="K204" s="21">
        <f t="shared" si="47"/>
        <v>1</v>
      </c>
      <c r="L204" s="631"/>
      <c r="M204" s="21">
        <f t="shared" si="48"/>
        <v>1</v>
      </c>
      <c r="N204" s="631"/>
      <c r="O204" s="21">
        <f t="shared" si="49"/>
        <v>0</v>
      </c>
      <c r="P204" s="631"/>
      <c r="Q204" s="21">
        <f t="shared" si="50"/>
        <v>0</v>
      </c>
      <c r="R204" s="21">
        <f t="shared" si="51"/>
        <v>0</v>
      </c>
      <c r="S204" s="308">
        <f t="shared" si="52"/>
        <v>0</v>
      </c>
    </row>
    <row r="205" spans="1:19">
      <c r="A205" s="142"/>
      <c r="B205" s="52"/>
      <c r="C205" s="21">
        <f t="shared" si="43"/>
        <v>1</v>
      </c>
      <c r="D205" s="631"/>
      <c r="E205" s="21">
        <f t="shared" si="44"/>
        <v>0.06</v>
      </c>
      <c r="F205" s="631"/>
      <c r="G205" s="21">
        <f t="shared" si="45"/>
        <v>1</v>
      </c>
      <c r="H205" s="631"/>
      <c r="I205" s="21">
        <f t="shared" si="46"/>
        <v>0</v>
      </c>
      <c r="J205" s="631"/>
      <c r="K205" s="21">
        <f t="shared" si="47"/>
        <v>1</v>
      </c>
      <c r="L205" s="631"/>
      <c r="M205" s="21">
        <f t="shared" si="48"/>
        <v>1</v>
      </c>
      <c r="N205" s="631"/>
      <c r="O205" s="21">
        <f t="shared" si="49"/>
        <v>0</v>
      </c>
      <c r="P205" s="631"/>
      <c r="Q205" s="21">
        <f t="shared" si="50"/>
        <v>0</v>
      </c>
      <c r="R205" s="21">
        <f t="shared" si="51"/>
        <v>0</v>
      </c>
      <c r="S205" s="308">
        <f t="shared" si="52"/>
        <v>0</v>
      </c>
    </row>
    <row r="206" spans="1:19">
      <c r="A206" s="142"/>
      <c r="B206" s="52"/>
      <c r="C206" s="21">
        <f t="shared" si="43"/>
        <v>1</v>
      </c>
      <c r="D206" s="631"/>
      <c r="E206" s="21">
        <f t="shared" si="44"/>
        <v>0.06</v>
      </c>
      <c r="F206" s="631"/>
      <c r="G206" s="21">
        <f t="shared" si="45"/>
        <v>1</v>
      </c>
      <c r="H206" s="631"/>
      <c r="I206" s="21">
        <f t="shared" si="46"/>
        <v>0</v>
      </c>
      <c r="J206" s="631"/>
      <c r="K206" s="21">
        <f t="shared" si="47"/>
        <v>1</v>
      </c>
      <c r="L206" s="631"/>
      <c r="M206" s="21">
        <f t="shared" si="48"/>
        <v>1</v>
      </c>
      <c r="N206" s="631"/>
      <c r="O206" s="21">
        <f t="shared" si="49"/>
        <v>0</v>
      </c>
      <c r="P206" s="631"/>
      <c r="Q206" s="21">
        <f t="shared" si="50"/>
        <v>0</v>
      </c>
      <c r="R206" s="21">
        <f t="shared" si="51"/>
        <v>0</v>
      </c>
      <c r="S206" s="308">
        <f t="shared" si="52"/>
        <v>0</v>
      </c>
    </row>
    <row r="207" spans="1:19">
      <c r="A207" s="142"/>
      <c r="B207" s="52"/>
      <c r="C207" s="21">
        <f t="shared" si="43"/>
        <v>1</v>
      </c>
      <c r="D207" s="631"/>
      <c r="E207" s="21">
        <f t="shared" si="44"/>
        <v>0.06</v>
      </c>
      <c r="F207" s="631"/>
      <c r="G207" s="21">
        <f t="shared" si="45"/>
        <v>1</v>
      </c>
      <c r="H207" s="631"/>
      <c r="I207" s="21">
        <f t="shared" si="46"/>
        <v>0</v>
      </c>
      <c r="J207" s="631"/>
      <c r="K207" s="21">
        <f t="shared" si="47"/>
        <v>1</v>
      </c>
      <c r="L207" s="631"/>
      <c r="M207" s="21">
        <f t="shared" si="48"/>
        <v>1</v>
      </c>
      <c r="N207" s="631"/>
      <c r="O207" s="21">
        <f t="shared" si="49"/>
        <v>0</v>
      </c>
      <c r="P207" s="631"/>
      <c r="Q207" s="21">
        <f t="shared" si="50"/>
        <v>0</v>
      </c>
      <c r="R207" s="21">
        <f t="shared" si="51"/>
        <v>0</v>
      </c>
      <c r="S207" s="308">
        <f t="shared" si="52"/>
        <v>0</v>
      </c>
    </row>
    <row r="208" spans="1:19">
      <c r="A208" s="142"/>
      <c r="B208" s="52"/>
      <c r="C208" s="21">
        <f t="shared" si="43"/>
        <v>1</v>
      </c>
      <c r="D208" s="631"/>
      <c r="E208" s="21">
        <f t="shared" si="44"/>
        <v>0.06</v>
      </c>
      <c r="F208" s="631"/>
      <c r="G208" s="21">
        <f t="shared" si="45"/>
        <v>1</v>
      </c>
      <c r="H208" s="631"/>
      <c r="I208" s="21">
        <f t="shared" si="46"/>
        <v>0</v>
      </c>
      <c r="J208" s="631"/>
      <c r="K208" s="21">
        <f t="shared" si="47"/>
        <v>1</v>
      </c>
      <c r="L208" s="631"/>
      <c r="M208" s="21">
        <f t="shared" si="48"/>
        <v>1</v>
      </c>
      <c r="N208" s="631"/>
      <c r="O208" s="21">
        <f t="shared" si="49"/>
        <v>0</v>
      </c>
      <c r="P208" s="631"/>
      <c r="Q208" s="21">
        <f t="shared" si="50"/>
        <v>0</v>
      </c>
      <c r="R208" s="21">
        <f t="shared" si="51"/>
        <v>0</v>
      </c>
      <c r="S208" s="308">
        <f t="shared" si="52"/>
        <v>0</v>
      </c>
    </row>
    <row r="209" spans="1:19">
      <c r="A209" s="142"/>
      <c r="B209" s="52"/>
      <c r="C209" s="21">
        <f t="shared" si="43"/>
        <v>1</v>
      </c>
      <c r="D209" s="631"/>
      <c r="E209" s="21">
        <f t="shared" si="44"/>
        <v>0.06</v>
      </c>
      <c r="F209" s="631"/>
      <c r="G209" s="21">
        <f t="shared" si="45"/>
        <v>1</v>
      </c>
      <c r="H209" s="631"/>
      <c r="I209" s="21">
        <f t="shared" si="46"/>
        <v>0</v>
      </c>
      <c r="J209" s="631"/>
      <c r="K209" s="21">
        <f t="shared" si="47"/>
        <v>1</v>
      </c>
      <c r="L209" s="631"/>
      <c r="M209" s="21">
        <f t="shared" si="48"/>
        <v>1</v>
      </c>
      <c r="N209" s="631"/>
      <c r="O209" s="21">
        <f t="shared" si="49"/>
        <v>0</v>
      </c>
      <c r="P209" s="631"/>
      <c r="Q209" s="21">
        <f t="shared" si="50"/>
        <v>0</v>
      </c>
      <c r="R209" s="21">
        <f t="shared" si="51"/>
        <v>0</v>
      </c>
      <c r="S209" s="308">
        <f t="shared" si="52"/>
        <v>0</v>
      </c>
    </row>
    <row r="210" spans="1:19">
      <c r="A210" s="142"/>
      <c r="B210" s="52"/>
      <c r="C210" s="21">
        <f t="shared" si="43"/>
        <v>1</v>
      </c>
      <c r="D210" s="631"/>
      <c r="E210" s="21">
        <f t="shared" si="44"/>
        <v>0.06</v>
      </c>
      <c r="F210" s="631"/>
      <c r="G210" s="21">
        <f t="shared" si="45"/>
        <v>1</v>
      </c>
      <c r="H210" s="631"/>
      <c r="I210" s="21">
        <f t="shared" si="46"/>
        <v>0</v>
      </c>
      <c r="J210" s="631"/>
      <c r="K210" s="21">
        <f t="shared" si="47"/>
        <v>1</v>
      </c>
      <c r="L210" s="631"/>
      <c r="M210" s="21">
        <f t="shared" si="48"/>
        <v>1</v>
      </c>
      <c r="N210" s="631"/>
      <c r="O210" s="21">
        <f t="shared" si="49"/>
        <v>0</v>
      </c>
      <c r="P210" s="631"/>
      <c r="Q210" s="21">
        <f t="shared" si="50"/>
        <v>0</v>
      </c>
      <c r="R210" s="21">
        <f t="shared" si="51"/>
        <v>0</v>
      </c>
      <c r="S210" s="308">
        <f t="shared" si="52"/>
        <v>0</v>
      </c>
    </row>
    <row r="211" spans="1:19">
      <c r="A211" s="142"/>
      <c r="B211" s="52"/>
      <c r="C211" s="21">
        <f t="shared" si="43"/>
        <v>1</v>
      </c>
      <c r="D211" s="631"/>
      <c r="E211" s="21">
        <f t="shared" si="44"/>
        <v>0.06</v>
      </c>
      <c r="F211" s="631"/>
      <c r="G211" s="21">
        <f t="shared" si="45"/>
        <v>1</v>
      </c>
      <c r="H211" s="631"/>
      <c r="I211" s="21">
        <f t="shared" si="46"/>
        <v>0</v>
      </c>
      <c r="J211" s="631"/>
      <c r="K211" s="21">
        <f t="shared" si="47"/>
        <v>1</v>
      </c>
      <c r="L211" s="631"/>
      <c r="M211" s="21">
        <f t="shared" si="48"/>
        <v>1</v>
      </c>
      <c r="N211" s="631"/>
      <c r="O211" s="21">
        <f t="shared" si="49"/>
        <v>0</v>
      </c>
      <c r="P211" s="631"/>
      <c r="Q211" s="21">
        <f t="shared" si="50"/>
        <v>0</v>
      </c>
      <c r="R211" s="21">
        <f t="shared" si="51"/>
        <v>0</v>
      </c>
      <c r="S211" s="308">
        <f t="shared" si="52"/>
        <v>0</v>
      </c>
    </row>
    <row r="212" spans="1:19">
      <c r="A212" s="142"/>
      <c r="B212" s="52"/>
      <c r="C212" s="21">
        <f t="shared" si="43"/>
        <v>1</v>
      </c>
      <c r="D212" s="631"/>
      <c r="E212" s="21">
        <f t="shared" si="44"/>
        <v>0.06</v>
      </c>
      <c r="F212" s="631"/>
      <c r="G212" s="21">
        <f t="shared" si="45"/>
        <v>1</v>
      </c>
      <c r="H212" s="631"/>
      <c r="I212" s="21">
        <f t="shared" si="46"/>
        <v>0</v>
      </c>
      <c r="J212" s="631"/>
      <c r="K212" s="21">
        <f t="shared" si="47"/>
        <v>1</v>
      </c>
      <c r="L212" s="631"/>
      <c r="M212" s="21">
        <f t="shared" si="48"/>
        <v>1</v>
      </c>
      <c r="N212" s="631"/>
      <c r="O212" s="21">
        <f t="shared" si="49"/>
        <v>0</v>
      </c>
      <c r="P212" s="631"/>
      <c r="Q212" s="21">
        <f t="shared" si="50"/>
        <v>0</v>
      </c>
      <c r="R212" s="21">
        <f t="shared" si="51"/>
        <v>0</v>
      </c>
      <c r="S212" s="308">
        <f t="shared" si="52"/>
        <v>0</v>
      </c>
    </row>
    <row r="213" spans="1:19">
      <c r="A213" s="142"/>
      <c r="B213" s="52"/>
      <c r="C213" s="21">
        <f t="shared" si="43"/>
        <v>1</v>
      </c>
      <c r="D213" s="631"/>
      <c r="E213" s="21">
        <f t="shared" si="44"/>
        <v>0.06</v>
      </c>
      <c r="F213" s="631"/>
      <c r="G213" s="21">
        <f t="shared" si="45"/>
        <v>1</v>
      </c>
      <c r="H213" s="631"/>
      <c r="I213" s="21">
        <f t="shared" si="46"/>
        <v>0</v>
      </c>
      <c r="J213" s="631"/>
      <c r="K213" s="21">
        <f t="shared" si="47"/>
        <v>1</v>
      </c>
      <c r="L213" s="631"/>
      <c r="M213" s="21">
        <f t="shared" si="48"/>
        <v>1</v>
      </c>
      <c r="N213" s="631"/>
      <c r="O213" s="21">
        <f t="shared" si="49"/>
        <v>0</v>
      </c>
      <c r="P213" s="631"/>
      <c r="Q213" s="21">
        <f t="shared" si="50"/>
        <v>0</v>
      </c>
      <c r="R213" s="21">
        <f t="shared" si="51"/>
        <v>0</v>
      </c>
      <c r="S213" s="308">
        <f t="shared" si="52"/>
        <v>0</v>
      </c>
    </row>
    <row r="214" spans="1:19">
      <c r="A214" s="142"/>
      <c r="B214" s="52"/>
      <c r="C214" s="21">
        <f t="shared" si="43"/>
        <v>1</v>
      </c>
      <c r="D214" s="631"/>
      <c r="E214" s="21">
        <f t="shared" si="44"/>
        <v>0.06</v>
      </c>
      <c r="F214" s="631"/>
      <c r="G214" s="21">
        <f t="shared" si="45"/>
        <v>1</v>
      </c>
      <c r="H214" s="631"/>
      <c r="I214" s="21">
        <f t="shared" si="46"/>
        <v>0</v>
      </c>
      <c r="J214" s="631"/>
      <c r="K214" s="21">
        <f t="shared" si="47"/>
        <v>1</v>
      </c>
      <c r="L214" s="631"/>
      <c r="M214" s="21">
        <f t="shared" si="48"/>
        <v>1</v>
      </c>
      <c r="N214" s="631"/>
      <c r="O214" s="21">
        <f t="shared" si="49"/>
        <v>0</v>
      </c>
      <c r="P214" s="631"/>
      <c r="Q214" s="21">
        <f t="shared" si="50"/>
        <v>0</v>
      </c>
      <c r="R214" s="21">
        <f t="shared" si="51"/>
        <v>0</v>
      </c>
      <c r="S214" s="308">
        <f t="shared" si="52"/>
        <v>0</v>
      </c>
    </row>
    <row r="215" spans="1:19">
      <c r="A215" s="142"/>
      <c r="B215" s="52"/>
      <c r="C215" s="21">
        <f t="shared" si="43"/>
        <v>1</v>
      </c>
      <c r="D215" s="631"/>
      <c r="E215" s="21">
        <f t="shared" si="44"/>
        <v>0.06</v>
      </c>
      <c r="F215" s="631"/>
      <c r="G215" s="21">
        <f t="shared" si="45"/>
        <v>1</v>
      </c>
      <c r="H215" s="631"/>
      <c r="I215" s="21">
        <f t="shared" si="46"/>
        <v>0</v>
      </c>
      <c r="J215" s="631"/>
      <c r="K215" s="21">
        <f t="shared" si="47"/>
        <v>1</v>
      </c>
      <c r="L215" s="631"/>
      <c r="M215" s="21">
        <f t="shared" si="48"/>
        <v>1</v>
      </c>
      <c r="N215" s="631"/>
      <c r="O215" s="21">
        <f t="shared" si="49"/>
        <v>0</v>
      </c>
      <c r="P215" s="631"/>
      <c r="Q215" s="21">
        <f t="shared" si="50"/>
        <v>0</v>
      </c>
      <c r="R215" s="21">
        <f t="shared" si="51"/>
        <v>0</v>
      </c>
      <c r="S215" s="308">
        <f t="shared" si="52"/>
        <v>0</v>
      </c>
    </row>
    <row r="216" spans="1:19">
      <c r="A216" s="142"/>
      <c r="B216" s="52"/>
      <c r="C216" s="21">
        <f t="shared" si="43"/>
        <v>1</v>
      </c>
      <c r="D216" s="631"/>
      <c r="E216" s="21">
        <f t="shared" si="44"/>
        <v>0.06</v>
      </c>
      <c r="F216" s="631"/>
      <c r="G216" s="21">
        <f t="shared" si="45"/>
        <v>1</v>
      </c>
      <c r="H216" s="631"/>
      <c r="I216" s="21">
        <f t="shared" si="46"/>
        <v>0</v>
      </c>
      <c r="J216" s="631"/>
      <c r="K216" s="21">
        <f t="shared" si="47"/>
        <v>1</v>
      </c>
      <c r="L216" s="631"/>
      <c r="M216" s="21">
        <f t="shared" si="48"/>
        <v>1</v>
      </c>
      <c r="N216" s="631"/>
      <c r="O216" s="21">
        <f t="shared" si="49"/>
        <v>0</v>
      </c>
      <c r="P216" s="631"/>
      <c r="Q216" s="21">
        <f t="shared" si="50"/>
        <v>0</v>
      </c>
      <c r="R216" s="21">
        <f t="shared" si="51"/>
        <v>0</v>
      </c>
      <c r="S216" s="308">
        <f t="shared" si="52"/>
        <v>0</v>
      </c>
    </row>
    <row r="217" spans="1:19">
      <c r="A217" s="142"/>
      <c r="B217" s="52"/>
      <c r="C217" s="21">
        <f t="shared" si="43"/>
        <v>1</v>
      </c>
      <c r="D217" s="631"/>
      <c r="E217" s="21">
        <f t="shared" si="44"/>
        <v>0.06</v>
      </c>
      <c r="F217" s="631"/>
      <c r="G217" s="21">
        <f t="shared" si="45"/>
        <v>1</v>
      </c>
      <c r="H217" s="631"/>
      <c r="I217" s="21">
        <f t="shared" si="46"/>
        <v>0</v>
      </c>
      <c r="J217" s="631"/>
      <c r="K217" s="21">
        <f t="shared" si="47"/>
        <v>1</v>
      </c>
      <c r="L217" s="631"/>
      <c r="M217" s="21">
        <f t="shared" si="48"/>
        <v>1</v>
      </c>
      <c r="N217" s="631"/>
      <c r="O217" s="21">
        <f t="shared" si="49"/>
        <v>0</v>
      </c>
      <c r="P217" s="631"/>
      <c r="Q217" s="21">
        <f t="shared" si="50"/>
        <v>0</v>
      </c>
      <c r="R217" s="21">
        <f t="shared" si="51"/>
        <v>0</v>
      </c>
      <c r="S217" s="308">
        <f t="shared" si="52"/>
        <v>0</v>
      </c>
    </row>
    <row r="218" spans="1:19">
      <c r="A218" s="142"/>
      <c r="B218" s="52"/>
      <c r="C218" s="21">
        <f t="shared" si="43"/>
        <v>1</v>
      </c>
      <c r="D218" s="631"/>
      <c r="E218" s="21">
        <f t="shared" si="44"/>
        <v>0.06</v>
      </c>
      <c r="F218" s="631"/>
      <c r="G218" s="21">
        <f t="shared" si="45"/>
        <v>1</v>
      </c>
      <c r="H218" s="631"/>
      <c r="I218" s="21">
        <f t="shared" si="46"/>
        <v>0</v>
      </c>
      <c r="J218" s="631"/>
      <c r="K218" s="21">
        <f t="shared" si="47"/>
        <v>1</v>
      </c>
      <c r="L218" s="631"/>
      <c r="M218" s="21">
        <f t="shared" si="48"/>
        <v>1</v>
      </c>
      <c r="N218" s="631"/>
      <c r="O218" s="21">
        <f t="shared" si="49"/>
        <v>0</v>
      </c>
      <c r="P218" s="631"/>
      <c r="Q218" s="21">
        <f t="shared" si="50"/>
        <v>0</v>
      </c>
      <c r="R218" s="21">
        <f t="shared" si="51"/>
        <v>0</v>
      </c>
      <c r="S218" s="308">
        <f t="shared" si="52"/>
        <v>0</v>
      </c>
    </row>
    <row r="219" spans="1:19">
      <c r="A219" s="142"/>
      <c r="B219" s="52"/>
      <c r="C219" s="21">
        <f t="shared" ref="C219:C282" si="53">IF(B219="",1,(LOOKUP(B219,$3:$3,$4:$4)-LOOKUP($B$24,$3:$3,$4:$4)+100)/100)</f>
        <v>1</v>
      </c>
      <c r="D219" s="631"/>
      <c r="E219" s="21">
        <f t="shared" ref="E219:E282" si="54">(SUMIF($5:$5,D219,$6:$6)-SUMIF($5:$5,$D$24,$6:$6)+100)/100</f>
        <v>0.06</v>
      </c>
      <c r="F219" s="631"/>
      <c r="G219" s="21">
        <f t="shared" ref="G219:G282" si="55">(SUMIF($7:$7,F219,$8:$8)-SUMIF($7:$7,$F$24,$8:$8)+100)/100</f>
        <v>1</v>
      </c>
      <c r="H219" s="631"/>
      <c r="I219" s="21">
        <f t="shared" ref="I219:I282" si="56">(SUMIF($9:$9,H219,$10:$10)-SUMIF($9:$9,$H$24,$10:$10)+100)/100</f>
        <v>0</v>
      </c>
      <c r="J219" s="631"/>
      <c r="K219" s="21">
        <f t="shared" ref="K219:K282" si="57">(SUMIF($11:$11,J219,$12:$12)-SUMIF($11:$11,$J$24,$12:$12)+100)/100</f>
        <v>1</v>
      </c>
      <c r="L219" s="631"/>
      <c r="M219" s="21">
        <f t="shared" ref="M219:M282" si="58">(SUMIF($13:$13,L219,$14:$14)-SUMIF($13:$13,$L$24,$14:$14)+100)/100</f>
        <v>1</v>
      </c>
      <c r="N219" s="631"/>
      <c r="O219" s="21">
        <f t="shared" ref="O219:O282" si="59">(SUMIF($15:$15,N219,$16:$16)-SUMIF($15:$15,$N$24,$16:$16)+100)/100</f>
        <v>0</v>
      </c>
      <c r="P219" s="631"/>
      <c r="Q219" s="21">
        <f t="shared" ref="Q219:Q282" si="60">(SUMIF($17:$17,P219,$18:$18)-SUMIF($17:$17,$P$24,$18:$18)+100)/100</f>
        <v>0</v>
      </c>
      <c r="R219" s="21">
        <f t="shared" ref="R219:R282" si="61">IF(B219="",0,ROUND($R$24*C219*E219*G219*I219*K219*M219*O219*Q219,0))</f>
        <v>0</v>
      </c>
      <c r="S219" s="308">
        <f t="shared" si="52"/>
        <v>0</v>
      </c>
    </row>
    <row r="220" spans="1:19">
      <c r="A220" s="142"/>
      <c r="B220" s="52"/>
      <c r="C220" s="21">
        <f t="shared" si="53"/>
        <v>1</v>
      </c>
      <c r="D220" s="631"/>
      <c r="E220" s="21">
        <f t="shared" si="54"/>
        <v>0.06</v>
      </c>
      <c r="F220" s="631"/>
      <c r="G220" s="21">
        <f t="shared" si="55"/>
        <v>1</v>
      </c>
      <c r="H220" s="631"/>
      <c r="I220" s="21">
        <f t="shared" si="56"/>
        <v>0</v>
      </c>
      <c r="J220" s="631"/>
      <c r="K220" s="21">
        <f t="shared" si="57"/>
        <v>1</v>
      </c>
      <c r="L220" s="631"/>
      <c r="M220" s="21">
        <f t="shared" si="58"/>
        <v>1</v>
      </c>
      <c r="N220" s="631"/>
      <c r="O220" s="21">
        <f t="shared" si="59"/>
        <v>0</v>
      </c>
      <c r="P220" s="631"/>
      <c r="Q220" s="21">
        <f t="shared" si="60"/>
        <v>0</v>
      </c>
      <c r="R220" s="21">
        <f t="shared" si="61"/>
        <v>0</v>
      </c>
      <c r="S220" s="308">
        <f t="shared" si="52"/>
        <v>0</v>
      </c>
    </row>
    <row r="221" spans="1:19">
      <c r="A221" s="142"/>
      <c r="B221" s="52"/>
      <c r="C221" s="21">
        <f t="shared" si="53"/>
        <v>1</v>
      </c>
      <c r="D221" s="631"/>
      <c r="E221" s="21">
        <f t="shared" si="54"/>
        <v>0.06</v>
      </c>
      <c r="F221" s="631"/>
      <c r="G221" s="21">
        <f t="shared" si="55"/>
        <v>1</v>
      </c>
      <c r="H221" s="631"/>
      <c r="I221" s="21">
        <f t="shared" si="56"/>
        <v>0</v>
      </c>
      <c r="J221" s="631"/>
      <c r="K221" s="21">
        <f t="shared" si="57"/>
        <v>1</v>
      </c>
      <c r="L221" s="631"/>
      <c r="M221" s="21">
        <f t="shared" si="58"/>
        <v>1</v>
      </c>
      <c r="N221" s="631"/>
      <c r="O221" s="21">
        <f t="shared" si="59"/>
        <v>0</v>
      </c>
      <c r="P221" s="631"/>
      <c r="Q221" s="21">
        <f t="shared" si="60"/>
        <v>0</v>
      </c>
      <c r="R221" s="21">
        <f t="shared" si="61"/>
        <v>0</v>
      </c>
      <c r="S221" s="308">
        <f t="shared" si="52"/>
        <v>0</v>
      </c>
    </row>
    <row r="222" spans="1:19">
      <c r="A222" s="142"/>
      <c r="B222" s="52"/>
      <c r="C222" s="21">
        <f t="shared" si="53"/>
        <v>1</v>
      </c>
      <c r="D222" s="631"/>
      <c r="E222" s="21">
        <f t="shared" si="54"/>
        <v>0.06</v>
      </c>
      <c r="F222" s="631"/>
      <c r="G222" s="21">
        <f t="shared" si="55"/>
        <v>1</v>
      </c>
      <c r="H222" s="631"/>
      <c r="I222" s="21">
        <f t="shared" si="56"/>
        <v>0</v>
      </c>
      <c r="J222" s="631"/>
      <c r="K222" s="21">
        <f t="shared" si="57"/>
        <v>1</v>
      </c>
      <c r="L222" s="631"/>
      <c r="M222" s="21">
        <f t="shared" si="58"/>
        <v>1</v>
      </c>
      <c r="N222" s="631"/>
      <c r="O222" s="21">
        <f t="shared" si="59"/>
        <v>0</v>
      </c>
      <c r="P222" s="631"/>
      <c r="Q222" s="21">
        <f t="shared" si="60"/>
        <v>0</v>
      </c>
      <c r="R222" s="21">
        <f t="shared" si="61"/>
        <v>0</v>
      </c>
      <c r="S222" s="308">
        <f t="shared" si="52"/>
        <v>0</v>
      </c>
    </row>
    <row r="223" spans="1:19">
      <c r="A223" s="142"/>
      <c r="B223" s="52"/>
      <c r="C223" s="21">
        <f t="shared" si="53"/>
        <v>1</v>
      </c>
      <c r="D223" s="631"/>
      <c r="E223" s="21">
        <f t="shared" si="54"/>
        <v>0.06</v>
      </c>
      <c r="F223" s="631"/>
      <c r="G223" s="21">
        <f t="shared" si="55"/>
        <v>1</v>
      </c>
      <c r="H223" s="631"/>
      <c r="I223" s="21">
        <f t="shared" si="56"/>
        <v>0</v>
      </c>
      <c r="J223" s="631"/>
      <c r="K223" s="21">
        <f t="shared" si="57"/>
        <v>1</v>
      </c>
      <c r="L223" s="631"/>
      <c r="M223" s="21">
        <f t="shared" si="58"/>
        <v>1</v>
      </c>
      <c r="N223" s="631"/>
      <c r="O223" s="21">
        <f t="shared" si="59"/>
        <v>0</v>
      </c>
      <c r="P223" s="631"/>
      <c r="Q223" s="21">
        <f t="shared" si="60"/>
        <v>0</v>
      </c>
      <c r="R223" s="21">
        <f t="shared" si="61"/>
        <v>0</v>
      </c>
      <c r="S223" s="308">
        <f t="shared" si="52"/>
        <v>0</v>
      </c>
    </row>
    <row r="224" spans="1:19">
      <c r="A224" s="142"/>
      <c r="B224" s="52"/>
      <c r="C224" s="21">
        <f t="shared" si="53"/>
        <v>1</v>
      </c>
      <c r="D224" s="631"/>
      <c r="E224" s="21">
        <f t="shared" si="54"/>
        <v>0.06</v>
      </c>
      <c r="F224" s="631"/>
      <c r="G224" s="21">
        <f t="shared" si="55"/>
        <v>1</v>
      </c>
      <c r="H224" s="631"/>
      <c r="I224" s="21">
        <f t="shared" si="56"/>
        <v>0</v>
      </c>
      <c r="J224" s="631"/>
      <c r="K224" s="21">
        <f t="shared" si="57"/>
        <v>1</v>
      </c>
      <c r="L224" s="631"/>
      <c r="M224" s="21">
        <f t="shared" si="58"/>
        <v>1</v>
      </c>
      <c r="N224" s="631"/>
      <c r="O224" s="21">
        <f t="shared" si="59"/>
        <v>0</v>
      </c>
      <c r="P224" s="631"/>
      <c r="Q224" s="21">
        <f t="shared" si="60"/>
        <v>0</v>
      </c>
      <c r="R224" s="21">
        <f t="shared" si="61"/>
        <v>0</v>
      </c>
      <c r="S224" s="308">
        <f t="shared" ref="S224:S287" si="62">ROUND(R224*B224/10000,0)</f>
        <v>0</v>
      </c>
    </row>
    <row r="225" spans="1:19">
      <c r="A225" s="142"/>
      <c r="B225" s="52"/>
      <c r="C225" s="21">
        <f t="shared" si="53"/>
        <v>1</v>
      </c>
      <c r="D225" s="631"/>
      <c r="E225" s="21">
        <f t="shared" si="54"/>
        <v>0.06</v>
      </c>
      <c r="F225" s="631"/>
      <c r="G225" s="21">
        <f t="shared" si="55"/>
        <v>1</v>
      </c>
      <c r="H225" s="631"/>
      <c r="I225" s="21">
        <f t="shared" si="56"/>
        <v>0</v>
      </c>
      <c r="J225" s="631"/>
      <c r="K225" s="21">
        <f t="shared" si="57"/>
        <v>1</v>
      </c>
      <c r="L225" s="631"/>
      <c r="M225" s="21">
        <f t="shared" si="58"/>
        <v>1</v>
      </c>
      <c r="N225" s="631"/>
      <c r="O225" s="21">
        <f t="shared" si="59"/>
        <v>0</v>
      </c>
      <c r="P225" s="631"/>
      <c r="Q225" s="21">
        <f t="shared" si="60"/>
        <v>0</v>
      </c>
      <c r="R225" s="21">
        <f t="shared" si="61"/>
        <v>0</v>
      </c>
      <c r="S225" s="308">
        <f t="shared" si="62"/>
        <v>0</v>
      </c>
    </row>
    <row r="226" spans="1:19">
      <c r="A226" s="142"/>
      <c r="B226" s="52"/>
      <c r="C226" s="21">
        <f t="shared" si="53"/>
        <v>1</v>
      </c>
      <c r="D226" s="631"/>
      <c r="E226" s="21">
        <f t="shared" si="54"/>
        <v>0.06</v>
      </c>
      <c r="F226" s="631"/>
      <c r="G226" s="21">
        <f t="shared" si="55"/>
        <v>1</v>
      </c>
      <c r="H226" s="631"/>
      <c r="I226" s="21">
        <f t="shared" si="56"/>
        <v>0</v>
      </c>
      <c r="J226" s="631"/>
      <c r="K226" s="21">
        <f t="shared" si="57"/>
        <v>1</v>
      </c>
      <c r="L226" s="631"/>
      <c r="M226" s="21">
        <f t="shared" si="58"/>
        <v>1</v>
      </c>
      <c r="N226" s="631"/>
      <c r="O226" s="21">
        <f t="shared" si="59"/>
        <v>0</v>
      </c>
      <c r="P226" s="631"/>
      <c r="Q226" s="21">
        <f t="shared" si="60"/>
        <v>0</v>
      </c>
      <c r="R226" s="21">
        <f t="shared" si="61"/>
        <v>0</v>
      </c>
      <c r="S226" s="308">
        <f t="shared" si="62"/>
        <v>0</v>
      </c>
    </row>
    <row r="227" spans="1:19">
      <c r="A227" s="142"/>
      <c r="B227" s="52"/>
      <c r="C227" s="21">
        <f t="shared" si="53"/>
        <v>1</v>
      </c>
      <c r="D227" s="631"/>
      <c r="E227" s="21">
        <f t="shared" si="54"/>
        <v>0.06</v>
      </c>
      <c r="F227" s="631"/>
      <c r="G227" s="21">
        <f t="shared" si="55"/>
        <v>1</v>
      </c>
      <c r="H227" s="631"/>
      <c r="I227" s="21">
        <f t="shared" si="56"/>
        <v>0</v>
      </c>
      <c r="J227" s="631"/>
      <c r="K227" s="21">
        <f t="shared" si="57"/>
        <v>1</v>
      </c>
      <c r="L227" s="631"/>
      <c r="M227" s="21">
        <f t="shared" si="58"/>
        <v>1</v>
      </c>
      <c r="N227" s="631"/>
      <c r="O227" s="21">
        <f t="shared" si="59"/>
        <v>0</v>
      </c>
      <c r="P227" s="631"/>
      <c r="Q227" s="21">
        <f t="shared" si="60"/>
        <v>0</v>
      </c>
      <c r="R227" s="21">
        <f t="shared" si="61"/>
        <v>0</v>
      </c>
      <c r="S227" s="308">
        <f t="shared" si="62"/>
        <v>0</v>
      </c>
    </row>
    <row r="228" spans="1:19">
      <c r="A228" s="142"/>
      <c r="B228" s="52"/>
      <c r="C228" s="21">
        <f t="shared" si="53"/>
        <v>1</v>
      </c>
      <c r="D228" s="631"/>
      <c r="E228" s="21">
        <f t="shared" si="54"/>
        <v>0.06</v>
      </c>
      <c r="F228" s="631"/>
      <c r="G228" s="21">
        <f t="shared" si="55"/>
        <v>1</v>
      </c>
      <c r="H228" s="631"/>
      <c r="I228" s="21">
        <f t="shared" si="56"/>
        <v>0</v>
      </c>
      <c r="J228" s="631"/>
      <c r="K228" s="21">
        <f t="shared" si="57"/>
        <v>1</v>
      </c>
      <c r="L228" s="631"/>
      <c r="M228" s="21">
        <f t="shared" si="58"/>
        <v>1</v>
      </c>
      <c r="N228" s="631"/>
      <c r="O228" s="21">
        <f t="shared" si="59"/>
        <v>0</v>
      </c>
      <c r="P228" s="631"/>
      <c r="Q228" s="21">
        <f t="shared" si="60"/>
        <v>0</v>
      </c>
      <c r="R228" s="21">
        <f t="shared" si="61"/>
        <v>0</v>
      </c>
      <c r="S228" s="308">
        <f t="shared" si="62"/>
        <v>0</v>
      </c>
    </row>
    <row r="229" spans="1:19">
      <c r="A229" s="142"/>
      <c r="B229" s="52"/>
      <c r="C229" s="21">
        <f t="shared" si="53"/>
        <v>1</v>
      </c>
      <c r="D229" s="631"/>
      <c r="E229" s="21">
        <f t="shared" si="54"/>
        <v>0.06</v>
      </c>
      <c r="F229" s="631"/>
      <c r="G229" s="21">
        <f t="shared" si="55"/>
        <v>1</v>
      </c>
      <c r="H229" s="631"/>
      <c r="I229" s="21">
        <f t="shared" si="56"/>
        <v>0</v>
      </c>
      <c r="J229" s="631"/>
      <c r="K229" s="21">
        <f t="shared" si="57"/>
        <v>1</v>
      </c>
      <c r="L229" s="631"/>
      <c r="M229" s="21">
        <f t="shared" si="58"/>
        <v>1</v>
      </c>
      <c r="N229" s="631"/>
      <c r="O229" s="21">
        <f t="shared" si="59"/>
        <v>0</v>
      </c>
      <c r="P229" s="631"/>
      <c r="Q229" s="21">
        <f t="shared" si="60"/>
        <v>0</v>
      </c>
      <c r="R229" s="21">
        <f t="shared" si="61"/>
        <v>0</v>
      </c>
      <c r="S229" s="308">
        <f t="shared" si="62"/>
        <v>0</v>
      </c>
    </row>
    <row r="230" spans="1:19">
      <c r="A230" s="142"/>
      <c r="B230" s="52"/>
      <c r="C230" s="21">
        <f t="shared" si="53"/>
        <v>1</v>
      </c>
      <c r="D230" s="631"/>
      <c r="E230" s="21">
        <f t="shared" si="54"/>
        <v>0.06</v>
      </c>
      <c r="F230" s="631"/>
      <c r="G230" s="21">
        <f t="shared" si="55"/>
        <v>1</v>
      </c>
      <c r="H230" s="631"/>
      <c r="I230" s="21">
        <f t="shared" si="56"/>
        <v>0</v>
      </c>
      <c r="J230" s="631"/>
      <c r="K230" s="21">
        <f t="shared" si="57"/>
        <v>1</v>
      </c>
      <c r="L230" s="631"/>
      <c r="M230" s="21">
        <f t="shared" si="58"/>
        <v>1</v>
      </c>
      <c r="N230" s="631"/>
      <c r="O230" s="21">
        <f t="shared" si="59"/>
        <v>0</v>
      </c>
      <c r="P230" s="631"/>
      <c r="Q230" s="21">
        <f t="shared" si="60"/>
        <v>0</v>
      </c>
      <c r="R230" s="21">
        <f t="shared" si="61"/>
        <v>0</v>
      </c>
      <c r="S230" s="308">
        <f t="shared" si="62"/>
        <v>0</v>
      </c>
    </row>
    <row r="231" spans="1:19">
      <c r="A231" s="142"/>
      <c r="B231" s="52"/>
      <c r="C231" s="21">
        <f t="shared" si="53"/>
        <v>1</v>
      </c>
      <c r="D231" s="631"/>
      <c r="E231" s="21">
        <f t="shared" si="54"/>
        <v>0.06</v>
      </c>
      <c r="F231" s="631"/>
      <c r="G231" s="21">
        <f t="shared" si="55"/>
        <v>1</v>
      </c>
      <c r="H231" s="631"/>
      <c r="I231" s="21">
        <f t="shared" si="56"/>
        <v>0</v>
      </c>
      <c r="J231" s="631"/>
      <c r="K231" s="21">
        <f t="shared" si="57"/>
        <v>1</v>
      </c>
      <c r="L231" s="631"/>
      <c r="M231" s="21">
        <f t="shared" si="58"/>
        <v>1</v>
      </c>
      <c r="N231" s="631"/>
      <c r="O231" s="21">
        <f t="shared" si="59"/>
        <v>0</v>
      </c>
      <c r="P231" s="631"/>
      <c r="Q231" s="21">
        <f t="shared" si="60"/>
        <v>0</v>
      </c>
      <c r="R231" s="21">
        <f t="shared" si="61"/>
        <v>0</v>
      </c>
      <c r="S231" s="308">
        <f t="shared" si="62"/>
        <v>0</v>
      </c>
    </row>
    <row r="232" spans="1:19">
      <c r="A232" s="142"/>
      <c r="B232" s="52"/>
      <c r="C232" s="21">
        <f t="shared" si="53"/>
        <v>1</v>
      </c>
      <c r="D232" s="631"/>
      <c r="E232" s="21">
        <f t="shared" si="54"/>
        <v>0.06</v>
      </c>
      <c r="F232" s="631"/>
      <c r="G232" s="21">
        <f t="shared" si="55"/>
        <v>1</v>
      </c>
      <c r="H232" s="631"/>
      <c r="I232" s="21">
        <f t="shared" si="56"/>
        <v>0</v>
      </c>
      <c r="J232" s="631"/>
      <c r="K232" s="21">
        <f t="shared" si="57"/>
        <v>1</v>
      </c>
      <c r="L232" s="631"/>
      <c r="M232" s="21">
        <f t="shared" si="58"/>
        <v>1</v>
      </c>
      <c r="N232" s="631"/>
      <c r="O232" s="21">
        <f t="shared" si="59"/>
        <v>0</v>
      </c>
      <c r="P232" s="631"/>
      <c r="Q232" s="21">
        <f t="shared" si="60"/>
        <v>0</v>
      </c>
      <c r="R232" s="21">
        <f t="shared" si="61"/>
        <v>0</v>
      </c>
      <c r="S232" s="308">
        <f t="shared" si="62"/>
        <v>0</v>
      </c>
    </row>
    <row r="233" spans="1:19">
      <c r="A233" s="142"/>
      <c r="B233" s="52"/>
      <c r="C233" s="21">
        <f t="shared" si="53"/>
        <v>1</v>
      </c>
      <c r="D233" s="631"/>
      <c r="E233" s="21">
        <f t="shared" si="54"/>
        <v>0.06</v>
      </c>
      <c r="F233" s="631"/>
      <c r="G233" s="21">
        <f t="shared" si="55"/>
        <v>1</v>
      </c>
      <c r="H233" s="631"/>
      <c r="I233" s="21">
        <f t="shared" si="56"/>
        <v>0</v>
      </c>
      <c r="J233" s="631"/>
      <c r="K233" s="21">
        <f t="shared" si="57"/>
        <v>1</v>
      </c>
      <c r="L233" s="631"/>
      <c r="M233" s="21">
        <f t="shared" si="58"/>
        <v>1</v>
      </c>
      <c r="N233" s="631"/>
      <c r="O233" s="21">
        <f t="shared" si="59"/>
        <v>0</v>
      </c>
      <c r="P233" s="631"/>
      <c r="Q233" s="21">
        <f t="shared" si="60"/>
        <v>0</v>
      </c>
      <c r="R233" s="21">
        <f t="shared" si="61"/>
        <v>0</v>
      </c>
      <c r="S233" s="308">
        <f t="shared" si="62"/>
        <v>0</v>
      </c>
    </row>
    <row r="234" spans="1:19">
      <c r="A234" s="142"/>
      <c r="B234" s="52"/>
      <c r="C234" s="21">
        <f t="shared" si="53"/>
        <v>1</v>
      </c>
      <c r="D234" s="631"/>
      <c r="E234" s="21">
        <f t="shared" si="54"/>
        <v>0.06</v>
      </c>
      <c r="F234" s="631"/>
      <c r="G234" s="21">
        <f t="shared" si="55"/>
        <v>1</v>
      </c>
      <c r="H234" s="631"/>
      <c r="I234" s="21">
        <f t="shared" si="56"/>
        <v>0</v>
      </c>
      <c r="J234" s="631"/>
      <c r="K234" s="21">
        <f t="shared" si="57"/>
        <v>1</v>
      </c>
      <c r="L234" s="631"/>
      <c r="M234" s="21">
        <f t="shared" si="58"/>
        <v>1</v>
      </c>
      <c r="N234" s="631"/>
      <c r="O234" s="21">
        <f t="shared" si="59"/>
        <v>0</v>
      </c>
      <c r="P234" s="631"/>
      <c r="Q234" s="21">
        <f t="shared" si="60"/>
        <v>0</v>
      </c>
      <c r="R234" s="21">
        <f t="shared" si="61"/>
        <v>0</v>
      </c>
      <c r="S234" s="308">
        <f t="shared" si="62"/>
        <v>0</v>
      </c>
    </row>
    <row r="235" spans="1:19">
      <c r="A235" s="142"/>
      <c r="B235" s="52"/>
      <c r="C235" s="21">
        <f t="shared" si="53"/>
        <v>1</v>
      </c>
      <c r="D235" s="631"/>
      <c r="E235" s="21">
        <f t="shared" si="54"/>
        <v>0.06</v>
      </c>
      <c r="F235" s="631"/>
      <c r="G235" s="21">
        <f t="shared" si="55"/>
        <v>1</v>
      </c>
      <c r="H235" s="631"/>
      <c r="I235" s="21">
        <f t="shared" si="56"/>
        <v>0</v>
      </c>
      <c r="J235" s="631"/>
      <c r="K235" s="21">
        <f t="shared" si="57"/>
        <v>1</v>
      </c>
      <c r="L235" s="631"/>
      <c r="M235" s="21">
        <f t="shared" si="58"/>
        <v>1</v>
      </c>
      <c r="N235" s="631"/>
      <c r="O235" s="21">
        <f t="shared" si="59"/>
        <v>0</v>
      </c>
      <c r="P235" s="631"/>
      <c r="Q235" s="21">
        <f t="shared" si="60"/>
        <v>0</v>
      </c>
      <c r="R235" s="21">
        <f t="shared" si="61"/>
        <v>0</v>
      </c>
      <c r="S235" s="308">
        <f t="shared" si="62"/>
        <v>0</v>
      </c>
    </row>
    <row r="236" spans="1:19">
      <c r="A236" s="142"/>
      <c r="B236" s="52"/>
      <c r="C236" s="21">
        <f t="shared" si="53"/>
        <v>1</v>
      </c>
      <c r="D236" s="631"/>
      <c r="E236" s="21">
        <f t="shared" si="54"/>
        <v>0.06</v>
      </c>
      <c r="F236" s="631"/>
      <c r="G236" s="21">
        <f t="shared" si="55"/>
        <v>1</v>
      </c>
      <c r="H236" s="631"/>
      <c r="I236" s="21">
        <f t="shared" si="56"/>
        <v>0</v>
      </c>
      <c r="J236" s="631"/>
      <c r="K236" s="21">
        <f t="shared" si="57"/>
        <v>1</v>
      </c>
      <c r="L236" s="631"/>
      <c r="M236" s="21">
        <f t="shared" si="58"/>
        <v>1</v>
      </c>
      <c r="N236" s="631"/>
      <c r="O236" s="21">
        <f t="shared" si="59"/>
        <v>0</v>
      </c>
      <c r="P236" s="631"/>
      <c r="Q236" s="21">
        <f t="shared" si="60"/>
        <v>0</v>
      </c>
      <c r="R236" s="21">
        <f t="shared" si="61"/>
        <v>0</v>
      </c>
      <c r="S236" s="308">
        <f t="shared" si="62"/>
        <v>0</v>
      </c>
    </row>
    <row r="237" spans="1:19">
      <c r="A237" s="142"/>
      <c r="B237" s="52"/>
      <c r="C237" s="21">
        <f t="shared" si="53"/>
        <v>1</v>
      </c>
      <c r="D237" s="631"/>
      <c r="E237" s="21">
        <f t="shared" si="54"/>
        <v>0.06</v>
      </c>
      <c r="F237" s="631"/>
      <c r="G237" s="21">
        <f t="shared" si="55"/>
        <v>1</v>
      </c>
      <c r="H237" s="631"/>
      <c r="I237" s="21">
        <f t="shared" si="56"/>
        <v>0</v>
      </c>
      <c r="J237" s="631"/>
      <c r="K237" s="21">
        <f t="shared" si="57"/>
        <v>1</v>
      </c>
      <c r="L237" s="631"/>
      <c r="M237" s="21">
        <f t="shared" si="58"/>
        <v>1</v>
      </c>
      <c r="N237" s="631"/>
      <c r="O237" s="21">
        <f t="shared" si="59"/>
        <v>0</v>
      </c>
      <c r="P237" s="631"/>
      <c r="Q237" s="21">
        <f t="shared" si="60"/>
        <v>0</v>
      </c>
      <c r="R237" s="21">
        <f t="shared" si="61"/>
        <v>0</v>
      </c>
      <c r="S237" s="308">
        <f t="shared" si="62"/>
        <v>0</v>
      </c>
    </row>
    <row r="238" spans="1:19">
      <c r="A238" s="142"/>
      <c r="B238" s="52"/>
      <c r="C238" s="21">
        <f t="shared" si="53"/>
        <v>1</v>
      </c>
      <c r="D238" s="631"/>
      <c r="E238" s="21">
        <f t="shared" si="54"/>
        <v>0.06</v>
      </c>
      <c r="F238" s="631"/>
      <c r="G238" s="21">
        <f t="shared" si="55"/>
        <v>1</v>
      </c>
      <c r="H238" s="631"/>
      <c r="I238" s="21">
        <f t="shared" si="56"/>
        <v>0</v>
      </c>
      <c r="J238" s="631"/>
      <c r="K238" s="21">
        <f t="shared" si="57"/>
        <v>1</v>
      </c>
      <c r="L238" s="631"/>
      <c r="M238" s="21">
        <f t="shared" si="58"/>
        <v>1</v>
      </c>
      <c r="N238" s="631"/>
      <c r="O238" s="21">
        <f t="shared" si="59"/>
        <v>0</v>
      </c>
      <c r="P238" s="631"/>
      <c r="Q238" s="21">
        <f t="shared" si="60"/>
        <v>0</v>
      </c>
      <c r="R238" s="21">
        <f t="shared" si="61"/>
        <v>0</v>
      </c>
      <c r="S238" s="308">
        <f t="shared" si="62"/>
        <v>0</v>
      </c>
    </row>
    <row r="239" spans="1:19">
      <c r="A239" s="142"/>
      <c r="B239" s="52"/>
      <c r="C239" s="21">
        <f t="shared" si="53"/>
        <v>1</v>
      </c>
      <c r="D239" s="631"/>
      <c r="E239" s="21">
        <f t="shared" si="54"/>
        <v>0.06</v>
      </c>
      <c r="F239" s="631"/>
      <c r="G239" s="21">
        <f t="shared" si="55"/>
        <v>1</v>
      </c>
      <c r="H239" s="631"/>
      <c r="I239" s="21">
        <f t="shared" si="56"/>
        <v>0</v>
      </c>
      <c r="J239" s="631"/>
      <c r="K239" s="21">
        <f t="shared" si="57"/>
        <v>1</v>
      </c>
      <c r="L239" s="631"/>
      <c r="M239" s="21">
        <f t="shared" si="58"/>
        <v>1</v>
      </c>
      <c r="N239" s="631"/>
      <c r="O239" s="21">
        <f t="shared" si="59"/>
        <v>0</v>
      </c>
      <c r="P239" s="631"/>
      <c r="Q239" s="21">
        <f t="shared" si="60"/>
        <v>0</v>
      </c>
      <c r="R239" s="21">
        <f t="shared" si="61"/>
        <v>0</v>
      </c>
      <c r="S239" s="308">
        <f t="shared" si="62"/>
        <v>0</v>
      </c>
    </row>
    <row r="240" spans="1:19">
      <c r="A240" s="142"/>
      <c r="B240" s="52"/>
      <c r="C240" s="21">
        <f t="shared" si="53"/>
        <v>1</v>
      </c>
      <c r="D240" s="631"/>
      <c r="E240" s="21">
        <f t="shared" si="54"/>
        <v>0.06</v>
      </c>
      <c r="F240" s="631"/>
      <c r="G240" s="21">
        <f t="shared" si="55"/>
        <v>1</v>
      </c>
      <c r="H240" s="631"/>
      <c r="I240" s="21">
        <f t="shared" si="56"/>
        <v>0</v>
      </c>
      <c r="J240" s="631"/>
      <c r="K240" s="21">
        <f t="shared" si="57"/>
        <v>1</v>
      </c>
      <c r="L240" s="631"/>
      <c r="M240" s="21">
        <f t="shared" si="58"/>
        <v>1</v>
      </c>
      <c r="N240" s="631"/>
      <c r="O240" s="21">
        <f t="shared" si="59"/>
        <v>0</v>
      </c>
      <c r="P240" s="631"/>
      <c r="Q240" s="21">
        <f t="shared" si="60"/>
        <v>0</v>
      </c>
      <c r="R240" s="21">
        <f t="shared" si="61"/>
        <v>0</v>
      </c>
      <c r="S240" s="308">
        <f t="shared" si="62"/>
        <v>0</v>
      </c>
    </row>
    <row r="241" spans="1:19">
      <c r="A241" s="142"/>
      <c r="B241" s="52"/>
      <c r="C241" s="21">
        <f t="shared" si="53"/>
        <v>1</v>
      </c>
      <c r="D241" s="631"/>
      <c r="E241" s="21">
        <f t="shared" si="54"/>
        <v>0.06</v>
      </c>
      <c r="F241" s="631"/>
      <c r="G241" s="21">
        <f t="shared" si="55"/>
        <v>1</v>
      </c>
      <c r="H241" s="631"/>
      <c r="I241" s="21">
        <f t="shared" si="56"/>
        <v>0</v>
      </c>
      <c r="J241" s="631"/>
      <c r="K241" s="21">
        <f t="shared" si="57"/>
        <v>1</v>
      </c>
      <c r="L241" s="631"/>
      <c r="M241" s="21">
        <f t="shared" si="58"/>
        <v>1</v>
      </c>
      <c r="N241" s="631"/>
      <c r="O241" s="21">
        <f t="shared" si="59"/>
        <v>0</v>
      </c>
      <c r="P241" s="631"/>
      <c r="Q241" s="21">
        <f t="shared" si="60"/>
        <v>0</v>
      </c>
      <c r="R241" s="21">
        <f t="shared" si="61"/>
        <v>0</v>
      </c>
      <c r="S241" s="308">
        <f t="shared" si="62"/>
        <v>0</v>
      </c>
    </row>
    <row r="242" spans="1:19">
      <c r="A242" s="142"/>
      <c r="B242" s="52"/>
      <c r="C242" s="21">
        <f t="shared" si="53"/>
        <v>1</v>
      </c>
      <c r="D242" s="631"/>
      <c r="E242" s="21">
        <f t="shared" si="54"/>
        <v>0.06</v>
      </c>
      <c r="F242" s="631"/>
      <c r="G242" s="21">
        <f t="shared" si="55"/>
        <v>1</v>
      </c>
      <c r="H242" s="631"/>
      <c r="I242" s="21">
        <f t="shared" si="56"/>
        <v>0</v>
      </c>
      <c r="J242" s="631"/>
      <c r="K242" s="21">
        <f t="shared" si="57"/>
        <v>1</v>
      </c>
      <c r="L242" s="631"/>
      <c r="M242" s="21">
        <f t="shared" si="58"/>
        <v>1</v>
      </c>
      <c r="N242" s="631"/>
      <c r="O242" s="21">
        <f t="shared" si="59"/>
        <v>0</v>
      </c>
      <c r="P242" s="631"/>
      <c r="Q242" s="21">
        <f t="shared" si="60"/>
        <v>0</v>
      </c>
      <c r="R242" s="21">
        <f t="shared" si="61"/>
        <v>0</v>
      </c>
      <c r="S242" s="308">
        <f t="shared" si="62"/>
        <v>0</v>
      </c>
    </row>
    <row r="243" spans="1:19">
      <c r="A243" s="142"/>
      <c r="B243" s="52"/>
      <c r="C243" s="21">
        <f t="shared" si="53"/>
        <v>1</v>
      </c>
      <c r="D243" s="631"/>
      <c r="E243" s="21">
        <f t="shared" si="54"/>
        <v>0.06</v>
      </c>
      <c r="F243" s="631"/>
      <c r="G243" s="21">
        <f t="shared" si="55"/>
        <v>1</v>
      </c>
      <c r="H243" s="631"/>
      <c r="I243" s="21">
        <f t="shared" si="56"/>
        <v>0</v>
      </c>
      <c r="J243" s="631"/>
      <c r="K243" s="21">
        <f t="shared" si="57"/>
        <v>1</v>
      </c>
      <c r="L243" s="631"/>
      <c r="M243" s="21">
        <f t="shared" si="58"/>
        <v>1</v>
      </c>
      <c r="N243" s="631"/>
      <c r="O243" s="21">
        <f t="shared" si="59"/>
        <v>0</v>
      </c>
      <c r="P243" s="631"/>
      <c r="Q243" s="21">
        <f t="shared" si="60"/>
        <v>0</v>
      </c>
      <c r="R243" s="21">
        <f t="shared" si="61"/>
        <v>0</v>
      </c>
      <c r="S243" s="308">
        <f t="shared" si="62"/>
        <v>0</v>
      </c>
    </row>
    <row r="244" spans="1:19">
      <c r="A244" s="142"/>
      <c r="B244" s="52"/>
      <c r="C244" s="21">
        <f t="shared" si="53"/>
        <v>1</v>
      </c>
      <c r="D244" s="631"/>
      <c r="E244" s="21">
        <f t="shared" si="54"/>
        <v>0.06</v>
      </c>
      <c r="F244" s="631"/>
      <c r="G244" s="21">
        <f t="shared" si="55"/>
        <v>1</v>
      </c>
      <c r="H244" s="631"/>
      <c r="I244" s="21">
        <f t="shared" si="56"/>
        <v>0</v>
      </c>
      <c r="J244" s="631"/>
      <c r="K244" s="21">
        <f t="shared" si="57"/>
        <v>1</v>
      </c>
      <c r="L244" s="631"/>
      <c r="M244" s="21">
        <f t="shared" si="58"/>
        <v>1</v>
      </c>
      <c r="N244" s="631"/>
      <c r="O244" s="21">
        <f t="shared" si="59"/>
        <v>0</v>
      </c>
      <c r="P244" s="631"/>
      <c r="Q244" s="21">
        <f t="shared" si="60"/>
        <v>0</v>
      </c>
      <c r="R244" s="21">
        <f t="shared" si="61"/>
        <v>0</v>
      </c>
      <c r="S244" s="308">
        <f t="shared" si="62"/>
        <v>0</v>
      </c>
    </row>
    <row r="245" spans="1:19">
      <c r="A245" s="142"/>
      <c r="B245" s="52"/>
      <c r="C245" s="21">
        <f t="shared" si="53"/>
        <v>1</v>
      </c>
      <c r="D245" s="631"/>
      <c r="E245" s="21">
        <f t="shared" si="54"/>
        <v>0.06</v>
      </c>
      <c r="F245" s="631"/>
      <c r="G245" s="21">
        <f t="shared" si="55"/>
        <v>1</v>
      </c>
      <c r="H245" s="631"/>
      <c r="I245" s="21">
        <f t="shared" si="56"/>
        <v>0</v>
      </c>
      <c r="J245" s="631"/>
      <c r="K245" s="21">
        <f t="shared" si="57"/>
        <v>1</v>
      </c>
      <c r="L245" s="631"/>
      <c r="M245" s="21">
        <f t="shared" si="58"/>
        <v>1</v>
      </c>
      <c r="N245" s="631"/>
      <c r="O245" s="21">
        <f t="shared" si="59"/>
        <v>0</v>
      </c>
      <c r="P245" s="631"/>
      <c r="Q245" s="21">
        <f t="shared" si="60"/>
        <v>0</v>
      </c>
      <c r="R245" s="21">
        <f t="shared" si="61"/>
        <v>0</v>
      </c>
      <c r="S245" s="308">
        <f t="shared" si="62"/>
        <v>0</v>
      </c>
    </row>
    <row r="246" spans="1:19">
      <c r="A246" s="142"/>
      <c r="B246" s="52"/>
      <c r="C246" s="21">
        <f t="shared" si="53"/>
        <v>1</v>
      </c>
      <c r="D246" s="631"/>
      <c r="E246" s="21">
        <f t="shared" si="54"/>
        <v>0.06</v>
      </c>
      <c r="F246" s="631"/>
      <c r="G246" s="21">
        <f t="shared" si="55"/>
        <v>1</v>
      </c>
      <c r="H246" s="631"/>
      <c r="I246" s="21">
        <f t="shared" si="56"/>
        <v>0</v>
      </c>
      <c r="J246" s="631"/>
      <c r="K246" s="21">
        <f t="shared" si="57"/>
        <v>1</v>
      </c>
      <c r="L246" s="631"/>
      <c r="M246" s="21">
        <f t="shared" si="58"/>
        <v>1</v>
      </c>
      <c r="N246" s="631"/>
      <c r="O246" s="21">
        <f t="shared" si="59"/>
        <v>0</v>
      </c>
      <c r="P246" s="631"/>
      <c r="Q246" s="21">
        <f t="shared" si="60"/>
        <v>0</v>
      </c>
      <c r="R246" s="21">
        <f t="shared" si="61"/>
        <v>0</v>
      </c>
      <c r="S246" s="308">
        <f t="shared" si="62"/>
        <v>0</v>
      </c>
    </row>
    <row r="247" spans="1:19">
      <c r="A247" s="142"/>
      <c r="B247" s="52"/>
      <c r="C247" s="21">
        <f t="shared" si="53"/>
        <v>1</v>
      </c>
      <c r="D247" s="631"/>
      <c r="E247" s="21">
        <f t="shared" si="54"/>
        <v>0.06</v>
      </c>
      <c r="F247" s="631"/>
      <c r="G247" s="21">
        <f t="shared" si="55"/>
        <v>1</v>
      </c>
      <c r="H247" s="631"/>
      <c r="I247" s="21">
        <f t="shared" si="56"/>
        <v>0</v>
      </c>
      <c r="J247" s="631"/>
      <c r="K247" s="21">
        <f t="shared" si="57"/>
        <v>1</v>
      </c>
      <c r="L247" s="631"/>
      <c r="M247" s="21">
        <f t="shared" si="58"/>
        <v>1</v>
      </c>
      <c r="N247" s="631"/>
      <c r="O247" s="21">
        <f t="shared" si="59"/>
        <v>0</v>
      </c>
      <c r="P247" s="631"/>
      <c r="Q247" s="21">
        <f t="shared" si="60"/>
        <v>0</v>
      </c>
      <c r="R247" s="21">
        <f t="shared" si="61"/>
        <v>0</v>
      </c>
      <c r="S247" s="308">
        <f t="shared" si="62"/>
        <v>0</v>
      </c>
    </row>
    <row r="248" spans="1:19">
      <c r="A248" s="142"/>
      <c r="B248" s="52"/>
      <c r="C248" s="21">
        <f t="shared" si="53"/>
        <v>1</v>
      </c>
      <c r="D248" s="631"/>
      <c r="E248" s="21">
        <f t="shared" si="54"/>
        <v>0.06</v>
      </c>
      <c r="F248" s="631"/>
      <c r="G248" s="21">
        <f t="shared" si="55"/>
        <v>1</v>
      </c>
      <c r="H248" s="631"/>
      <c r="I248" s="21">
        <f t="shared" si="56"/>
        <v>0</v>
      </c>
      <c r="J248" s="631"/>
      <c r="K248" s="21">
        <f t="shared" si="57"/>
        <v>1</v>
      </c>
      <c r="L248" s="631"/>
      <c r="M248" s="21">
        <f t="shared" si="58"/>
        <v>1</v>
      </c>
      <c r="N248" s="631"/>
      <c r="O248" s="21">
        <f t="shared" si="59"/>
        <v>0</v>
      </c>
      <c r="P248" s="631"/>
      <c r="Q248" s="21">
        <f t="shared" si="60"/>
        <v>0</v>
      </c>
      <c r="R248" s="21">
        <f t="shared" si="61"/>
        <v>0</v>
      </c>
      <c r="S248" s="308">
        <f t="shared" si="62"/>
        <v>0</v>
      </c>
    </row>
    <row r="249" spans="1:19">
      <c r="A249" s="142"/>
      <c r="B249" s="52"/>
      <c r="C249" s="21">
        <f t="shared" si="53"/>
        <v>1</v>
      </c>
      <c r="D249" s="631"/>
      <c r="E249" s="21">
        <f t="shared" si="54"/>
        <v>0.06</v>
      </c>
      <c r="F249" s="631"/>
      <c r="G249" s="21">
        <f t="shared" si="55"/>
        <v>1</v>
      </c>
      <c r="H249" s="631"/>
      <c r="I249" s="21">
        <f t="shared" si="56"/>
        <v>0</v>
      </c>
      <c r="J249" s="631"/>
      <c r="K249" s="21">
        <f t="shared" si="57"/>
        <v>1</v>
      </c>
      <c r="L249" s="631"/>
      <c r="M249" s="21">
        <f t="shared" si="58"/>
        <v>1</v>
      </c>
      <c r="N249" s="631"/>
      <c r="O249" s="21">
        <f t="shared" si="59"/>
        <v>0</v>
      </c>
      <c r="P249" s="631"/>
      <c r="Q249" s="21">
        <f t="shared" si="60"/>
        <v>0</v>
      </c>
      <c r="R249" s="21">
        <f t="shared" si="61"/>
        <v>0</v>
      </c>
      <c r="S249" s="308">
        <f t="shared" si="62"/>
        <v>0</v>
      </c>
    </row>
    <row r="250" spans="1:19">
      <c r="A250" s="142"/>
      <c r="B250" s="52"/>
      <c r="C250" s="21">
        <f t="shared" si="53"/>
        <v>1</v>
      </c>
      <c r="D250" s="631"/>
      <c r="E250" s="21">
        <f t="shared" si="54"/>
        <v>0.06</v>
      </c>
      <c r="F250" s="631"/>
      <c r="G250" s="21">
        <f t="shared" si="55"/>
        <v>1</v>
      </c>
      <c r="H250" s="631"/>
      <c r="I250" s="21">
        <f t="shared" si="56"/>
        <v>0</v>
      </c>
      <c r="J250" s="631"/>
      <c r="K250" s="21">
        <f t="shared" si="57"/>
        <v>1</v>
      </c>
      <c r="L250" s="631"/>
      <c r="M250" s="21">
        <f t="shared" si="58"/>
        <v>1</v>
      </c>
      <c r="N250" s="631"/>
      <c r="O250" s="21">
        <f t="shared" si="59"/>
        <v>0</v>
      </c>
      <c r="P250" s="631"/>
      <c r="Q250" s="21">
        <f t="shared" si="60"/>
        <v>0</v>
      </c>
      <c r="R250" s="21">
        <f t="shared" si="61"/>
        <v>0</v>
      </c>
      <c r="S250" s="308">
        <f t="shared" si="62"/>
        <v>0</v>
      </c>
    </row>
    <row r="251" spans="1:19">
      <c r="A251" s="142"/>
      <c r="B251" s="52"/>
      <c r="C251" s="21">
        <f t="shared" si="53"/>
        <v>1</v>
      </c>
      <c r="D251" s="631"/>
      <c r="E251" s="21">
        <f t="shared" si="54"/>
        <v>0.06</v>
      </c>
      <c r="F251" s="631"/>
      <c r="G251" s="21">
        <f t="shared" si="55"/>
        <v>1</v>
      </c>
      <c r="H251" s="631"/>
      <c r="I251" s="21">
        <f t="shared" si="56"/>
        <v>0</v>
      </c>
      <c r="J251" s="631"/>
      <c r="K251" s="21">
        <f t="shared" si="57"/>
        <v>1</v>
      </c>
      <c r="L251" s="631"/>
      <c r="M251" s="21">
        <f t="shared" si="58"/>
        <v>1</v>
      </c>
      <c r="N251" s="631"/>
      <c r="O251" s="21">
        <f t="shared" si="59"/>
        <v>0</v>
      </c>
      <c r="P251" s="631"/>
      <c r="Q251" s="21">
        <f t="shared" si="60"/>
        <v>0</v>
      </c>
      <c r="R251" s="21">
        <f t="shared" si="61"/>
        <v>0</v>
      </c>
      <c r="S251" s="308">
        <f t="shared" si="62"/>
        <v>0</v>
      </c>
    </row>
    <row r="252" spans="1:19">
      <c r="A252" s="142"/>
      <c r="B252" s="52"/>
      <c r="C252" s="21">
        <f t="shared" si="53"/>
        <v>1</v>
      </c>
      <c r="D252" s="631"/>
      <c r="E252" s="21">
        <f t="shared" si="54"/>
        <v>0.06</v>
      </c>
      <c r="F252" s="631"/>
      <c r="G252" s="21">
        <f t="shared" si="55"/>
        <v>1</v>
      </c>
      <c r="H252" s="631"/>
      <c r="I252" s="21">
        <f t="shared" si="56"/>
        <v>0</v>
      </c>
      <c r="J252" s="631"/>
      <c r="K252" s="21">
        <f t="shared" si="57"/>
        <v>1</v>
      </c>
      <c r="L252" s="631"/>
      <c r="M252" s="21">
        <f t="shared" si="58"/>
        <v>1</v>
      </c>
      <c r="N252" s="631"/>
      <c r="O252" s="21">
        <f t="shared" si="59"/>
        <v>0</v>
      </c>
      <c r="P252" s="631"/>
      <c r="Q252" s="21">
        <f t="shared" si="60"/>
        <v>0</v>
      </c>
      <c r="R252" s="21">
        <f t="shared" si="61"/>
        <v>0</v>
      </c>
      <c r="S252" s="308">
        <f t="shared" si="62"/>
        <v>0</v>
      </c>
    </row>
    <row r="253" spans="1:19">
      <c r="A253" s="142"/>
      <c r="B253" s="52"/>
      <c r="C253" s="21">
        <f t="shared" si="53"/>
        <v>1</v>
      </c>
      <c r="D253" s="631"/>
      <c r="E253" s="21">
        <f t="shared" si="54"/>
        <v>0.06</v>
      </c>
      <c r="F253" s="631"/>
      <c r="G253" s="21">
        <f t="shared" si="55"/>
        <v>1</v>
      </c>
      <c r="H253" s="631"/>
      <c r="I253" s="21">
        <f t="shared" si="56"/>
        <v>0</v>
      </c>
      <c r="J253" s="631"/>
      <c r="K253" s="21">
        <f t="shared" si="57"/>
        <v>1</v>
      </c>
      <c r="L253" s="631"/>
      <c r="M253" s="21">
        <f t="shared" si="58"/>
        <v>1</v>
      </c>
      <c r="N253" s="631"/>
      <c r="O253" s="21">
        <f t="shared" si="59"/>
        <v>0</v>
      </c>
      <c r="P253" s="631"/>
      <c r="Q253" s="21">
        <f t="shared" si="60"/>
        <v>0</v>
      </c>
      <c r="R253" s="21">
        <f t="shared" si="61"/>
        <v>0</v>
      </c>
      <c r="S253" s="308">
        <f t="shared" si="62"/>
        <v>0</v>
      </c>
    </row>
    <row r="254" spans="1:19">
      <c r="A254" s="142"/>
      <c r="B254" s="52"/>
      <c r="C254" s="21">
        <f t="shared" si="53"/>
        <v>1</v>
      </c>
      <c r="D254" s="631"/>
      <c r="E254" s="21">
        <f t="shared" si="54"/>
        <v>0.06</v>
      </c>
      <c r="F254" s="631"/>
      <c r="G254" s="21">
        <f t="shared" si="55"/>
        <v>1</v>
      </c>
      <c r="H254" s="631"/>
      <c r="I254" s="21">
        <f t="shared" si="56"/>
        <v>0</v>
      </c>
      <c r="J254" s="631"/>
      <c r="K254" s="21">
        <f t="shared" si="57"/>
        <v>1</v>
      </c>
      <c r="L254" s="631"/>
      <c r="M254" s="21">
        <f t="shared" si="58"/>
        <v>1</v>
      </c>
      <c r="N254" s="631"/>
      <c r="O254" s="21">
        <f t="shared" si="59"/>
        <v>0</v>
      </c>
      <c r="P254" s="631"/>
      <c r="Q254" s="21">
        <f t="shared" si="60"/>
        <v>0</v>
      </c>
      <c r="R254" s="21">
        <f t="shared" si="61"/>
        <v>0</v>
      </c>
      <c r="S254" s="308">
        <f t="shared" si="62"/>
        <v>0</v>
      </c>
    </row>
    <row r="255" spans="1:19">
      <c r="A255" s="142"/>
      <c r="B255" s="52"/>
      <c r="C255" s="21">
        <f t="shared" si="53"/>
        <v>1</v>
      </c>
      <c r="D255" s="631"/>
      <c r="E255" s="21">
        <f t="shared" si="54"/>
        <v>0.06</v>
      </c>
      <c r="F255" s="631"/>
      <c r="G255" s="21">
        <f t="shared" si="55"/>
        <v>1</v>
      </c>
      <c r="H255" s="631"/>
      <c r="I255" s="21">
        <f t="shared" si="56"/>
        <v>0</v>
      </c>
      <c r="J255" s="631"/>
      <c r="K255" s="21">
        <f t="shared" si="57"/>
        <v>1</v>
      </c>
      <c r="L255" s="631"/>
      <c r="M255" s="21">
        <f t="shared" si="58"/>
        <v>1</v>
      </c>
      <c r="N255" s="631"/>
      <c r="O255" s="21">
        <f t="shared" si="59"/>
        <v>0</v>
      </c>
      <c r="P255" s="631"/>
      <c r="Q255" s="21">
        <f t="shared" si="60"/>
        <v>0</v>
      </c>
      <c r="R255" s="21">
        <f t="shared" si="61"/>
        <v>0</v>
      </c>
      <c r="S255" s="308">
        <f t="shared" si="62"/>
        <v>0</v>
      </c>
    </row>
    <row r="256" spans="1:19">
      <c r="A256" s="142"/>
      <c r="B256" s="52"/>
      <c r="C256" s="21">
        <f t="shared" si="53"/>
        <v>1</v>
      </c>
      <c r="D256" s="631"/>
      <c r="E256" s="21">
        <f t="shared" si="54"/>
        <v>0.06</v>
      </c>
      <c r="F256" s="631"/>
      <c r="G256" s="21">
        <f t="shared" si="55"/>
        <v>1</v>
      </c>
      <c r="H256" s="631"/>
      <c r="I256" s="21">
        <f t="shared" si="56"/>
        <v>0</v>
      </c>
      <c r="J256" s="631"/>
      <c r="K256" s="21">
        <f t="shared" si="57"/>
        <v>1</v>
      </c>
      <c r="L256" s="631"/>
      <c r="M256" s="21">
        <f t="shared" si="58"/>
        <v>1</v>
      </c>
      <c r="N256" s="631"/>
      <c r="O256" s="21">
        <f t="shared" si="59"/>
        <v>0</v>
      </c>
      <c r="P256" s="631"/>
      <c r="Q256" s="21">
        <f t="shared" si="60"/>
        <v>0</v>
      </c>
      <c r="R256" s="21">
        <f t="shared" si="61"/>
        <v>0</v>
      </c>
      <c r="S256" s="308">
        <f t="shared" si="62"/>
        <v>0</v>
      </c>
    </row>
    <row r="257" spans="1:19">
      <c r="A257" s="142"/>
      <c r="B257" s="52"/>
      <c r="C257" s="21">
        <f t="shared" si="53"/>
        <v>1</v>
      </c>
      <c r="D257" s="631"/>
      <c r="E257" s="21">
        <f t="shared" si="54"/>
        <v>0.06</v>
      </c>
      <c r="F257" s="631"/>
      <c r="G257" s="21">
        <f t="shared" si="55"/>
        <v>1</v>
      </c>
      <c r="H257" s="631"/>
      <c r="I257" s="21">
        <f t="shared" si="56"/>
        <v>0</v>
      </c>
      <c r="J257" s="631"/>
      <c r="K257" s="21">
        <f t="shared" si="57"/>
        <v>1</v>
      </c>
      <c r="L257" s="631"/>
      <c r="M257" s="21">
        <f t="shared" si="58"/>
        <v>1</v>
      </c>
      <c r="N257" s="631"/>
      <c r="O257" s="21">
        <f t="shared" si="59"/>
        <v>0</v>
      </c>
      <c r="P257" s="631"/>
      <c r="Q257" s="21">
        <f t="shared" si="60"/>
        <v>0</v>
      </c>
      <c r="R257" s="21">
        <f t="shared" si="61"/>
        <v>0</v>
      </c>
      <c r="S257" s="308">
        <f t="shared" si="62"/>
        <v>0</v>
      </c>
    </row>
    <row r="258" spans="1:19">
      <c r="A258" s="142"/>
      <c r="B258" s="52"/>
      <c r="C258" s="21">
        <f t="shared" si="53"/>
        <v>1</v>
      </c>
      <c r="D258" s="631"/>
      <c r="E258" s="21">
        <f t="shared" si="54"/>
        <v>0.06</v>
      </c>
      <c r="F258" s="631"/>
      <c r="G258" s="21">
        <f t="shared" si="55"/>
        <v>1</v>
      </c>
      <c r="H258" s="631"/>
      <c r="I258" s="21">
        <f t="shared" si="56"/>
        <v>0</v>
      </c>
      <c r="J258" s="631"/>
      <c r="K258" s="21">
        <f t="shared" si="57"/>
        <v>1</v>
      </c>
      <c r="L258" s="631"/>
      <c r="M258" s="21">
        <f t="shared" si="58"/>
        <v>1</v>
      </c>
      <c r="N258" s="631"/>
      <c r="O258" s="21">
        <f t="shared" si="59"/>
        <v>0</v>
      </c>
      <c r="P258" s="631"/>
      <c r="Q258" s="21">
        <f t="shared" si="60"/>
        <v>0</v>
      </c>
      <c r="R258" s="21">
        <f t="shared" si="61"/>
        <v>0</v>
      </c>
      <c r="S258" s="308">
        <f t="shared" si="62"/>
        <v>0</v>
      </c>
    </row>
    <row r="259" spans="1:19">
      <c r="A259" s="142"/>
      <c r="B259" s="52"/>
      <c r="C259" s="21">
        <f t="shared" si="53"/>
        <v>1</v>
      </c>
      <c r="D259" s="631"/>
      <c r="E259" s="21">
        <f t="shared" si="54"/>
        <v>0.06</v>
      </c>
      <c r="F259" s="631"/>
      <c r="G259" s="21">
        <f t="shared" si="55"/>
        <v>1</v>
      </c>
      <c r="H259" s="631"/>
      <c r="I259" s="21">
        <f t="shared" si="56"/>
        <v>0</v>
      </c>
      <c r="J259" s="631"/>
      <c r="K259" s="21">
        <f t="shared" si="57"/>
        <v>1</v>
      </c>
      <c r="L259" s="631"/>
      <c r="M259" s="21">
        <f t="shared" si="58"/>
        <v>1</v>
      </c>
      <c r="N259" s="631"/>
      <c r="O259" s="21">
        <f t="shared" si="59"/>
        <v>0</v>
      </c>
      <c r="P259" s="631"/>
      <c r="Q259" s="21">
        <f t="shared" si="60"/>
        <v>0</v>
      </c>
      <c r="R259" s="21">
        <f t="shared" si="61"/>
        <v>0</v>
      </c>
      <c r="S259" s="308">
        <f t="shared" si="62"/>
        <v>0</v>
      </c>
    </row>
    <row r="260" spans="1:19">
      <c r="A260" s="142"/>
      <c r="B260" s="52"/>
      <c r="C260" s="21">
        <f t="shared" si="53"/>
        <v>1</v>
      </c>
      <c r="D260" s="631"/>
      <c r="E260" s="21">
        <f t="shared" si="54"/>
        <v>0.06</v>
      </c>
      <c r="F260" s="631"/>
      <c r="G260" s="21">
        <f t="shared" si="55"/>
        <v>1</v>
      </c>
      <c r="H260" s="631"/>
      <c r="I260" s="21">
        <f t="shared" si="56"/>
        <v>0</v>
      </c>
      <c r="J260" s="631"/>
      <c r="K260" s="21">
        <f t="shared" si="57"/>
        <v>1</v>
      </c>
      <c r="L260" s="631"/>
      <c r="M260" s="21">
        <f t="shared" si="58"/>
        <v>1</v>
      </c>
      <c r="N260" s="631"/>
      <c r="O260" s="21">
        <f t="shared" si="59"/>
        <v>0</v>
      </c>
      <c r="P260" s="631"/>
      <c r="Q260" s="21">
        <f t="shared" si="60"/>
        <v>0</v>
      </c>
      <c r="R260" s="21">
        <f t="shared" si="61"/>
        <v>0</v>
      </c>
      <c r="S260" s="308">
        <f t="shared" si="62"/>
        <v>0</v>
      </c>
    </row>
    <row r="261" spans="1:19">
      <c r="A261" s="142"/>
      <c r="B261" s="52"/>
      <c r="C261" s="21">
        <f t="shared" si="53"/>
        <v>1</v>
      </c>
      <c r="D261" s="631"/>
      <c r="E261" s="21">
        <f t="shared" si="54"/>
        <v>0.06</v>
      </c>
      <c r="F261" s="631"/>
      <c r="G261" s="21">
        <f t="shared" si="55"/>
        <v>1</v>
      </c>
      <c r="H261" s="631"/>
      <c r="I261" s="21">
        <f t="shared" si="56"/>
        <v>0</v>
      </c>
      <c r="J261" s="631"/>
      <c r="K261" s="21">
        <f t="shared" si="57"/>
        <v>1</v>
      </c>
      <c r="L261" s="631"/>
      <c r="M261" s="21">
        <f t="shared" si="58"/>
        <v>1</v>
      </c>
      <c r="N261" s="631"/>
      <c r="O261" s="21">
        <f t="shared" si="59"/>
        <v>0</v>
      </c>
      <c r="P261" s="631"/>
      <c r="Q261" s="21">
        <f t="shared" si="60"/>
        <v>0</v>
      </c>
      <c r="R261" s="21">
        <f t="shared" si="61"/>
        <v>0</v>
      </c>
      <c r="S261" s="308">
        <f t="shared" si="62"/>
        <v>0</v>
      </c>
    </row>
    <row r="262" spans="1:19">
      <c r="A262" s="142"/>
      <c r="B262" s="52"/>
      <c r="C262" s="21">
        <f t="shared" si="53"/>
        <v>1</v>
      </c>
      <c r="D262" s="631"/>
      <c r="E262" s="21">
        <f t="shared" si="54"/>
        <v>0.06</v>
      </c>
      <c r="F262" s="631"/>
      <c r="G262" s="21">
        <f t="shared" si="55"/>
        <v>1</v>
      </c>
      <c r="H262" s="631"/>
      <c r="I262" s="21">
        <f t="shared" si="56"/>
        <v>0</v>
      </c>
      <c r="J262" s="631"/>
      <c r="K262" s="21">
        <f t="shared" si="57"/>
        <v>1</v>
      </c>
      <c r="L262" s="631"/>
      <c r="M262" s="21">
        <f t="shared" si="58"/>
        <v>1</v>
      </c>
      <c r="N262" s="631"/>
      <c r="O262" s="21">
        <f t="shared" si="59"/>
        <v>0</v>
      </c>
      <c r="P262" s="631"/>
      <c r="Q262" s="21">
        <f t="shared" si="60"/>
        <v>0</v>
      </c>
      <c r="R262" s="21">
        <f t="shared" si="61"/>
        <v>0</v>
      </c>
      <c r="S262" s="308">
        <f t="shared" si="62"/>
        <v>0</v>
      </c>
    </row>
    <row r="263" spans="1:19">
      <c r="A263" s="142"/>
      <c r="B263" s="52"/>
      <c r="C263" s="21">
        <f t="shared" si="53"/>
        <v>1</v>
      </c>
      <c r="D263" s="631"/>
      <c r="E263" s="21">
        <f t="shared" si="54"/>
        <v>0.06</v>
      </c>
      <c r="F263" s="631"/>
      <c r="G263" s="21">
        <f t="shared" si="55"/>
        <v>1</v>
      </c>
      <c r="H263" s="631"/>
      <c r="I263" s="21">
        <f t="shared" si="56"/>
        <v>0</v>
      </c>
      <c r="J263" s="631"/>
      <c r="K263" s="21">
        <f t="shared" si="57"/>
        <v>1</v>
      </c>
      <c r="L263" s="631"/>
      <c r="M263" s="21">
        <f t="shared" si="58"/>
        <v>1</v>
      </c>
      <c r="N263" s="631"/>
      <c r="O263" s="21">
        <f t="shared" si="59"/>
        <v>0</v>
      </c>
      <c r="P263" s="631"/>
      <c r="Q263" s="21">
        <f t="shared" si="60"/>
        <v>0</v>
      </c>
      <c r="R263" s="21">
        <f t="shared" si="61"/>
        <v>0</v>
      </c>
      <c r="S263" s="308">
        <f t="shared" si="62"/>
        <v>0</v>
      </c>
    </row>
    <row r="264" spans="1:19">
      <c r="A264" s="142"/>
      <c r="B264" s="52"/>
      <c r="C264" s="21">
        <f t="shared" si="53"/>
        <v>1</v>
      </c>
      <c r="D264" s="631"/>
      <c r="E264" s="21">
        <f t="shared" si="54"/>
        <v>0.06</v>
      </c>
      <c r="F264" s="631"/>
      <c r="G264" s="21">
        <f t="shared" si="55"/>
        <v>1</v>
      </c>
      <c r="H264" s="631"/>
      <c r="I264" s="21">
        <f t="shared" si="56"/>
        <v>0</v>
      </c>
      <c r="J264" s="631"/>
      <c r="K264" s="21">
        <f t="shared" si="57"/>
        <v>1</v>
      </c>
      <c r="L264" s="631"/>
      <c r="M264" s="21">
        <f t="shared" si="58"/>
        <v>1</v>
      </c>
      <c r="N264" s="631"/>
      <c r="O264" s="21">
        <f t="shared" si="59"/>
        <v>0</v>
      </c>
      <c r="P264" s="631"/>
      <c r="Q264" s="21">
        <f t="shared" si="60"/>
        <v>0</v>
      </c>
      <c r="R264" s="21">
        <f t="shared" si="61"/>
        <v>0</v>
      </c>
      <c r="S264" s="308">
        <f t="shared" si="62"/>
        <v>0</v>
      </c>
    </row>
    <row r="265" spans="1:19">
      <c r="A265" s="142"/>
      <c r="B265" s="52"/>
      <c r="C265" s="21">
        <f t="shared" si="53"/>
        <v>1</v>
      </c>
      <c r="D265" s="631"/>
      <c r="E265" s="21">
        <f t="shared" si="54"/>
        <v>0.06</v>
      </c>
      <c r="F265" s="631"/>
      <c r="G265" s="21">
        <f t="shared" si="55"/>
        <v>1</v>
      </c>
      <c r="H265" s="631"/>
      <c r="I265" s="21">
        <f t="shared" si="56"/>
        <v>0</v>
      </c>
      <c r="J265" s="631"/>
      <c r="K265" s="21">
        <f t="shared" si="57"/>
        <v>1</v>
      </c>
      <c r="L265" s="631"/>
      <c r="M265" s="21">
        <f t="shared" si="58"/>
        <v>1</v>
      </c>
      <c r="N265" s="631"/>
      <c r="O265" s="21">
        <f t="shared" si="59"/>
        <v>0</v>
      </c>
      <c r="P265" s="631"/>
      <c r="Q265" s="21">
        <f t="shared" si="60"/>
        <v>0</v>
      </c>
      <c r="R265" s="21">
        <f t="shared" si="61"/>
        <v>0</v>
      </c>
      <c r="S265" s="308">
        <f t="shared" si="62"/>
        <v>0</v>
      </c>
    </row>
    <row r="266" spans="1:19">
      <c r="A266" s="142"/>
      <c r="B266" s="52"/>
      <c r="C266" s="21">
        <f t="shared" si="53"/>
        <v>1</v>
      </c>
      <c r="D266" s="631"/>
      <c r="E266" s="21">
        <f t="shared" si="54"/>
        <v>0.06</v>
      </c>
      <c r="F266" s="631"/>
      <c r="G266" s="21">
        <f t="shared" si="55"/>
        <v>1</v>
      </c>
      <c r="H266" s="631"/>
      <c r="I266" s="21">
        <f t="shared" si="56"/>
        <v>0</v>
      </c>
      <c r="J266" s="631"/>
      <c r="K266" s="21">
        <f t="shared" si="57"/>
        <v>1</v>
      </c>
      <c r="L266" s="631"/>
      <c r="M266" s="21">
        <f t="shared" si="58"/>
        <v>1</v>
      </c>
      <c r="N266" s="631"/>
      <c r="O266" s="21">
        <f t="shared" si="59"/>
        <v>0</v>
      </c>
      <c r="P266" s="631"/>
      <c r="Q266" s="21">
        <f t="shared" si="60"/>
        <v>0</v>
      </c>
      <c r="R266" s="21">
        <f t="shared" si="61"/>
        <v>0</v>
      </c>
      <c r="S266" s="308">
        <f t="shared" si="62"/>
        <v>0</v>
      </c>
    </row>
    <row r="267" spans="1:19">
      <c r="A267" s="142"/>
      <c r="B267" s="52"/>
      <c r="C267" s="21">
        <f t="shared" si="53"/>
        <v>1</v>
      </c>
      <c r="D267" s="631"/>
      <c r="E267" s="21">
        <f t="shared" si="54"/>
        <v>0.06</v>
      </c>
      <c r="F267" s="631"/>
      <c r="G267" s="21">
        <f t="shared" si="55"/>
        <v>1</v>
      </c>
      <c r="H267" s="631"/>
      <c r="I267" s="21">
        <f t="shared" si="56"/>
        <v>0</v>
      </c>
      <c r="J267" s="631"/>
      <c r="K267" s="21">
        <f t="shared" si="57"/>
        <v>1</v>
      </c>
      <c r="L267" s="631"/>
      <c r="M267" s="21">
        <f t="shared" si="58"/>
        <v>1</v>
      </c>
      <c r="N267" s="631"/>
      <c r="O267" s="21">
        <f t="shared" si="59"/>
        <v>0</v>
      </c>
      <c r="P267" s="631"/>
      <c r="Q267" s="21">
        <f t="shared" si="60"/>
        <v>0</v>
      </c>
      <c r="R267" s="21">
        <f t="shared" si="61"/>
        <v>0</v>
      </c>
      <c r="S267" s="308">
        <f t="shared" si="62"/>
        <v>0</v>
      </c>
    </row>
    <row r="268" spans="1:19">
      <c r="A268" s="142"/>
      <c r="B268" s="52"/>
      <c r="C268" s="21">
        <f t="shared" si="53"/>
        <v>1</v>
      </c>
      <c r="D268" s="631"/>
      <c r="E268" s="21">
        <f t="shared" si="54"/>
        <v>0.06</v>
      </c>
      <c r="F268" s="631"/>
      <c r="G268" s="21">
        <f t="shared" si="55"/>
        <v>1</v>
      </c>
      <c r="H268" s="631"/>
      <c r="I268" s="21">
        <f t="shared" si="56"/>
        <v>0</v>
      </c>
      <c r="J268" s="631"/>
      <c r="K268" s="21">
        <f t="shared" si="57"/>
        <v>1</v>
      </c>
      <c r="L268" s="631"/>
      <c r="M268" s="21">
        <f t="shared" si="58"/>
        <v>1</v>
      </c>
      <c r="N268" s="631"/>
      <c r="O268" s="21">
        <f t="shared" si="59"/>
        <v>0</v>
      </c>
      <c r="P268" s="631"/>
      <c r="Q268" s="21">
        <f t="shared" si="60"/>
        <v>0</v>
      </c>
      <c r="R268" s="21">
        <f t="shared" si="61"/>
        <v>0</v>
      </c>
      <c r="S268" s="308">
        <f t="shared" si="62"/>
        <v>0</v>
      </c>
    </row>
    <row r="269" spans="1:19">
      <c r="A269" s="142"/>
      <c r="B269" s="52"/>
      <c r="C269" s="21">
        <f t="shared" si="53"/>
        <v>1</v>
      </c>
      <c r="D269" s="631"/>
      <c r="E269" s="21">
        <f t="shared" si="54"/>
        <v>0.06</v>
      </c>
      <c r="F269" s="631"/>
      <c r="G269" s="21">
        <f t="shared" si="55"/>
        <v>1</v>
      </c>
      <c r="H269" s="631"/>
      <c r="I269" s="21">
        <f t="shared" si="56"/>
        <v>0</v>
      </c>
      <c r="J269" s="631"/>
      <c r="K269" s="21">
        <f t="shared" si="57"/>
        <v>1</v>
      </c>
      <c r="L269" s="631"/>
      <c r="M269" s="21">
        <f t="shared" si="58"/>
        <v>1</v>
      </c>
      <c r="N269" s="631"/>
      <c r="O269" s="21">
        <f t="shared" si="59"/>
        <v>0</v>
      </c>
      <c r="P269" s="631"/>
      <c r="Q269" s="21">
        <f t="shared" si="60"/>
        <v>0</v>
      </c>
      <c r="R269" s="21">
        <f t="shared" si="61"/>
        <v>0</v>
      </c>
      <c r="S269" s="308">
        <f t="shared" si="62"/>
        <v>0</v>
      </c>
    </row>
    <row r="270" spans="1:19">
      <c r="A270" s="142"/>
      <c r="B270" s="52"/>
      <c r="C270" s="21">
        <f t="shared" si="53"/>
        <v>1</v>
      </c>
      <c r="D270" s="631"/>
      <c r="E270" s="21">
        <f t="shared" si="54"/>
        <v>0.06</v>
      </c>
      <c r="F270" s="631"/>
      <c r="G270" s="21">
        <f t="shared" si="55"/>
        <v>1</v>
      </c>
      <c r="H270" s="631"/>
      <c r="I270" s="21">
        <f t="shared" si="56"/>
        <v>0</v>
      </c>
      <c r="J270" s="631"/>
      <c r="K270" s="21">
        <f t="shared" si="57"/>
        <v>1</v>
      </c>
      <c r="L270" s="631"/>
      <c r="M270" s="21">
        <f t="shared" si="58"/>
        <v>1</v>
      </c>
      <c r="N270" s="631"/>
      <c r="O270" s="21">
        <f t="shared" si="59"/>
        <v>0</v>
      </c>
      <c r="P270" s="631"/>
      <c r="Q270" s="21">
        <f t="shared" si="60"/>
        <v>0</v>
      </c>
      <c r="R270" s="21">
        <f t="shared" si="61"/>
        <v>0</v>
      </c>
      <c r="S270" s="308">
        <f t="shared" si="62"/>
        <v>0</v>
      </c>
    </row>
    <row r="271" spans="1:19">
      <c r="A271" s="142"/>
      <c r="B271" s="52"/>
      <c r="C271" s="21">
        <f t="shared" si="53"/>
        <v>1</v>
      </c>
      <c r="D271" s="631"/>
      <c r="E271" s="21">
        <f t="shared" si="54"/>
        <v>0.06</v>
      </c>
      <c r="F271" s="631"/>
      <c r="G271" s="21">
        <f t="shared" si="55"/>
        <v>1</v>
      </c>
      <c r="H271" s="631"/>
      <c r="I271" s="21">
        <f t="shared" si="56"/>
        <v>0</v>
      </c>
      <c r="J271" s="631"/>
      <c r="K271" s="21">
        <f t="shared" si="57"/>
        <v>1</v>
      </c>
      <c r="L271" s="631"/>
      <c r="M271" s="21">
        <f t="shared" si="58"/>
        <v>1</v>
      </c>
      <c r="N271" s="631"/>
      <c r="O271" s="21">
        <f t="shared" si="59"/>
        <v>0</v>
      </c>
      <c r="P271" s="631"/>
      <c r="Q271" s="21">
        <f t="shared" si="60"/>
        <v>0</v>
      </c>
      <c r="R271" s="21">
        <f t="shared" si="61"/>
        <v>0</v>
      </c>
      <c r="S271" s="308">
        <f t="shared" si="62"/>
        <v>0</v>
      </c>
    </row>
    <row r="272" spans="1:19">
      <c r="A272" s="142"/>
      <c r="B272" s="52"/>
      <c r="C272" s="21">
        <f t="shared" si="53"/>
        <v>1</v>
      </c>
      <c r="D272" s="631"/>
      <c r="E272" s="21">
        <f t="shared" si="54"/>
        <v>0.06</v>
      </c>
      <c r="F272" s="631"/>
      <c r="G272" s="21">
        <f t="shared" si="55"/>
        <v>1</v>
      </c>
      <c r="H272" s="631"/>
      <c r="I272" s="21">
        <f t="shared" si="56"/>
        <v>0</v>
      </c>
      <c r="J272" s="631"/>
      <c r="K272" s="21">
        <f t="shared" si="57"/>
        <v>1</v>
      </c>
      <c r="L272" s="631"/>
      <c r="M272" s="21">
        <f t="shared" si="58"/>
        <v>1</v>
      </c>
      <c r="N272" s="631"/>
      <c r="O272" s="21">
        <f t="shared" si="59"/>
        <v>0</v>
      </c>
      <c r="P272" s="631"/>
      <c r="Q272" s="21">
        <f t="shared" si="60"/>
        <v>0</v>
      </c>
      <c r="R272" s="21">
        <f t="shared" si="61"/>
        <v>0</v>
      </c>
      <c r="S272" s="308">
        <f t="shared" si="62"/>
        <v>0</v>
      </c>
    </row>
    <row r="273" spans="1:19">
      <c r="A273" s="142"/>
      <c r="B273" s="52"/>
      <c r="C273" s="21">
        <f t="shared" si="53"/>
        <v>1</v>
      </c>
      <c r="D273" s="631"/>
      <c r="E273" s="21">
        <f t="shared" si="54"/>
        <v>0.06</v>
      </c>
      <c r="F273" s="631"/>
      <c r="G273" s="21">
        <f t="shared" si="55"/>
        <v>1</v>
      </c>
      <c r="H273" s="631"/>
      <c r="I273" s="21">
        <f t="shared" si="56"/>
        <v>0</v>
      </c>
      <c r="J273" s="631"/>
      <c r="K273" s="21">
        <f t="shared" si="57"/>
        <v>1</v>
      </c>
      <c r="L273" s="631"/>
      <c r="M273" s="21">
        <f t="shared" si="58"/>
        <v>1</v>
      </c>
      <c r="N273" s="631"/>
      <c r="O273" s="21">
        <f t="shared" si="59"/>
        <v>0</v>
      </c>
      <c r="P273" s="631"/>
      <c r="Q273" s="21">
        <f t="shared" si="60"/>
        <v>0</v>
      </c>
      <c r="R273" s="21">
        <f t="shared" si="61"/>
        <v>0</v>
      </c>
      <c r="S273" s="308">
        <f t="shared" si="62"/>
        <v>0</v>
      </c>
    </row>
    <row r="274" spans="1:19">
      <c r="A274" s="142"/>
      <c r="B274" s="52"/>
      <c r="C274" s="21">
        <f t="shared" si="53"/>
        <v>1</v>
      </c>
      <c r="D274" s="631"/>
      <c r="E274" s="21">
        <f t="shared" si="54"/>
        <v>0.06</v>
      </c>
      <c r="F274" s="631"/>
      <c r="G274" s="21">
        <f t="shared" si="55"/>
        <v>1</v>
      </c>
      <c r="H274" s="631"/>
      <c r="I274" s="21">
        <f t="shared" si="56"/>
        <v>0</v>
      </c>
      <c r="J274" s="631"/>
      <c r="K274" s="21">
        <f t="shared" si="57"/>
        <v>1</v>
      </c>
      <c r="L274" s="631"/>
      <c r="M274" s="21">
        <f t="shared" si="58"/>
        <v>1</v>
      </c>
      <c r="N274" s="631"/>
      <c r="O274" s="21">
        <f t="shared" si="59"/>
        <v>0</v>
      </c>
      <c r="P274" s="631"/>
      <c r="Q274" s="21">
        <f t="shared" si="60"/>
        <v>0</v>
      </c>
      <c r="R274" s="21">
        <f t="shared" si="61"/>
        <v>0</v>
      </c>
      <c r="S274" s="308">
        <f t="shared" si="62"/>
        <v>0</v>
      </c>
    </row>
    <row r="275" spans="1:19">
      <c r="A275" s="142"/>
      <c r="B275" s="52"/>
      <c r="C275" s="21">
        <f t="shared" si="53"/>
        <v>1</v>
      </c>
      <c r="D275" s="631"/>
      <c r="E275" s="21">
        <f t="shared" si="54"/>
        <v>0.06</v>
      </c>
      <c r="F275" s="631"/>
      <c r="G275" s="21">
        <f t="shared" si="55"/>
        <v>1</v>
      </c>
      <c r="H275" s="631"/>
      <c r="I275" s="21">
        <f t="shared" si="56"/>
        <v>0</v>
      </c>
      <c r="J275" s="631"/>
      <c r="K275" s="21">
        <f t="shared" si="57"/>
        <v>1</v>
      </c>
      <c r="L275" s="631"/>
      <c r="M275" s="21">
        <f t="shared" si="58"/>
        <v>1</v>
      </c>
      <c r="N275" s="631"/>
      <c r="O275" s="21">
        <f t="shared" si="59"/>
        <v>0</v>
      </c>
      <c r="P275" s="631"/>
      <c r="Q275" s="21">
        <f t="shared" si="60"/>
        <v>0</v>
      </c>
      <c r="R275" s="21">
        <f t="shared" si="61"/>
        <v>0</v>
      </c>
      <c r="S275" s="308">
        <f t="shared" si="62"/>
        <v>0</v>
      </c>
    </row>
    <row r="276" spans="1:19">
      <c r="A276" s="142"/>
      <c r="B276" s="52"/>
      <c r="C276" s="21">
        <f t="shared" si="53"/>
        <v>1</v>
      </c>
      <c r="D276" s="631"/>
      <c r="E276" s="21">
        <f t="shared" si="54"/>
        <v>0.06</v>
      </c>
      <c r="F276" s="631"/>
      <c r="G276" s="21">
        <f t="shared" si="55"/>
        <v>1</v>
      </c>
      <c r="H276" s="631"/>
      <c r="I276" s="21">
        <f t="shared" si="56"/>
        <v>0</v>
      </c>
      <c r="J276" s="631"/>
      <c r="K276" s="21">
        <f t="shared" si="57"/>
        <v>1</v>
      </c>
      <c r="L276" s="631"/>
      <c r="M276" s="21">
        <f t="shared" si="58"/>
        <v>1</v>
      </c>
      <c r="N276" s="631"/>
      <c r="O276" s="21">
        <f t="shared" si="59"/>
        <v>0</v>
      </c>
      <c r="P276" s="631"/>
      <c r="Q276" s="21">
        <f t="shared" si="60"/>
        <v>0</v>
      </c>
      <c r="R276" s="21">
        <f t="shared" si="61"/>
        <v>0</v>
      </c>
      <c r="S276" s="308">
        <f t="shared" si="62"/>
        <v>0</v>
      </c>
    </row>
    <row r="277" spans="1:19">
      <c r="A277" s="142"/>
      <c r="B277" s="52"/>
      <c r="C277" s="21">
        <f t="shared" si="53"/>
        <v>1</v>
      </c>
      <c r="D277" s="631"/>
      <c r="E277" s="21">
        <f t="shared" si="54"/>
        <v>0.06</v>
      </c>
      <c r="F277" s="631"/>
      <c r="G277" s="21">
        <f t="shared" si="55"/>
        <v>1</v>
      </c>
      <c r="H277" s="631"/>
      <c r="I277" s="21">
        <f t="shared" si="56"/>
        <v>0</v>
      </c>
      <c r="J277" s="631"/>
      <c r="K277" s="21">
        <f t="shared" si="57"/>
        <v>1</v>
      </c>
      <c r="L277" s="631"/>
      <c r="M277" s="21">
        <f t="shared" si="58"/>
        <v>1</v>
      </c>
      <c r="N277" s="631"/>
      <c r="O277" s="21">
        <f t="shared" si="59"/>
        <v>0</v>
      </c>
      <c r="P277" s="631"/>
      <c r="Q277" s="21">
        <f t="shared" si="60"/>
        <v>0</v>
      </c>
      <c r="R277" s="21">
        <f t="shared" si="61"/>
        <v>0</v>
      </c>
      <c r="S277" s="308">
        <f t="shared" si="62"/>
        <v>0</v>
      </c>
    </row>
    <row r="278" spans="1:19">
      <c r="A278" s="142"/>
      <c r="B278" s="52"/>
      <c r="C278" s="21">
        <f t="shared" si="53"/>
        <v>1</v>
      </c>
      <c r="D278" s="631"/>
      <c r="E278" s="21">
        <f t="shared" si="54"/>
        <v>0.06</v>
      </c>
      <c r="F278" s="631"/>
      <c r="G278" s="21">
        <f t="shared" si="55"/>
        <v>1</v>
      </c>
      <c r="H278" s="631"/>
      <c r="I278" s="21">
        <f t="shared" si="56"/>
        <v>0</v>
      </c>
      <c r="J278" s="631"/>
      <c r="K278" s="21">
        <f t="shared" si="57"/>
        <v>1</v>
      </c>
      <c r="L278" s="631"/>
      <c r="M278" s="21">
        <f t="shared" si="58"/>
        <v>1</v>
      </c>
      <c r="N278" s="631"/>
      <c r="O278" s="21">
        <f t="shared" si="59"/>
        <v>0</v>
      </c>
      <c r="P278" s="631"/>
      <c r="Q278" s="21">
        <f t="shared" si="60"/>
        <v>0</v>
      </c>
      <c r="R278" s="21">
        <f t="shared" si="61"/>
        <v>0</v>
      </c>
      <c r="S278" s="308">
        <f t="shared" si="62"/>
        <v>0</v>
      </c>
    </row>
    <row r="279" spans="1:19">
      <c r="A279" s="142"/>
      <c r="B279" s="52"/>
      <c r="C279" s="21">
        <f t="shared" si="53"/>
        <v>1</v>
      </c>
      <c r="D279" s="631"/>
      <c r="E279" s="21">
        <f t="shared" si="54"/>
        <v>0.06</v>
      </c>
      <c r="F279" s="631"/>
      <c r="G279" s="21">
        <f t="shared" si="55"/>
        <v>1</v>
      </c>
      <c r="H279" s="631"/>
      <c r="I279" s="21">
        <f t="shared" si="56"/>
        <v>0</v>
      </c>
      <c r="J279" s="631"/>
      <c r="K279" s="21">
        <f t="shared" si="57"/>
        <v>1</v>
      </c>
      <c r="L279" s="631"/>
      <c r="M279" s="21">
        <f t="shared" si="58"/>
        <v>1</v>
      </c>
      <c r="N279" s="631"/>
      <c r="O279" s="21">
        <f t="shared" si="59"/>
        <v>0</v>
      </c>
      <c r="P279" s="631"/>
      <c r="Q279" s="21">
        <f t="shared" si="60"/>
        <v>0</v>
      </c>
      <c r="R279" s="21">
        <f t="shared" si="61"/>
        <v>0</v>
      </c>
      <c r="S279" s="308">
        <f t="shared" si="62"/>
        <v>0</v>
      </c>
    </row>
    <row r="280" spans="1:19">
      <c r="A280" s="142"/>
      <c r="B280" s="52"/>
      <c r="C280" s="21">
        <f t="shared" si="53"/>
        <v>1</v>
      </c>
      <c r="D280" s="631"/>
      <c r="E280" s="21">
        <f t="shared" si="54"/>
        <v>0.06</v>
      </c>
      <c r="F280" s="631"/>
      <c r="G280" s="21">
        <f t="shared" si="55"/>
        <v>1</v>
      </c>
      <c r="H280" s="631"/>
      <c r="I280" s="21">
        <f t="shared" si="56"/>
        <v>0</v>
      </c>
      <c r="J280" s="631"/>
      <c r="K280" s="21">
        <f t="shared" si="57"/>
        <v>1</v>
      </c>
      <c r="L280" s="631"/>
      <c r="M280" s="21">
        <f t="shared" si="58"/>
        <v>1</v>
      </c>
      <c r="N280" s="631"/>
      <c r="O280" s="21">
        <f t="shared" si="59"/>
        <v>0</v>
      </c>
      <c r="P280" s="631"/>
      <c r="Q280" s="21">
        <f t="shared" si="60"/>
        <v>0</v>
      </c>
      <c r="R280" s="21">
        <f t="shared" si="61"/>
        <v>0</v>
      </c>
      <c r="S280" s="308">
        <f t="shared" si="62"/>
        <v>0</v>
      </c>
    </row>
    <row r="281" spans="1:19">
      <c r="A281" s="142"/>
      <c r="B281" s="52"/>
      <c r="C281" s="21">
        <f t="shared" si="53"/>
        <v>1</v>
      </c>
      <c r="D281" s="631"/>
      <c r="E281" s="21">
        <f t="shared" si="54"/>
        <v>0.06</v>
      </c>
      <c r="F281" s="631"/>
      <c r="G281" s="21">
        <f t="shared" si="55"/>
        <v>1</v>
      </c>
      <c r="H281" s="631"/>
      <c r="I281" s="21">
        <f t="shared" si="56"/>
        <v>0</v>
      </c>
      <c r="J281" s="631"/>
      <c r="K281" s="21">
        <f t="shared" si="57"/>
        <v>1</v>
      </c>
      <c r="L281" s="631"/>
      <c r="M281" s="21">
        <f t="shared" si="58"/>
        <v>1</v>
      </c>
      <c r="N281" s="631"/>
      <c r="O281" s="21">
        <f t="shared" si="59"/>
        <v>0</v>
      </c>
      <c r="P281" s="631"/>
      <c r="Q281" s="21">
        <f t="shared" si="60"/>
        <v>0</v>
      </c>
      <c r="R281" s="21">
        <f t="shared" si="61"/>
        <v>0</v>
      </c>
      <c r="S281" s="308">
        <f t="shared" si="62"/>
        <v>0</v>
      </c>
    </row>
    <row r="282" spans="1:19">
      <c r="A282" s="142"/>
      <c r="B282" s="52"/>
      <c r="C282" s="21">
        <f t="shared" si="53"/>
        <v>1</v>
      </c>
      <c r="D282" s="631"/>
      <c r="E282" s="21">
        <f t="shared" si="54"/>
        <v>0.06</v>
      </c>
      <c r="F282" s="631"/>
      <c r="G282" s="21">
        <f t="shared" si="55"/>
        <v>1</v>
      </c>
      <c r="H282" s="631"/>
      <c r="I282" s="21">
        <f t="shared" si="56"/>
        <v>0</v>
      </c>
      <c r="J282" s="631"/>
      <c r="K282" s="21">
        <f t="shared" si="57"/>
        <v>1</v>
      </c>
      <c r="L282" s="631"/>
      <c r="M282" s="21">
        <f t="shared" si="58"/>
        <v>1</v>
      </c>
      <c r="N282" s="631"/>
      <c r="O282" s="21">
        <f t="shared" si="59"/>
        <v>0</v>
      </c>
      <c r="P282" s="631"/>
      <c r="Q282" s="21">
        <f t="shared" si="60"/>
        <v>0</v>
      </c>
      <c r="R282" s="21">
        <f t="shared" si="61"/>
        <v>0</v>
      </c>
      <c r="S282" s="308">
        <f t="shared" si="62"/>
        <v>0</v>
      </c>
    </row>
    <row r="283" spans="1:19">
      <c r="A283" s="142"/>
      <c r="B283" s="52"/>
      <c r="C283" s="21">
        <f t="shared" ref="C283:C346" si="63">IF(B283="",1,(LOOKUP(B283,$3:$3,$4:$4)-LOOKUP($B$24,$3:$3,$4:$4)+100)/100)</f>
        <v>1</v>
      </c>
      <c r="D283" s="631"/>
      <c r="E283" s="21">
        <f t="shared" ref="E283:E346" si="64">(SUMIF($5:$5,D283,$6:$6)-SUMIF($5:$5,$D$24,$6:$6)+100)/100</f>
        <v>0.06</v>
      </c>
      <c r="F283" s="631"/>
      <c r="G283" s="21">
        <f t="shared" ref="G283:G346" si="65">(SUMIF($7:$7,F283,$8:$8)-SUMIF($7:$7,$F$24,$8:$8)+100)/100</f>
        <v>1</v>
      </c>
      <c r="H283" s="631"/>
      <c r="I283" s="21">
        <f t="shared" ref="I283:I346" si="66">(SUMIF($9:$9,H283,$10:$10)-SUMIF($9:$9,$H$24,$10:$10)+100)/100</f>
        <v>0</v>
      </c>
      <c r="J283" s="631"/>
      <c r="K283" s="21">
        <f t="shared" ref="K283:K346" si="67">(SUMIF($11:$11,J283,$12:$12)-SUMIF($11:$11,$J$24,$12:$12)+100)/100</f>
        <v>1</v>
      </c>
      <c r="L283" s="631"/>
      <c r="M283" s="21">
        <f t="shared" ref="M283:M346" si="68">(SUMIF($13:$13,L283,$14:$14)-SUMIF($13:$13,$L$24,$14:$14)+100)/100</f>
        <v>1</v>
      </c>
      <c r="N283" s="631"/>
      <c r="O283" s="21">
        <f t="shared" ref="O283:O346" si="69">(SUMIF($15:$15,N283,$16:$16)-SUMIF($15:$15,$N$24,$16:$16)+100)/100</f>
        <v>0</v>
      </c>
      <c r="P283" s="631"/>
      <c r="Q283" s="21">
        <f t="shared" ref="Q283:Q346" si="70">(SUMIF($17:$17,P283,$18:$18)-SUMIF($17:$17,$P$24,$18:$18)+100)/100</f>
        <v>0</v>
      </c>
      <c r="R283" s="21">
        <f t="shared" ref="R283:R346" si="71">IF(B283="",0,ROUND($R$24*C283*E283*G283*I283*K283*M283*O283*Q283,0))</f>
        <v>0</v>
      </c>
      <c r="S283" s="308">
        <f t="shared" si="62"/>
        <v>0</v>
      </c>
    </row>
    <row r="284" spans="1:19">
      <c r="A284" s="142"/>
      <c r="B284" s="52"/>
      <c r="C284" s="21">
        <f t="shared" si="63"/>
        <v>1</v>
      </c>
      <c r="D284" s="631"/>
      <c r="E284" s="21">
        <f t="shared" si="64"/>
        <v>0.06</v>
      </c>
      <c r="F284" s="631"/>
      <c r="G284" s="21">
        <f t="shared" si="65"/>
        <v>1</v>
      </c>
      <c r="H284" s="631"/>
      <c r="I284" s="21">
        <f t="shared" si="66"/>
        <v>0</v>
      </c>
      <c r="J284" s="631"/>
      <c r="K284" s="21">
        <f t="shared" si="67"/>
        <v>1</v>
      </c>
      <c r="L284" s="631"/>
      <c r="M284" s="21">
        <f t="shared" si="68"/>
        <v>1</v>
      </c>
      <c r="N284" s="631"/>
      <c r="O284" s="21">
        <f t="shared" si="69"/>
        <v>0</v>
      </c>
      <c r="P284" s="631"/>
      <c r="Q284" s="21">
        <f t="shared" si="70"/>
        <v>0</v>
      </c>
      <c r="R284" s="21">
        <f t="shared" si="71"/>
        <v>0</v>
      </c>
      <c r="S284" s="308">
        <f t="shared" si="62"/>
        <v>0</v>
      </c>
    </row>
    <row r="285" spans="1:19">
      <c r="A285" s="142"/>
      <c r="B285" s="52"/>
      <c r="C285" s="21">
        <f t="shared" si="63"/>
        <v>1</v>
      </c>
      <c r="D285" s="631"/>
      <c r="E285" s="21">
        <f t="shared" si="64"/>
        <v>0.06</v>
      </c>
      <c r="F285" s="631"/>
      <c r="G285" s="21">
        <f t="shared" si="65"/>
        <v>1</v>
      </c>
      <c r="H285" s="631"/>
      <c r="I285" s="21">
        <f t="shared" si="66"/>
        <v>0</v>
      </c>
      <c r="J285" s="631"/>
      <c r="K285" s="21">
        <f t="shared" si="67"/>
        <v>1</v>
      </c>
      <c r="L285" s="631"/>
      <c r="M285" s="21">
        <f t="shared" si="68"/>
        <v>1</v>
      </c>
      <c r="N285" s="631"/>
      <c r="O285" s="21">
        <f t="shared" si="69"/>
        <v>0</v>
      </c>
      <c r="P285" s="631"/>
      <c r="Q285" s="21">
        <f t="shared" si="70"/>
        <v>0</v>
      </c>
      <c r="R285" s="21">
        <f t="shared" si="71"/>
        <v>0</v>
      </c>
      <c r="S285" s="308">
        <f t="shared" si="62"/>
        <v>0</v>
      </c>
    </row>
    <row r="286" spans="1:19">
      <c r="A286" s="142"/>
      <c r="B286" s="52"/>
      <c r="C286" s="21">
        <f t="shared" si="63"/>
        <v>1</v>
      </c>
      <c r="D286" s="631"/>
      <c r="E286" s="21">
        <f t="shared" si="64"/>
        <v>0.06</v>
      </c>
      <c r="F286" s="631"/>
      <c r="G286" s="21">
        <f t="shared" si="65"/>
        <v>1</v>
      </c>
      <c r="H286" s="631"/>
      <c r="I286" s="21">
        <f t="shared" si="66"/>
        <v>0</v>
      </c>
      <c r="J286" s="631"/>
      <c r="K286" s="21">
        <f t="shared" si="67"/>
        <v>1</v>
      </c>
      <c r="L286" s="631"/>
      <c r="M286" s="21">
        <f t="shared" si="68"/>
        <v>1</v>
      </c>
      <c r="N286" s="631"/>
      <c r="O286" s="21">
        <f t="shared" si="69"/>
        <v>0</v>
      </c>
      <c r="P286" s="631"/>
      <c r="Q286" s="21">
        <f t="shared" si="70"/>
        <v>0</v>
      </c>
      <c r="R286" s="21">
        <f t="shared" si="71"/>
        <v>0</v>
      </c>
      <c r="S286" s="308">
        <f t="shared" si="62"/>
        <v>0</v>
      </c>
    </row>
    <row r="287" spans="1:19">
      <c r="A287" s="142"/>
      <c r="B287" s="52"/>
      <c r="C287" s="21">
        <f t="shared" si="63"/>
        <v>1</v>
      </c>
      <c r="D287" s="631"/>
      <c r="E287" s="21">
        <f t="shared" si="64"/>
        <v>0.06</v>
      </c>
      <c r="F287" s="631"/>
      <c r="G287" s="21">
        <f t="shared" si="65"/>
        <v>1</v>
      </c>
      <c r="H287" s="631"/>
      <c r="I287" s="21">
        <f t="shared" si="66"/>
        <v>0</v>
      </c>
      <c r="J287" s="631"/>
      <c r="K287" s="21">
        <f t="shared" si="67"/>
        <v>1</v>
      </c>
      <c r="L287" s="631"/>
      <c r="M287" s="21">
        <f t="shared" si="68"/>
        <v>1</v>
      </c>
      <c r="N287" s="631"/>
      <c r="O287" s="21">
        <f t="shared" si="69"/>
        <v>0</v>
      </c>
      <c r="P287" s="631"/>
      <c r="Q287" s="21">
        <f t="shared" si="70"/>
        <v>0</v>
      </c>
      <c r="R287" s="21">
        <f t="shared" si="71"/>
        <v>0</v>
      </c>
      <c r="S287" s="308">
        <f t="shared" si="62"/>
        <v>0</v>
      </c>
    </row>
    <row r="288" spans="1:19">
      <c r="A288" s="142"/>
      <c r="B288" s="52"/>
      <c r="C288" s="21">
        <f t="shared" si="63"/>
        <v>1</v>
      </c>
      <c r="D288" s="631"/>
      <c r="E288" s="21">
        <f t="shared" si="64"/>
        <v>0.06</v>
      </c>
      <c r="F288" s="631"/>
      <c r="G288" s="21">
        <f t="shared" si="65"/>
        <v>1</v>
      </c>
      <c r="H288" s="631"/>
      <c r="I288" s="21">
        <f t="shared" si="66"/>
        <v>0</v>
      </c>
      <c r="J288" s="631"/>
      <c r="K288" s="21">
        <f t="shared" si="67"/>
        <v>1</v>
      </c>
      <c r="L288" s="631"/>
      <c r="M288" s="21">
        <f t="shared" si="68"/>
        <v>1</v>
      </c>
      <c r="N288" s="631"/>
      <c r="O288" s="21">
        <f t="shared" si="69"/>
        <v>0</v>
      </c>
      <c r="P288" s="631"/>
      <c r="Q288" s="21">
        <f t="shared" si="70"/>
        <v>0</v>
      </c>
      <c r="R288" s="21">
        <f t="shared" si="71"/>
        <v>0</v>
      </c>
      <c r="S288" s="308">
        <f t="shared" ref="S288:S321" si="72">ROUND(R288*B288/10000,0)</f>
        <v>0</v>
      </c>
    </row>
    <row r="289" spans="1:19">
      <c r="A289" s="142"/>
      <c r="B289" s="52"/>
      <c r="C289" s="21">
        <f t="shared" si="63"/>
        <v>1</v>
      </c>
      <c r="D289" s="631"/>
      <c r="E289" s="21">
        <f t="shared" si="64"/>
        <v>0.06</v>
      </c>
      <c r="F289" s="631"/>
      <c r="G289" s="21">
        <f t="shared" si="65"/>
        <v>1</v>
      </c>
      <c r="H289" s="631"/>
      <c r="I289" s="21">
        <f t="shared" si="66"/>
        <v>0</v>
      </c>
      <c r="J289" s="631"/>
      <c r="K289" s="21">
        <f t="shared" si="67"/>
        <v>1</v>
      </c>
      <c r="L289" s="631"/>
      <c r="M289" s="21">
        <f t="shared" si="68"/>
        <v>1</v>
      </c>
      <c r="N289" s="631"/>
      <c r="O289" s="21">
        <f t="shared" si="69"/>
        <v>0</v>
      </c>
      <c r="P289" s="631"/>
      <c r="Q289" s="21">
        <f t="shared" si="70"/>
        <v>0</v>
      </c>
      <c r="R289" s="21">
        <f t="shared" si="71"/>
        <v>0</v>
      </c>
      <c r="S289" s="308">
        <f t="shared" si="72"/>
        <v>0</v>
      </c>
    </row>
    <row r="290" spans="1:19">
      <c r="A290" s="142"/>
      <c r="B290" s="52"/>
      <c r="C290" s="21">
        <f t="shared" si="63"/>
        <v>1</v>
      </c>
      <c r="D290" s="631"/>
      <c r="E290" s="21">
        <f t="shared" si="64"/>
        <v>0.06</v>
      </c>
      <c r="F290" s="631"/>
      <c r="G290" s="21">
        <f t="shared" si="65"/>
        <v>1</v>
      </c>
      <c r="H290" s="631"/>
      <c r="I290" s="21">
        <f t="shared" si="66"/>
        <v>0</v>
      </c>
      <c r="J290" s="631"/>
      <c r="K290" s="21">
        <f t="shared" si="67"/>
        <v>1</v>
      </c>
      <c r="L290" s="631"/>
      <c r="M290" s="21">
        <f t="shared" si="68"/>
        <v>1</v>
      </c>
      <c r="N290" s="631"/>
      <c r="O290" s="21">
        <f t="shared" si="69"/>
        <v>0</v>
      </c>
      <c r="P290" s="631"/>
      <c r="Q290" s="21">
        <f t="shared" si="70"/>
        <v>0</v>
      </c>
      <c r="R290" s="21">
        <f t="shared" si="71"/>
        <v>0</v>
      </c>
      <c r="S290" s="308">
        <f t="shared" si="72"/>
        <v>0</v>
      </c>
    </row>
    <row r="291" spans="1:19">
      <c r="A291" s="142"/>
      <c r="B291" s="52"/>
      <c r="C291" s="21">
        <f t="shared" si="63"/>
        <v>1</v>
      </c>
      <c r="D291" s="631"/>
      <c r="E291" s="21">
        <f t="shared" si="64"/>
        <v>0.06</v>
      </c>
      <c r="F291" s="631"/>
      <c r="G291" s="21">
        <f t="shared" si="65"/>
        <v>1</v>
      </c>
      <c r="H291" s="631"/>
      <c r="I291" s="21">
        <f t="shared" si="66"/>
        <v>0</v>
      </c>
      <c r="J291" s="631"/>
      <c r="K291" s="21">
        <f t="shared" si="67"/>
        <v>1</v>
      </c>
      <c r="L291" s="631"/>
      <c r="M291" s="21">
        <f t="shared" si="68"/>
        <v>1</v>
      </c>
      <c r="N291" s="631"/>
      <c r="O291" s="21">
        <f t="shared" si="69"/>
        <v>0</v>
      </c>
      <c r="P291" s="631"/>
      <c r="Q291" s="21">
        <f t="shared" si="70"/>
        <v>0</v>
      </c>
      <c r="R291" s="21">
        <f t="shared" si="71"/>
        <v>0</v>
      </c>
      <c r="S291" s="308">
        <f t="shared" si="72"/>
        <v>0</v>
      </c>
    </row>
    <row r="292" spans="1:19">
      <c r="A292" s="142"/>
      <c r="B292" s="52"/>
      <c r="C292" s="21">
        <f t="shared" si="63"/>
        <v>1</v>
      </c>
      <c r="D292" s="631"/>
      <c r="E292" s="21">
        <f t="shared" si="64"/>
        <v>0.06</v>
      </c>
      <c r="F292" s="631"/>
      <c r="G292" s="21">
        <f t="shared" si="65"/>
        <v>1</v>
      </c>
      <c r="H292" s="631"/>
      <c r="I292" s="21">
        <f t="shared" si="66"/>
        <v>0</v>
      </c>
      <c r="J292" s="631"/>
      <c r="K292" s="21">
        <f t="shared" si="67"/>
        <v>1</v>
      </c>
      <c r="L292" s="631"/>
      <c r="M292" s="21">
        <f t="shared" si="68"/>
        <v>1</v>
      </c>
      <c r="N292" s="631"/>
      <c r="O292" s="21">
        <f t="shared" si="69"/>
        <v>0</v>
      </c>
      <c r="P292" s="631"/>
      <c r="Q292" s="21">
        <f t="shared" si="70"/>
        <v>0</v>
      </c>
      <c r="R292" s="21">
        <f t="shared" si="71"/>
        <v>0</v>
      </c>
      <c r="S292" s="308">
        <f t="shared" si="72"/>
        <v>0</v>
      </c>
    </row>
    <row r="293" spans="1:19">
      <c r="A293" s="142"/>
      <c r="B293" s="52"/>
      <c r="C293" s="21">
        <f t="shared" si="63"/>
        <v>1</v>
      </c>
      <c r="D293" s="631"/>
      <c r="E293" s="21">
        <f t="shared" si="64"/>
        <v>0.06</v>
      </c>
      <c r="F293" s="631"/>
      <c r="G293" s="21">
        <f t="shared" si="65"/>
        <v>1</v>
      </c>
      <c r="H293" s="631"/>
      <c r="I293" s="21">
        <f t="shared" si="66"/>
        <v>0</v>
      </c>
      <c r="J293" s="631"/>
      <c r="K293" s="21">
        <f t="shared" si="67"/>
        <v>1</v>
      </c>
      <c r="L293" s="631"/>
      <c r="M293" s="21">
        <f t="shared" si="68"/>
        <v>1</v>
      </c>
      <c r="N293" s="631"/>
      <c r="O293" s="21">
        <f t="shared" si="69"/>
        <v>0</v>
      </c>
      <c r="P293" s="631"/>
      <c r="Q293" s="21">
        <f t="shared" si="70"/>
        <v>0</v>
      </c>
      <c r="R293" s="21">
        <f t="shared" si="71"/>
        <v>0</v>
      </c>
      <c r="S293" s="308">
        <f t="shared" si="72"/>
        <v>0</v>
      </c>
    </row>
    <row r="294" spans="1:19">
      <c r="A294" s="142"/>
      <c r="B294" s="52"/>
      <c r="C294" s="21">
        <f t="shared" si="63"/>
        <v>1</v>
      </c>
      <c r="D294" s="631"/>
      <c r="E294" s="21">
        <f t="shared" si="64"/>
        <v>0.06</v>
      </c>
      <c r="F294" s="631"/>
      <c r="G294" s="21">
        <f t="shared" si="65"/>
        <v>1</v>
      </c>
      <c r="H294" s="631"/>
      <c r="I294" s="21">
        <f t="shared" si="66"/>
        <v>0</v>
      </c>
      <c r="J294" s="631"/>
      <c r="K294" s="21">
        <f t="shared" si="67"/>
        <v>1</v>
      </c>
      <c r="L294" s="631"/>
      <c r="M294" s="21">
        <f t="shared" si="68"/>
        <v>1</v>
      </c>
      <c r="N294" s="631"/>
      <c r="O294" s="21">
        <f t="shared" si="69"/>
        <v>0</v>
      </c>
      <c r="P294" s="631"/>
      <c r="Q294" s="21">
        <f t="shared" si="70"/>
        <v>0</v>
      </c>
      <c r="R294" s="21">
        <f t="shared" si="71"/>
        <v>0</v>
      </c>
      <c r="S294" s="308">
        <f t="shared" si="72"/>
        <v>0</v>
      </c>
    </row>
    <row r="295" spans="1:19">
      <c r="A295" s="142"/>
      <c r="B295" s="52"/>
      <c r="C295" s="21">
        <f t="shared" si="63"/>
        <v>1</v>
      </c>
      <c r="D295" s="631"/>
      <c r="E295" s="21">
        <f t="shared" si="64"/>
        <v>0.06</v>
      </c>
      <c r="F295" s="631"/>
      <c r="G295" s="21">
        <f t="shared" si="65"/>
        <v>1</v>
      </c>
      <c r="H295" s="631"/>
      <c r="I295" s="21">
        <f t="shared" si="66"/>
        <v>0</v>
      </c>
      <c r="J295" s="631"/>
      <c r="K295" s="21">
        <f t="shared" si="67"/>
        <v>1</v>
      </c>
      <c r="L295" s="631"/>
      <c r="M295" s="21">
        <f t="shared" si="68"/>
        <v>1</v>
      </c>
      <c r="N295" s="631"/>
      <c r="O295" s="21">
        <f t="shared" si="69"/>
        <v>0</v>
      </c>
      <c r="P295" s="631"/>
      <c r="Q295" s="21">
        <f t="shared" si="70"/>
        <v>0</v>
      </c>
      <c r="R295" s="21">
        <f t="shared" si="71"/>
        <v>0</v>
      </c>
      <c r="S295" s="308">
        <f t="shared" si="72"/>
        <v>0</v>
      </c>
    </row>
    <row r="296" spans="1:19">
      <c r="A296" s="142"/>
      <c r="B296" s="52"/>
      <c r="C296" s="21">
        <f t="shared" si="63"/>
        <v>1</v>
      </c>
      <c r="D296" s="631"/>
      <c r="E296" s="21">
        <f t="shared" si="64"/>
        <v>0.06</v>
      </c>
      <c r="F296" s="631"/>
      <c r="G296" s="21">
        <f t="shared" si="65"/>
        <v>1</v>
      </c>
      <c r="H296" s="631"/>
      <c r="I296" s="21">
        <f t="shared" si="66"/>
        <v>0</v>
      </c>
      <c r="J296" s="631"/>
      <c r="K296" s="21">
        <f t="shared" si="67"/>
        <v>1</v>
      </c>
      <c r="L296" s="631"/>
      <c r="M296" s="21">
        <f t="shared" si="68"/>
        <v>1</v>
      </c>
      <c r="N296" s="631"/>
      <c r="O296" s="21">
        <f t="shared" si="69"/>
        <v>0</v>
      </c>
      <c r="P296" s="631"/>
      <c r="Q296" s="21">
        <f t="shared" si="70"/>
        <v>0</v>
      </c>
      <c r="R296" s="21">
        <f t="shared" si="71"/>
        <v>0</v>
      </c>
      <c r="S296" s="308">
        <f t="shared" si="72"/>
        <v>0</v>
      </c>
    </row>
    <row r="297" spans="1:19">
      <c r="A297" s="142"/>
      <c r="B297" s="52"/>
      <c r="C297" s="21">
        <f t="shared" si="63"/>
        <v>1</v>
      </c>
      <c r="D297" s="631"/>
      <c r="E297" s="21">
        <f t="shared" si="64"/>
        <v>0.06</v>
      </c>
      <c r="F297" s="631"/>
      <c r="G297" s="21">
        <f t="shared" si="65"/>
        <v>1</v>
      </c>
      <c r="H297" s="631"/>
      <c r="I297" s="21">
        <f t="shared" si="66"/>
        <v>0</v>
      </c>
      <c r="J297" s="631"/>
      <c r="K297" s="21">
        <f t="shared" si="67"/>
        <v>1</v>
      </c>
      <c r="L297" s="631"/>
      <c r="M297" s="21">
        <f t="shared" si="68"/>
        <v>1</v>
      </c>
      <c r="N297" s="631"/>
      <c r="O297" s="21">
        <f t="shared" si="69"/>
        <v>0</v>
      </c>
      <c r="P297" s="631"/>
      <c r="Q297" s="21">
        <f t="shared" si="70"/>
        <v>0</v>
      </c>
      <c r="R297" s="21">
        <f t="shared" si="71"/>
        <v>0</v>
      </c>
      <c r="S297" s="308">
        <f t="shared" si="72"/>
        <v>0</v>
      </c>
    </row>
    <row r="298" spans="1:19">
      <c r="A298" s="142"/>
      <c r="B298" s="52"/>
      <c r="C298" s="21">
        <f t="shared" si="63"/>
        <v>1</v>
      </c>
      <c r="D298" s="631"/>
      <c r="E298" s="21">
        <f t="shared" si="64"/>
        <v>0.06</v>
      </c>
      <c r="F298" s="631"/>
      <c r="G298" s="21">
        <f t="shared" si="65"/>
        <v>1</v>
      </c>
      <c r="H298" s="631"/>
      <c r="I298" s="21">
        <f t="shared" si="66"/>
        <v>0</v>
      </c>
      <c r="J298" s="631"/>
      <c r="K298" s="21">
        <f t="shared" si="67"/>
        <v>1</v>
      </c>
      <c r="L298" s="631"/>
      <c r="M298" s="21">
        <f t="shared" si="68"/>
        <v>1</v>
      </c>
      <c r="N298" s="631"/>
      <c r="O298" s="21">
        <f t="shared" si="69"/>
        <v>0</v>
      </c>
      <c r="P298" s="631"/>
      <c r="Q298" s="21">
        <f t="shared" si="70"/>
        <v>0</v>
      </c>
      <c r="R298" s="21">
        <f t="shared" si="71"/>
        <v>0</v>
      </c>
      <c r="S298" s="308">
        <f t="shared" si="72"/>
        <v>0</v>
      </c>
    </row>
    <row r="299" spans="1:19">
      <c r="A299" s="142"/>
      <c r="B299" s="52"/>
      <c r="C299" s="21">
        <f t="shared" si="63"/>
        <v>1</v>
      </c>
      <c r="D299" s="631"/>
      <c r="E299" s="21">
        <f t="shared" si="64"/>
        <v>0.06</v>
      </c>
      <c r="F299" s="631"/>
      <c r="G299" s="21">
        <f t="shared" si="65"/>
        <v>1</v>
      </c>
      <c r="H299" s="631"/>
      <c r="I299" s="21">
        <f t="shared" si="66"/>
        <v>0</v>
      </c>
      <c r="J299" s="631"/>
      <c r="K299" s="21">
        <f t="shared" si="67"/>
        <v>1</v>
      </c>
      <c r="L299" s="631"/>
      <c r="M299" s="21">
        <f t="shared" si="68"/>
        <v>1</v>
      </c>
      <c r="N299" s="631"/>
      <c r="O299" s="21">
        <f t="shared" si="69"/>
        <v>0</v>
      </c>
      <c r="P299" s="631"/>
      <c r="Q299" s="21">
        <f t="shared" si="70"/>
        <v>0</v>
      </c>
      <c r="R299" s="21">
        <f t="shared" si="71"/>
        <v>0</v>
      </c>
      <c r="S299" s="308">
        <f t="shared" si="72"/>
        <v>0</v>
      </c>
    </row>
    <row r="300" spans="1:19">
      <c r="A300" s="142"/>
      <c r="B300" s="52"/>
      <c r="C300" s="21">
        <f t="shared" si="63"/>
        <v>1</v>
      </c>
      <c r="D300" s="631"/>
      <c r="E300" s="21">
        <f t="shared" si="64"/>
        <v>0.06</v>
      </c>
      <c r="F300" s="631"/>
      <c r="G300" s="21">
        <f t="shared" si="65"/>
        <v>1</v>
      </c>
      <c r="H300" s="631"/>
      <c r="I300" s="21">
        <f t="shared" si="66"/>
        <v>0</v>
      </c>
      <c r="J300" s="631"/>
      <c r="K300" s="21">
        <f t="shared" si="67"/>
        <v>1</v>
      </c>
      <c r="L300" s="631"/>
      <c r="M300" s="21">
        <f t="shared" si="68"/>
        <v>1</v>
      </c>
      <c r="N300" s="631"/>
      <c r="O300" s="21">
        <f t="shared" si="69"/>
        <v>0</v>
      </c>
      <c r="P300" s="631"/>
      <c r="Q300" s="21">
        <f t="shared" si="70"/>
        <v>0</v>
      </c>
      <c r="R300" s="21">
        <f t="shared" si="71"/>
        <v>0</v>
      </c>
      <c r="S300" s="308">
        <f t="shared" si="72"/>
        <v>0</v>
      </c>
    </row>
    <row r="301" spans="1:19">
      <c r="A301" s="142"/>
      <c r="B301" s="52"/>
      <c r="C301" s="21">
        <f t="shared" si="63"/>
        <v>1</v>
      </c>
      <c r="D301" s="631"/>
      <c r="E301" s="21">
        <f t="shared" si="64"/>
        <v>0.06</v>
      </c>
      <c r="F301" s="631"/>
      <c r="G301" s="21">
        <f t="shared" si="65"/>
        <v>1</v>
      </c>
      <c r="H301" s="631"/>
      <c r="I301" s="21">
        <f t="shared" si="66"/>
        <v>0</v>
      </c>
      <c r="J301" s="631"/>
      <c r="K301" s="21">
        <f t="shared" si="67"/>
        <v>1</v>
      </c>
      <c r="L301" s="631"/>
      <c r="M301" s="21">
        <f t="shared" si="68"/>
        <v>1</v>
      </c>
      <c r="N301" s="631"/>
      <c r="O301" s="21">
        <f t="shared" si="69"/>
        <v>0</v>
      </c>
      <c r="P301" s="631"/>
      <c r="Q301" s="21">
        <f t="shared" si="70"/>
        <v>0</v>
      </c>
      <c r="R301" s="21">
        <f t="shared" si="71"/>
        <v>0</v>
      </c>
      <c r="S301" s="308">
        <f t="shared" si="72"/>
        <v>0</v>
      </c>
    </row>
    <row r="302" spans="1:19">
      <c r="A302" s="142"/>
      <c r="B302" s="52"/>
      <c r="C302" s="21">
        <f t="shared" si="63"/>
        <v>1</v>
      </c>
      <c r="D302" s="631"/>
      <c r="E302" s="21">
        <f t="shared" si="64"/>
        <v>0.06</v>
      </c>
      <c r="F302" s="631"/>
      <c r="G302" s="21">
        <f t="shared" si="65"/>
        <v>1</v>
      </c>
      <c r="H302" s="631"/>
      <c r="I302" s="21">
        <f t="shared" si="66"/>
        <v>0</v>
      </c>
      <c r="J302" s="631"/>
      <c r="K302" s="21">
        <f t="shared" si="67"/>
        <v>1</v>
      </c>
      <c r="L302" s="631"/>
      <c r="M302" s="21">
        <f t="shared" si="68"/>
        <v>1</v>
      </c>
      <c r="N302" s="631"/>
      <c r="O302" s="21">
        <f t="shared" si="69"/>
        <v>0</v>
      </c>
      <c r="P302" s="631"/>
      <c r="Q302" s="21">
        <f t="shared" si="70"/>
        <v>0</v>
      </c>
      <c r="R302" s="21">
        <f t="shared" si="71"/>
        <v>0</v>
      </c>
      <c r="S302" s="308">
        <f t="shared" si="72"/>
        <v>0</v>
      </c>
    </row>
    <row r="303" spans="1:19">
      <c r="A303" s="142"/>
      <c r="B303" s="52"/>
      <c r="C303" s="21">
        <f t="shared" si="63"/>
        <v>1</v>
      </c>
      <c r="D303" s="631"/>
      <c r="E303" s="21">
        <f t="shared" si="64"/>
        <v>0.06</v>
      </c>
      <c r="F303" s="631"/>
      <c r="G303" s="21">
        <f t="shared" si="65"/>
        <v>1</v>
      </c>
      <c r="H303" s="631"/>
      <c r="I303" s="21">
        <f t="shared" si="66"/>
        <v>0</v>
      </c>
      <c r="J303" s="631"/>
      <c r="K303" s="21">
        <f t="shared" si="67"/>
        <v>1</v>
      </c>
      <c r="L303" s="631"/>
      <c r="M303" s="21">
        <f t="shared" si="68"/>
        <v>1</v>
      </c>
      <c r="N303" s="631"/>
      <c r="O303" s="21">
        <f t="shared" si="69"/>
        <v>0</v>
      </c>
      <c r="P303" s="631"/>
      <c r="Q303" s="21">
        <f t="shared" si="70"/>
        <v>0</v>
      </c>
      <c r="R303" s="21">
        <f t="shared" si="71"/>
        <v>0</v>
      </c>
      <c r="S303" s="308">
        <f t="shared" si="72"/>
        <v>0</v>
      </c>
    </row>
    <row r="304" spans="1:19">
      <c r="A304" s="142"/>
      <c r="B304" s="52"/>
      <c r="C304" s="21">
        <f t="shared" si="63"/>
        <v>1</v>
      </c>
      <c r="D304" s="631"/>
      <c r="E304" s="21">
        <f t="shared" si="64"/>
        <v>0.06</v>
      </c>
      <c r="F304" s="631"/>
      <c r="G304" s="21">
        <f t="shared" si="65"/>
        <v>1</v>
      </c>
      <c r="H304" s="631"/>
      <c r="I304" s="21">
        <f t="shared" si="66"/>
        <v>0</v>
      </c>
      <c r="J304" s="631"/>
      <c r="K304" s="21">
        <f t="shared" si="67"/>
        <v>1</v>
      </c>
      <c r="L304" s="631"/>
      <c r="M304" s="21">
        <f t="shared" si="68"/>
        <v>1</v>
      </c>
      <c r="N304" s="631"/>
      <c r="O304" s="21">
        <f t="shared" si="69"/>
        <v>0</v>
      </c>
      <c r="P304" s="631"/>
      <c r="Q304" s="21">
        <f t="shared" si="70"/>
        <v>0</v>
      </c>
      <c r="R304" s="21">
        <f t="shared" si="71"/>
        <v>0</v>
      </c>
      <c r="S304" s="308">
        <f t="shared" si="72"/>
        <v>0</v>
      </c>
    </row>
    <row r="305" spans="1:19">
      <c r="A305" s="142"/>
      <c r="B305" s="52"/>
      <c r="C305" s="21">
        <f t="shared" si="63"/>
        <v>1</v>
      </c>
      <c r="D305" s="631"/>
      <c r="E305" s="21">
        <f t="shared" si="64"/>
        <v>0.06</v>
      </c>
      <c r="F305" s="631"/>
      <c r="G305" s="21">
        <f t="shared" si="65"/>
        <v>1</v>
      </c>
      <c r="H305" s="631"/>
      <c r="I305" s="21">
        <f t="shared" si="66"/>
        <v>0</v>
      </c>
      <c r="J305" s="631"/>
      <c r="K305" s="21">
        <f t="shared" si="67"/>
        <v>1</v>
      </c>
      <c r="L305" s="631"/>
      <c r="M305" s="21">
        <f t="shared" si="68"/>
        <v>1</v>
      </c>
      <c r="N305" s="631"/>
      <c r="O305" s="21">
        <f t="shared" si="69"/>
        <v>0</v>
      </c>
      <c r="P305" s="631"/>
      <c r="Q305" s="21">
        <f t="shared" si="70"/>
        <v>0</v>
      </c>
      <c r="R305" s="21">
        <f t="shared" si="71"/>
        <v>0</v>
      </c>
      <c r="S305" s="308">
        <f t="shared" si="72"/>
        <v>0</v>
      </c>
    </row>
    <row r="306" spans="1:19">
      <c r="A306" s="142"/>
      <c r="B306" s="52"/>
      <c r="C306" s="21">
        <f t="shared" si="63"/>
        <v>1</v>
      </c>
      <c r="D306" s="631"/>
      <c r="E306" s="21">
        <f t="shared" si="64"/>
        <v>0.06</v>
      </c>
      <c r="F306" s="631"/>
      <c r="G306" s="21">
        <f t="shared" si="65"/>
        <v>1</v>
      </c>
      <c r="H306" s="631"/>
      <c r="I306" s="21">
        <f t="shared" si="66"/>
        <v>0</v>
      </c>
      <c r="J306" s="631"/>
      <c r="K306" s="21">
        <f t="shared" si="67"/>
        <v>1</v>
      </c>
      <c r="L306" s="631"/>
      <c r="M306" s="21">
        <f t="shared" si="68"/>
        <v>1</v>
      </c>
      <c r="N306" s="631"/>
      <c r="O306" s="21">
        <f t="shared" si="69"/>
        <v>0</v>
      </c>
      <c r="P306" s="631"/>
      <c r="Q306" s="21">
        <f t="shared" si="70"/>
        <v>0</v>
      </c>
      <c r="R306" s="21">
        <f t="shared" si="71"/>
        <v>0</v>
      </c>
      <c r="S306" s="308">
        <f t="shared" si="72"/>
        <v>0</v>
      </c>
    </row>
    <row r="307" spans="1:19">
      <c r="A307" s="142"/>
      <c r="B307" s="52"/>
      <c r="C307" s="21">
        <f t="shared" si="63"/>
        <v>1</v>
      </c>
      <c r="D307" s="631"/>
      <c r="E307" s="21">
        <f t="shared" si="64"/>
        <v>0.06</v>
      </c>
      <c r="F307" s="631"/>
      <c r="G307" s="21">
        <f t="shared" si="65"/>
        <v>1</v>
      </c>
      <c r="H307" s="631"/>
      <c r="I307" s="21">
        <f t="shared" si="66"/>
        <v>0</v>
      </c>
      <c r="J307" s="631"/>
      <c r="K307" s="21">
        <f t="shared" si="67"/>
        <v>1</v>
      </c>
      <c r="L307" s="631"/>
      <c r="M307" s="21">
        <f t="shared" si="68"/>
        <v>1</v>
      </c>
      <c r="N307" s="631"/>
      <c r="O307" s="21">
        <f t="shared" si="69"/>
        <v>0</v>
      </c>
      <c r="P307" s="631"/>
      <c r="Q307" s="21">
        <f t="shared" si="70"/>
        <v>0</v>
      </c>
      <c r="R307" s="21">
        <f t="shared" si="71"/>
        <v>0</v>
      </c>
      <c r="S307" s="308">
        <f t="shared" si="72"/>
        <v>0</v>
      </c>
    </row>
    <row r="308" spans="1:19">
      <c r="A308" s="142"/>
      <c r="B308" s="52"/>
      <c r="C308" s="21">
        <f t="shared" si="63"/>
        <v>1</v>
      </c>
      <c r="D308" s="631"/>
      <c r="E308" s="21">
        <f t="shared" si="64"/>
        <v>0.06</v>
      </c>
      <c r="F308" s="631"/>
      <c r="G308" s="21">
        <f t="shared" si="65"/>
        <v>1</v>
      </c>
      <c r="H308" s="631"/>
      <c r="I308" s="21">
        <f t="shared" si="66"/>
        <v>0</v>
      </c>
      <c r="J308" s="631"/>
      <c r="K308" s="21">
        <f t="shared" si="67"/>
        <v>1</v>
      </c>
      <c r="L308" s="631"/>
      <c r="M308" s="21">
        <f t="shared" si="68"/>
        <v>1</v>
      </c>
      <c r="N308" s="631"/>
      <c r="O308" s="21">
        <f t="shared" si="69"/>
        <v>0</v>
      </c>
      <c r="P308" s="631"/>
      <c r="Q308" s="21">
        <f t="shared" si="70"/>
        <v>0</v>
      </c>
      <c r="R308" s="21">
        <f t="shared" si="71"/>
        <v>0</v>
      </c>
      <c r="S308" s="308">
        <f t="shared" si="72"/>
        <v>0</v>
      </c>
    </row>
    <row r="309" spans="1:19">
      <c r="A309" s="142"/>
      <c r="B309" s="52"/>
      <c r="C309" s="21">
        <f t="shared" si="63"/>
        <v>1</v>
      </c>
      <c r="D309" s="631"/>
      <c r="E309" s="21">
        <f t="shared" si="64"/>
        <v>0.06</v>
      </c>
      <c r="F309" s="631"/>
      <c r="G309" s="21">
        <f t="shared" si="65"/>
        <v>1</v>
      </c>
      <c r="H309" s="631"/>
      <c r="I309" s="21">
        <f t="shared" si="66"/>
        <v>0</v>
      </c>
      <c r="J309" s="631"/>
      <c r="K309" s="21">
        <f t="shared" si="67"/>
        <v>1</v>
      </c>
      <c r="L309" s="631"/>
      <c r="M309" s="21">
        <f t="shared" si="68"/>
        <v>1</v>
      </c>
      <c r="N309" s="631"/>
      <c r="O309" s="21">
        <f t="shared" si="69"/>
        <v>0</v>
      </c>
      <c r="P309" s="631"/>
      <c r="Q309" s="21">
        <f t="shared" si="70"/>
        <v>0</v>
      </c>
      <c r="R309" s="21">
        <f t="shared" si="71"/>
        <v>0</v>
      </c>
      <c r="S309" s="308">
        <f t="shared" si="72"/>
        <v>0</v>
      </c>
    </row>
    <row r="310" spans="1:19">
      <c r="A310" s="142"/>
      <c r="B310" s="52"/>
      <c r="C310" s="21">
        <f t="shared" si="63"/>
        <v>1</v>
      </c>
      <c r="D310" s="631"/>
      <c r="E310" s="21">
        <f t="shared" si="64"/>
        <v>0.06</v>
      </c>
      <c r="F310" s="631"/>
      <c r="G310" s="21">
        <f t="shared" si="65"/>
        <v>1</v>
      </c>
      <c r="H310" s="631"/>
      <c r="I310" s="21">
        <f t="shared" si="66"/>
        <v>0</v>
      </c>
      <c r="J310" s="631"/>
      <c r="K310" s="21">
        <f t="shared" si="67"/>
        <v>1</v>
      </c>
      <c r="L310" s="631"/>
      <c r="M310" s="21">
        <f t="shared" si="68"/>
        <v>1</v>
      </c>
      <c r="N310" s="631"/>
      <c r="O310" s="21">
        <f t="shared" si="69"/>
        <v>0</v>
      </c>
      <c r="P310" s="631"/>
      <c r="Q310" s="21">
        <f t="shared" si="70"/>
        <v>0</v>
      </c>
      <c r="R310" s="21">
        <f t="shared" si="71"/>
        <v>0</v>
      </c>
      <c r="S310" s="308">
        <f t="shared" si="72"/>
        <v>0</v>
      </c>
    </row>
    <row r="311" spans="1:19">
      <c r="A311" s="142"/>
      <c r="B311" s="52"/>
      <c r="C311" s="21">
        <f t="shared" si="63"/>
        <v>1</v>
      </c>
      <c r="D311" s="631"/>
      <c r="E311" s="21">
        <f t="shared" si="64"/>
        <v>0.06</v>
      </c>
      <c r="F311" s="631"/>
      <c r="G311" s="21">
        <f t="shared" si="65"/>
        <v>1</v>
      </c>
      <c r="H311" s="631"/>
      <c r="I311" s="21">
        <f t="shared" si="66"/>
        <v>0</v>
      </c>
      <c r="J311" s="631"/>
      <c r="K311" s="21">
        <f t="shared" si="67"/>
        <v>1</v>
      </c>
      <c r="L311" s="631"/>
      <c r="M311" s="21">
        <f t="shared" si="68"/>
        <v>1</v>
      </c>
      <c r="N311" s="631"/>
      <c r="O311" s="21">
        <f t="shared" si="69"/>
        <v>0</v>
      </c>
      <c r="P311" s="631"/>
      <c r="Q311" s="21">
        <f t="shared" si="70"/>
        <v>0</v>
      </c>
      <c r="R311" s="21">
        <f t="shared" si="71"/>
        <v>0</v>
      </c>
      <c r="S311" s="308">
        <f t="shared" si="72"/>
        <v>0</v>
      </c>
    </row>
    <row r="312" spans="1:19">
      <c r="A312" s="142"/>
      <c r="B312" s="52"/>
      <c r="C312" s="21">
        <f t="shared" si="63"/>
        <v>1</v>
      </c>
      <c r="D312" s="631"/>
      <c r="E312" s="21">
        <f t="shared" si="64"/>
        <v>0.06</v>
      </c>
      <c r="F312" s="631"/>
      <c r="G312" s="21">
        <f t="shared" si="65"/>
        <v>1</v>
      </c>
      <c r="H312" s="631"/>
      <c r="I312" s="21">
        <f t="shared" si="66"/>
        <v>0</v>
      </c>
      <c r="J312" s="631"/>
      <c r="K312" s="21">
        <f t="shared" si="67"/>
        <v>1</v>
      </c>
      <c r="L312" s="631"/>
      <c r="M312" s="21">
        <f t="shared" si="68"/>
        <v>1</v>
      </c>
      <c r="N312" s="631"/>
      <c r="O312" s="21">
        <f t="shared" si="69"/>
        <v>0</v>
      </c>
      <c r="P312" s="631"/>
      <c r="Q312" s="21">
        <f t="shared" si="70"/>
        <v>0</v>
      </c>
      <c r="R312" s="21">
        <f t="shared" si="71"/>
        <v>0</v>
      </c>
      <c r="S312" s="308">
        <f t="shared" si="72"/>
        <v>0</v>
      </c>
    </row>
    <row r="313" spans="1:19">
      <c r="A313" s="142"/>
      <c r="B313" s="52"/>
      <c r="C313" s="21">
        <f t="shared" si="63"/>
        <v>1</v>
      </c>
      <c r="D313" s="631"/>
      <c r="E313" s="21">
        <f t="shared" si="64"/>
        <v>0.06</v>
      </c>
      <c r="F313" s="631"/>
      <c r="G313" s="21">
        <f t="shared" si="65"/>
        <v>1</v>
      </c>
      <c r="H313" s="631"/>
      <c r="I313" s="21">
        <f t="shared" si="66"/>
        <v>0</v>
      </c>
      <c r="J313" s="631"/>
      <c r="K313" s="21">
        <f t="shared" si="67"/>
        <v>1</v>
      </c>
      <c r="L313" s="631"/>
      <c r="M313" s="21">
        <f t="shared" si="68"/>
        <v>1</v>
      </c>
      <c r="N313" s="631"/>
      <c r="O313" s="21">
        <f t="shared" si="69"/>
        <v>0</v>
      </c>
      <c r="P313" s="631"/>
      <c r="Q313" s="21">
        <f t="shared" si="70"/>
        <v>0</v>
      </c>
      <c r="R313" s="21">
        <f t="shared" si="71"/>
        <v>0</v>
      </c>
      <c r="S313" s="308">
        <f t="shared" si="72"/>
        <v>0</v>
      </c>
    </row>
    <row r="314" spans="1:19">
      <c r="A314" s="142"/>
      <c r="B314" s="52"/>
      <c r="C314" s="21">
        <f t="shared" si="63"/>
        <v>1</v>
      </c>
      <c r="D314" s="631"/>
      <c r="E314" s="21">
        <f t="shared" si="64"/>
        <v>0.06</v>
      </c>
      <c r="F314" s="631"/>
      <c r="G314" s="21">
        <f t="shared" si="65"/>
        <v>1</v>
      </c>
      <c r="H314" s="631"/>
      <c r="I314" s="21">
        <f t="shared" si="66"/>
        <v>0</v>
      </c>
      <c r="J314" s="631"/>
      <c r="K314" s="21">
        <f t="shared" si="67"/>
        <v>1</v>
      </c>
      <c r="L314" s="631"/>
      <c r="M314" s="21">
        <f t="shared" si="68"/>
        <v>1</v>
      </c>
      <c r="N314" s="631"/>
      <c r="O314" s="21">
        <f t="shared" si="69"/>
        <v>0</v>
      </c>
      <c r="P314" s="631"/>
      <c r="Q314" s="21">
        <f t="shared" si="70"/>
        <v>0</v>
      </c>
      <c r="R314" s="21">
        <f t="shared" si="71"/>
        <v>0</v>
      </c>
      <c r="S314" s="308">
        <f t="shared" si="72"/>
        <v>0</v>
      </c>
    </row>
    <row r="315" spans="1:19">
      <c r="A315" s="142"/>
      <c r="B315" s="52"/>
      <c r="C315" s="21">
        <f t="shared" si="63"/>
        <v>1</v>
      </c>
      <c r="D315" s="631"/>
      <c r="E315" s="21">
        <f t="shared" si="64"/>
        <v>0.06</v>
      </c>
      <c r="F315" s="631"/>
      <c r="G315" s="21">
        <f t="shared" si="65"/>
        <v>1</v>
      </c>
      <c r="H315" s="631"/>
      <c r="I315" s="21">
        <f t="shared" si="66"/>
        <v>0</v>
      </c>
      <c r="J315" s="631"/>
      <c r="K315" s="21">
        <f t="shared" si="67"/>
        <v>1</v>
      </c>
      <c r="L315" s="631"/>
      <c r="M315" s="21">
        <f t="shared" si="68"/>
        <v>1</v>
      </c>
      <c r="N315" s="631"/>
      <c r="O315" s="21">
        <f t="shared" si="69"/>
        <v>0</v>
      </c>
      <c r="P315" s="631"/>
      <c r="Q315" s="21">
        <f t="shared" si="70"/>
        <v>0</v>
      </c>
      <c r="R315" s="21">
        <f t="shared" si="71"/>
        <v>0</v>
      </c>
      <c r="S315" s="308">
        <f t="shared" si="72"/>
        <v>0</v>
      </c>
    </row>
    <row r="316" spans="1:19">
      <c r="A316" s="142"/>
      <c r="B316" s="52"/>
      <c r="C316" s="21">
        <f t="shared" si="63"/>
        <v>1</v>
      </c>
      <c r="D316" s="631"/>
      <c r="E316" s="21">
        <f t="shared" si="64"/>
        <v>0.06</v>
      </c>
      <c r="F316" s="631"/>
      <c r="G316" s="21">
        <f t="shared" si="65"/>
        <v>1</v>
      </c>
      <c r="H316" s="631"/>
      <c r="I316" s="21">
        <f t="shared" si="66"/>
        <v>0</v>
      </c>
      <c r="J316" s="631"/>
      <c r="K316" s="21">
        <f t="shared" si="67"/>
        <v>1</v>
      </c>
      <c r="L316" s="631"/>
      <c r="M316" s="21">
        <f t="shared" si="68"/>
        <v>1</v>
      </c>
      <c r="N316" s="631"/>
      <c r="O316" s="21">
        <f t="shared" si="69"/>
        <v>0</v>
      </c>
      <c r="P316" s="631"/>
      <c r="Q316" s="21">
        <f t="shared" si="70"/>
        <v>0</v>
      </c>
      <c r="R316" s="21">
        <f t="shared" si="71"/>
        <v>0</v>
      </c>
      <c r="S316" s="308">
        <f t="shared" si="72"/>
        <v>0</v>
      </c>
    </row>
    <row r="317" spans="1:19">
      <c r="A317" s="142"/>
      <c r="B317" s="52"/>
      <c r="C317" s="21">
        <f t="shared" si="63"/>
        <v>1</v>
      </c>
      <c r="D317" s="631"/>
      <c r="E317" s="21">
        <f t="shared" si="64"/>
        <v>0.06</v>
      </c>
      <c r="F317" s="631"/>
      <c r="G317" s="21">
        <f t="shared" si="65"/>
        <v>1</v>
      </c>
      <c r="H317" s="631"/>
      <c r="I317" s="21">
        <f t="shared" si="66"/>
        <v>0</v>
      </c>
      <c r="J317" s="631"/>
      <c r="K317" s="21">
        <f t="shared" si="67"/>
        <v>1</v>
      </c>
      <c r="L317" s="631"/>
      <c r="M317" s="21">
        <f t="shared" si="68"/>
        <v>1</v>
      </c>
      <c r="N317" s="631"/>
      <c r="O317" s="21">
        <f t="shared" si="69"/>
        <v>0</v>
      </c>
      <c r="P317" s="631"/>
      <c r="Q317" s="21">
        <f t="shared" si="70"/>
        <v>0</v>
      </c>
      <c r="R317" s="21">
        <f t="shared" si="71"/>
        <v>0</v>
      </c>
      <c r="S317" s="308">
        <f t="shared" si="72"/>
        <v>0</v>
      </c>
    </row>
    <row r="318" spans="1:19">
      <c r="A318" s="142"/>
      <c r="B318" s="52"/>
      <c r="C318" s="21">
        <f t="shared" si="63"/>
        <v>1</v>
      </c>
      <c r="D318" s="631"/>
      <c r="E318" s="21">
        <f t="shared" si="64"/>
        <v>0.06</v>
      </c>
      <c r="F318" s="631"/>
      <c r="G318" s="21">
        <f t="shared" si="65"/>
        <v>1</v>
      </c>
      <c r="H318" s="631"/>
      <c r="I318" s="21">
        <f t="shared" si="66"/>
        <v>0</v>
      </c>
      <c r="J318" s="631"/>
      <c r="K318" s="21">
        <f t="shared" si="67"/>
        <v>1</v>
      </c>
      <c r="L318" s="631"/>
      <c r="M318" s="21">
        <f t="shared" si="68"/>
        <v>1</v>
      </c>
      <c r="N318" s="631"/>
      <c r="O318" s="21">
        <f t="shared" si="69"/>
        <v>0</v>
      </c>
      <c r="P318" s="631"/>
      <c r="Q318" s="21">
        <f t="shared" si="70"/>
        <v>0</v>
      </c>
      <c r="R318" s="21">
        <f t="shared" si="71"/>
        <v>0</v>
      </c>
      <c r="S318" s="308">
        <f t="shared" si="72"/>
        <v>0</v>
      </c>
    </row>
    <row r="319" spans="1:19">
      <c r="A319" s="142"/>
      <c r="B319" s="52"/>
      <c r="C319" s="21">
        <f t="shared" si="63"/>
        <v>1</v>
      </c>
      <c r="D319" s="631"/>
      <c r="E319" s="21">
        <f t="shared" si="64"/>
        <v>0.06</v>
      </c>
      <c r="F319" s="631"/>
      <c r="G319" s="21">
        <f t="shared" si="65"/>
        <v>1</v>
      </c>
      <c r="H319" s="631"/>
      <c r="I319" s="21">
        <f t="shared" si="66"/>
        <v>0</v>
      </c>
      <c r="J319" s="631"/>
      <c r="K319" s="21">
        <f t="shared" si="67"/>
        <v>1</v>
      </c>
      <c r="L319" s="631"/>
      <c r="M319" s="21">
        <f t="shared" si="68"/>
        <v>1</v>
      </c>
      <c r="N319" s="631"/>
      <c r="O319" s="21">
        <f t="shared" si="69"/>
        <v>0</v>
      </c>
      <c r="P319" s="631"/>
      <c r="Q319" s="21">
        <f t="shared" si="70"/>
        <v>0</v>
      </c>
      <c r="R319" s="21">
        <f t="shared" si="71"/>
        <v>0</v>
      </c>
      <c r="S319" s="308">
        <f t="shared" si="72"/>
        <v>0</v>
      </c>
    </row>
    <row r="320" spans="1:19">
      <c r="A320" s="142"/>
      <c r="B320" s="52"/>
      <c r="C320" s="21">
        <f t="shared" si="63"/>
        <v>1</v>
      </c>
      <c r="D320" s="631"/>
      <c r="E320" s="21">
        <f t="shared" si="64"/>
        <v>0.06</v>
      </c>
      <c r="F320" s="631"/>
      <c r="G320" s="21">
        <f t="shared" si="65"/>
        <v>1</v>
      </c>
      <c r="H320" s="631"/>
      <c r="I320" s="21">
        <f t="shared" si="66"/>
        <v>0</v>
      </c>
      <c r="J320" s="631"/>
      <c r="K320" s="21">
        <f t="shared" si="67"/>
        <v>1</v>
      </c>
      <c r="L320" s="631"/>
      <c r="M320" s="21">
        <f t="shared" si="68"/>
        <v>1</v>
      </c>
      <c r="N320" s="631"/>
      <c r="O320" s="21">
        <f t="shared" si="69"/>
        <v>0</v>
      </c>
      <c r="P320" s="631"/>
      <c r="Q320" s="21">
        <f t="shared" si="70"/>
        <v>0</v>
      </c>
      <c r="R320" s="21">
        <f t="shared" si="71"/>
        <v>0</v>
      </c>
      <c r="S320" s="308">
        <f t="shared" si="72"/>
        <v>0</v>
      </c>
    </row>
    <row r="321" spans="1:19">
      <c r="A321" s="142"/>
      <c r="B321" s="52"/>
      <c r="C321" s="21">
        <f t="shared" si="63"/>
        <v>1</v>
      </c>
      <c r="D321" s="631"/>
      <c r="E321" s="21">
        <f t="shared" si="64"/>
        <v>0.06</v>
      </c>
      <c r="F321" s="631"/>
      <c r="G321" s="21">
        <f t="shared" si="65"/>
        <v>1</v>
      </c>
      <c r="H321" s="631"/>
      <c r="I321" s="21">
        <f t="shared" si="66"/>
        <v>0</v>
      </c>
      <c r="J321" s="631"/>
      <c r="K321" s="21">
        <f t="shared" si="67"/>
        <v>1</v>
      </c>
      <c r="L321" s="631"/>
      <c r="M321" s="21">
        <f t="shared" si="68"/>
        <v>1</v>
      </c>
      <c r="N321" s="631"/>
      <c r="O321" s="21">
        <f t="shared" si="69"/>
        <v>0</v>
      </c>
      <c r="P321" s="631"/>
      <c r="Q321" s="21">
        <f t="shared" si="70"/>
        <v>0</v>
      </c>
      <c r="R321" s="21">
        <f t="shared" si="71"/>
        <v>0</v>
      </c>
      <c r="S321" s="308">
        <f t="shared" si="72"/>
        <v>0</v>
      </c>
    </row>
    <row r="322" spans="1:19">
      <c r="A322" s="142"/>
      <c r="B322" s="52"/>
      <c r="C322" s="21">
        <f t="shared" si="63"/>
        <v>1</v>
      </c>
      <c r="D322" s="631"/>
      <c r="E322" s="21">
        <f t="shared" si="64"/>
        <v>0.06</v>
      </c>
      <c r="F322" s="631"/>
      <c r="G322" s="21">
        <f t="shared" si="65"/>
        <v>1</v>
      </c>
      <c r="H322" s="631"/>
      <c r="I322" s="21">
        <f t="shared" si="66"/>
        <v>0</v>
      </c>
      <c r="J322" s="631"/>
      <c r="K322" s="21">
        <f t="shared" si="67"/>
        <v>1</v>
      </c>
      <c r="L322" s="631"/>
      <c r="M322" s="21">
        <f t="shared" si="68"/>
        <v>1</v>
      </c>
      <c r="N322" s="631"/>
      <c r="O322" s="21">
        <f t="shared" si="69"/>
        <v>0</v>
      </c>
      <c r="P322" s="631"/>
      <c r="Q322" s="21">
        <f t="shared" si="70"/>
        <v>0</v>
      </c>
      <c r="R322" s="21">
        <f t="shared" si="71"/>
        <v>0</v>
      </c>
      <c r="S322" s="308">
        <f t="shared" ref="S322:S385" si="73">ROUND(R322*B322/10000,0)</f>
        <v>0</v>
      </c>
    </row>
    <row r="323" spans="1:19">
      <c r="A323" s="142"/>
      <c r="B323" s="52"/>
      <c r="C323" s="21">
        <f t="shared" si="63"/>
        <v>1</v>
      </c>
      <c r="D323" s="631"/>
      <c r="E323" s="21">
        <f t="shared" si="64"/>
        <v>0.06</v>
      </c>
      <c r="F323" s="631"/>
      <c r="G323" s="21">
        <f t="shared" si="65"/>
        <v>1</v>
      </c>
      <c r="H323" s="631"/>
      <c r="I323" s="21">
        <f t="shared" si="66"/>
        <v>0</v>
      </c>
      <c r="J323" s="631"/>
      <c r="K323" s="21">
        <f t="shared" si="67"/>
        <v>1</v>
      </c>
      <c r="L323" s="631"/>
      <c r="M323" s="21">
        <f t="shared" si="68"/>
        <v>1</v>
      </c>
      <c r="N323" s="631"/>
      <c r="O323" s="21">
        <f t="shared" si="69"/>
        <v>0</v>
      </c>
      <c r="P323" s="631"/>
      <c r="Q323" s="21">
        <f t="shared" si="70"/>
        <v>0</v>
      </c>
      <c r="R323" s="21">
        <f t="shared" si="71"/>
        <v>0</v>
      </c>
      <c r="S323" s="308">
        <f t="shared" si="73"/>
        <v>0</v>
      </c>
    </row>
    <row r="324" spans="1:19">
      <c r="A324" s="142"/>
      <c r="B324" s="52"/>
      <c r="C324" s="21">
        <f t="shared" si="63"/>
        <v>1</v>
      </c>
      <c r="D324" s="631"/>
      <c r="E324" s="21">
        <f t="shared" si="64"/>
        <v>0.06</v>
      </c>
      <c r="F324" s="631"/>
      <c r="G324" s="21">
        <f t="shared" si="65"/>
        <v>1</v>
      </c>
      <c r="H324" s="631"/>
      <c r="I324" s="21">
        <f t="shared" si="66"/>
        <v>0</v>
      </c>
      <c r="J324" s="631"/>
      <c r="K324" s="21">
        <f t="shared" si="67"/>
        <v>1</v>
      </c>
      <c r="L324" s="631"/>
      <c r="M324" s="21">
        <f t="shared" si="68"/>
        <v>1</v>
      </c>
      <c r="N324" s="631"/>
      <c r="O324" s="21">
        <f t="shared" si="69"/>
        <v>0</v>
      </c>
      <c r="P324" s="631"/>
      <c r="Q324" s="21">
        <f t="shared" si="70"/>
        <v>0</v>
      </c>
      <c r="R324" s="21">
        <f t="shared" si="71"/>
        <v>0</v>
      </c>
      <c r="S324" s="308">
        <f t="shared" si="73"/>
        <v>0</v>
      </c>
    </row>
    <row r="325" spans="1:19">
      <c r="A325" s="142"/>
      <c r="B325" s="52"/>
      <c r="C325" s="21">
        <f t="shared" si="63"/>
        <v>1</v>
      </c>
      <c r="D325" s="631"/>
      <c r="E325" s="21">
        <f t="shared" si="64"/>
        <v>0.06</v>
      </c>
      <c r="F325" s="631"/>
      <c r="G325" s="21">
        <f t="shared" si="65"/>
        <v>1</v>
      </c>
      <c r="H325" s="631"/>
      <c r="I325" s="21">
        <f t="shared" si="66"/>
        <v>0</v>
      </c>
      <c r="J325" s="631"/>
      <c r="K325" s="21">
        <f t="shared" si="67"/>
        <v>1</v>
      </c>
      <c r="L325" s="631"/>
      <c r="M325" s="21">
        <f t="shared" si="68"/>
        <v>1</v>
      </c>
      <c r="N325" s="631"/>
      <c r="O325" s="21">
        <f t="shared" si="69"/>
        <v>0</v>
      </c>
      <c r="P325" s="631"/>
      <c r="Q325" s="21">
        <f t="shared" si="70"/>
        <v>0</v>
      </c>
      <c r="R325" s="21">
        <f t="shared" si="71"/>
        <v>0</v>
      </c>
      <c r="S325" s="308">
        <f t="shared" si="73"/>
        <v>0</v>
      </c>
    </row>
    <row r="326" spans="1:19">
      <c r="A326" s="142"/>
      <c r="B326" s="52"/>
      <c r="C326" s="21">
        <f t="shared" si="63"/>
        <v>1</v>
      </c>
      <c r="D326" s="631"/>
      <c r="E326" s="21">
        <f t="shared" si="64"/>
        <v>0.06</v>
      </c>
      <c r="F326" s="631"/>
      <c r="G326" s="21">
        <f t="shared" si="65"/>
        <v>1</v>
      </c>
      <c r="H326" s="631"/>
      <c r="I326" s="21">
        <f t="shared" si="66"/>
        <v>0</v>
      </c>
      <c r="J326" s="631"/>
      <c r="K326" s="21">
        <f t="shared" si="67"/>
        <v>1</v>
      </c>
      <c r="L326" s="631"/>
      <c r="M326" s="21">
        <f t="shared" si="68"/>
        <v>1</v>
      </c>
      <c r="N326" s="631"/>
      <c r="O326" s="21">
        <f t="shared" si="69"/>
        <v>0</v>
      </c>
      <c r="P326" s="631"/>
      <c r="Q326" s="21">
        <f t="shared" si="70"/>
        <v>0</v>
      </c>
      <c r="R326" s="21">
        <f t="shared" si="71"/>
        <v>0</v>
      </c>
      <c r="S326" s="308">
        <f t="shared" si="73"/>
        <v>0</v>
      </c>
    </row>
    <row r="327" spans="1:19">
      <c r="A327" s="142"/>
      <c r="B327" s="52"/>
      <c r="C327" s="21">
        <f t="shared" si="63"/>
        <v>1</v>
      </c>
      <c r="D327" s="631"/>
      <c r="E327" s="21">
        <f t="shared" si="64"/>
        <v>0.06</v>
      </c>
      <c r="F327" s="631"/>
      <c r="G327" s="21">
        <f t="shared" si="65"/>
        <v>1</v>
      </c>
      <c r="H327" s="631"/>
      <c r="I327" s="21">
        <f t="shared" si="66"/>
        <v>0</v>
      </c>
      <c r="J327" s="631"/>
      <c r="K327" s="21">
        <f t="shared" si="67"/>
        <v>1</v>
      </c>
      <c r="L327" s="631"/>
      <c r="M327" s="21">
        <f t="shared" si="68"/>
        <v>1</v>
      </c>
      <c r="N327" s="631"/>
      <c r="O327" s="21">
        <f t="shared" si="69"/>
        <v>0</v>
      </c>
      <c r="P327" s="631"/>
      <c r="Q327" s="21">
        <f t="shared" si="70"/>
        <v>0</v>
      </c>
      <c r="R327" s="21">
        <f t="shared" si="71"/>
        <v>0</v>
      </c>
      <c r="S327" s="308">
        <f t="shared" si="73"/>
        <v>0</v>
      </c>
    </row>
    <row r="328" spans="1:19">
      <c r="A328" s="142"/>
      <c r="B328" s="52"/>
      <c r="C328" s="21">
        <f t="shared" si="63"/>
        <v>1</v>
      </c>
      <c r="D328" s="631"/>
      <c r="E328" s="21">
        <f t="shared" si="64"/>
        <v>0.06</v>
      </c>
      <c r="F328" s="631"/>
      <c r="G328" s="21">
        <f t="shared" si="65"/>
        <v>1</v>
      </c>
      <c r="H328" s="631"/>
      <c r="I328" s="21">
        <f t="shared" si="66"/>
        <v>0</v>
      </c>
      <c r="J328" s="631"/>
      <c r="K328" s="21">
        <f t="shared" si="67"/>
        <v>1</v>
      </c>
      <c r="L328" s="631"/>
      <c r="M328" s="21">
        <f t="shared" si="68"/>
        <v>1</v>
      </c>
      <c r="N328" s="631"/>
      <c r="O328" s="21">
        <f t="shared" si="69"/>
        <v>0</v>
      </c>
      <c r="P328" s="631"/>
      <c r="Q328" s="21">
        <f t="shared" si="70"/>
        <v>0</v>
      </c>
      <c r="R328" s="21">
        <f t="shared" si="71"/>
        <v>0</v>
      </c>
      <c r="S328" s="308">
        <f t="shared" si="73"/>
        <v>0</v>
      </c>
    </row>
    <row r="329" spans="1:19">
      <c r="A329" s="142"/>
      <c r="B329" s="52"/>
      <c r="C329" s="21">
        <f t="shared" si="63"/>
        <v>1</v>
      </c>
      <c r="D329" s="631"/>
      <c r="E329" s="21">
        <f t="shared" si="64"/>
        <v>0.06</v>
      </c>
      <c r="F329" s="631"/>
      <c r="G329" s="21">
        <f t="shared" si="65"/>
        <v>1</v>
      </c>
      <c r="H329" s="631"/>
      <c r="I329" s="21">
        <f t="shared" si="66"/>
        <v>0</v>
      </c>
      <c r="J329" s="631"/>
      <c r="K329" s="21">
        <f t="shared" si="67"/>
        <v>1</v>
      </c>
      <c r="L329" s="631"/>
      <c r="M329" s="21">
        <f t="shared" si="68"/>
        <v>1</v>
      </c>
      <c r="N329" s="631"/>
      <c r="O329" s="21">
        <f t="shared" si="69"/>
        <v>0</v>
      </c>
      <c r="P329" s="631"/>
      <c r="Q329" s="21">
        <f t="shared" si="70"/>
        <v>0</v>
      </c>
      <c r="R329" s="21">
        <f t="shared" si="71"/>
        <v>0</v>
      </c>
      <c r="S329" s="308">
        <f t="shared" si="73"/>
        <v>0</v>
      </c>
    </row>
    <row r="330" spans="1:19">
      <c r="A330" s="142"/>
      <c r="B330" s="52"/>
      <c r="C330" s="21">
        <f t="shared" si="63"/>
        <v>1</v>
      </c>
      <c r="D330" s="631"/>
      <c r="E330" s="21">
        <f t="shared" si="64"/>
        <v>0.06</v>
      </c>
      <c r="F330" s="631"/>
      <c r="G330" s="21">
        <f t="shared" si="65"/>
        <v>1</v>
      </c>
      <c r="H330" s="631"/>
      <c r="I330" s="21">
        <f t="shared" si="66"/>
        <v>0</v>
      </c>
      <c r="J330" s="631"/>
      <c r="K330" s="21">
        <f t="shared" si="67"/>
        <v>1</v>
      </c>
      <c r="L330" s="631"/>
      <c r="M330" s="21">
        <f t="shared" si="68"/>
        <v>1</v>
      </c>
      <c r="N330" s="631"/>
      <c r="O330" s="21">
        <f t="shared" si="69"/>
        <v>0</v>
      </c>
      <c r="P330" s="631"/>
      <c r="Q330" s="21">
        <f t="shared" si="70"/>
        <v>0</v>
      </c>
      <c r="R330" s="21">
        <f t="shared" si="71"/>
        <v>0</v>
      </c>
      <c r="S330" s="308">
        <f t="shared" si="73"/>
        <v>0</v>
      </c>
    </row>
    <row r="331" spans="1:19">
      <c r="A331" s="142"/>
      <c r="B331" s="52"/>
      <c r="C331" s="21">
        <f t="shared" si="63"/>
        <v>1</v>
      </c>
      <c r="D331" s="631"/>
      <c r="E331" s="21">
        <f t="shared" si="64"/>
        <v>0.06</v>
      </c>
      <c r="F331" s="631"/>
      <c r="G331" s="21">
        <f t="shared" si="65"/>
        <v>1</v>
      </c>
      <c r="H331" s="631"/>
      <c r="I331" s="21">
        <f t="shared" si="66"/>
        <v>0</v>
      </c>
      <c r="J331" s="631"/>
      <c r="K331" s="21">
        <f t="shared" si="67"/>
        <v>1</v>
      </c>
      <c r="L331" s="631"/>
      <c r="M331" s="21">
        <f t="shared" si="68"/>
        <v>1</v>
      </c>
      <c r="N331" s="631"/>
      <c r="O331" s="21">
        <f t="shared" si="69"/>
        <v>0</v>
      </c>
      <c r="P331" s="631"/>
      <c r="Q331" s="21">
        <f t="shared" si="70"/>
        <v>0</v>
      </c>
      <c r="R331" s="21">
        <f t="shared" si="71"/>
        <v>0</v>
      </c>
      <c r="S331" s="308">
        <f t="shared" si="73"/>
        <v>0</v>
      </c>
    </row>
    <row r="332" spans="1:19">
      <c r="A332" s="142"/>
      <c r="B332" s="52"/>
      <c r="C332" s="21">
        <f t="shared" si="63"/>
        <v>1</v>
      </c>
      <c r="D332" s="631"/>
      <c r="E332" s="21">
        <f t="shared" si="64"/>
        <v>0.06</v>
      </c>
      <c r="F332" s="631"/>
      <c r="G332" s="21">
        <f t="shared" si="65"/>
        <v>1</v>
      </c>
      <c r="H332" s="631"/>
      <c r="I332" s="21">
        <f t="shared" si="66"/>
        <v>0</v>
      </c>
      <c r="J332" s="631"/>
      <c r="K332" s="21">
        <f t="shared" si="67"/>
        <v>1</v>
      </c>
      <c r="L332" s="631"/>
      <c r="M332" s="21">
        <f t="shared" si="68"/>
        <v>1</v>
      </c>
      <c r="N332" s="631"/>
      <c r="O332" s="21">
        <f t="shared" si="69"/>
        <v>0</v>
      </c>
      <c r="P332" s="631"/>
      <c r="Q332" s="21">
        <f t="shared" si="70"/>
        <v>0</v>
      </c>
      <c r="R332" s="21">
        <f t="shared" si="71"/>
        <v>0</v>
      </c>
      <c r="S332" s="308">
        <f t="shared" si="73"/>
        <v>0</v>
      </c>
    </row>
    <row r="333" spans="1:19">
      <c r="A333" s="142"/>
      <c r="B333" s="52"/>
      <c r="C333" s="21">
        <f t="shared" si="63"/>
        <v>1</v>
      </c>
      <c r="D333" s="631"/>
      <c r="E333" s="21">
        <f t="shared" si="64"/>
        <v>0.06</v>
      </c>
      <c r="F333" s="631"/>
      <c r="G333" s="21">
        <f t="shared" si="65"/>
        <v>1</v>
      </c>
      <c r="H333" s="631"/>
      <c r="I333" s="21">
        <f t="shared" si="66"/>
        <v>0</v>
      </c>
      <c r="J333" s="631"/>
      <c r="K333" s="21">
        <f t="shared" si="67"/>
        <v>1</v>
      </c>
      <c r="L333" s="631"/>
      <c r="M333" s="21">
        <f t="shared" si="68"/>
        <v>1</v>
      </c>
      <c r="N333" s="631"/>
      <c r="O333" s="21">
        <f t="shared" si="69"/>
        <v>0</v>
      </c>
      <c r="P333" s="631"/>
      <c r="Q333" s="21">
        <f t="shared" si="70"/>
        <v>0</v>
      </c>
      <c r="R333" s="21">
        <f t="shared" si="71"/>
        <v>0</v>
      </c>
      <c r="S333" s="308">
        <f t="shared" si="73"/>
        <v>0</v>
      </c>
    </row>
    <row r="334" spans="1:19">
      <c r="A334" s="142"/>
      <c r="B334" s="52"/>
      <c r="C334" s="21">
        <f t="shared" si="63"/>
        <v>1</v>
      </c>
      <c r="D334" s="631"/>
      <c r="E334" s="21">
        <f t="shared" si="64"/>
        <v>0.06</v>
      </c>
      <c r="F334" s="631"/>
      <c r="G334" s="21">
        <f t="shared" si="65"/>
        <v>1</v>
      </c>
      <c r="H334" s="631"/>
      <c r="I334" s="21">
        <f t="shared" si="66"/>
        <v>0</v>
      </c>
      <c r="J334" s="631"/>
      <c r="K334" s="21">
        <f t="shared" si="67"/>
        <v>1</v>
      </c>
      <c r="L334" s="631"/>
      <c r="M334" s="21">
        <f t="shared" si="68"/>
        <v>1</v>
      </c>
      <c r="N334" s="631"/>
      <c r="O334" s="21">
        <f t="shared" si="69"/>
        <v>0</v>
      </c>
      <c r="P334" s="631"/>
      <c r="Q334" s="21">
        <f t="shared" si="70"/>
        <v>0</v>
      </c>
      <c r="R334" s="21">
        <f t="shared" si="71"/>
        <v>0</v>
      </c>
      <c r="S334" s="308">
        <f t="shared" si="73"/>
        <v>0</v>
      </c>
    </row>
    <row r="335" spans="1:19">
      <c r="A335" s="142"/>
      <c r="B335" s="52"/>
      <c r="C335" s="21">
        <f t="shared" si="63"/>
        <v>1</v>
      </c>
      <c r="D335" s="631"/>
      <c r="E335" s="21">
        <f t="shared" si="64"/>
        <v>0.06</v>
      </c>
      <c r="F335" s="631"/>
      <c r="G335" s="21">
        <f t="shared" si="65"/>
        <v>1</v>
      </c>
      <c r="H335" s="631"/>
      <c r="I335" s="21">
        <f t="shared" si="66"/>
        <v>0</v>
      </c>
      <c r="J335" s="631"/>
      <c r="K335" s="21">
        <f t="shared" si="67"/>
        <v>1</v>
      </c>
      <c r="L335" s="631"/>
      <c r="M335" s="21">
        <f t="shared" si="68"/>
        <v>1</v>
      </c>
      <c r="N335" s="631"/>
      <c r="O335" s="21">
        <f t="shared" si="69"/>
        <v>0</v>
      </c>
      <c r="P335" s="631"/>
      <c r="Q335" s="21">
        <f t="shared" si="70"/>
        <v>0</v>
      </c>
      <c r="R335" s="21">
        <f t="shared" si="71"/>
        <v>0</v>
      </c>
      <c r="S335" s="308">
        <f t="shared" si="73"/>
        <v>0</v>
      </c>
    </row>
    <row r="336" spans="1:19">
      <c r="A336" s="142"/>
      <c r="B336" s="52"/>
      <c r="C336" s="21">
        <f t="shared" si="63"/>
        <v>1</v>
      </c>
      <c r="D336" s="631"/>
      <c r="E336" s="21">
        <f t="shared" si="64"/>
        <v>0.06</v>
      </c>
      <c r="F336" s="631"/>
      <c r="G336" s="21">
        <f t="shared" si="65"/>
        <v>1</v>
      </c>
      <c r="H336" s="631"/>
      <c r="I336" s="21">
        <f t="shared" si="66"/>
        <v>0</v>
      </c>
      <c r="J336" s="631"/>
      <c r="K336" s="21">
        <f t="shared" si="67"/>
        <v>1</v>
      </c>
      <c r="L336" s="631"/>
      <c r="M336" s="21">
        <f t="shared" si="68"/>
        <v>1</v>
      </c>
      <c r="N336" s="631"/>
      <c r="O336" s="21">
        <f t="shared" si="69"/>
        <v>0</v>
      </c>
      <c r="P336" s="631"/>
      <c r="Q336" s="21">
        <f t="shared" si="70"/>
        <v>0</v>
      </c>
      <c r="R336" s="21">
        <f t="shared" si="71"/>
        <v>0</v>
      </c>
      <c r="S336" s="308">
        <f t="shared" si="73"/>
        <v>0</v>
      </c>
    </row>
    <row r="337" spans="1:19">
      <c r="A337" s="142"/>
      <c r="B337" s="52"/>
      <c r="C337" s="21">
        <f t="shared" si="63"/>
        <v>1</v>
      </c>
      <c r="D337" s="631"/>
      <c r="E337" s="21">
        <f t="shared" si="64"/>
        <v>0.06</v>
      </c>
      <c r="F337" s="631"/>
      <c r="G337" s="21">
        <f t="shared" si="65"/>
        <v>1</v>
      </c>
      <c r="H337" s="631"/>
      <c r="I337" s="21">
        <f t="shared" si="66"/>
        <v>0</v>
      </c>
      <c r="J337" s="631"/>
      <c r="K337" s="21">
        <f t="shared" si="67"/>
        <v>1</v>
      </c>
      <c r="L337" s="631"/>
      <c r="M337" s="21">
        <f t="shared" si="68"/>
        <v>1</v>
      </c>
      <c r="N337" s="631"/>
      <c r="O337" s="21">
        <f t="shared" si="69"/>
        <v>0</v>
      </c>
      <c r="P337" s="631"/>
      <c r="Q337" s="21">
        <f t="shared" si="70"/>
        <v>0</v>
      </c>
      <c r="R337" s="21">
        <f t="shared" si="71"/>
        <v>0</v>
      </c>
      <c r="S337" s="308">
        <f t="shared" si="73"/>
        <v>0</v>
      </c>
    </row>
    <row r="338" spans="1:19">
      <c r="A338" s="142"/>
      <c r="B338" s="52"/>
      <c r="C338" s="21">
        <f t="shared" si="63"/>
        <v>1</v>
      </c>
      <c r="D338" s="631"/>
      <c r="E338" s="21">
        <f t="shared" si="64"/>
        <v>0.06</v>
      </c>
      <c r="F338" s="631"/>
      <c r="G338" s="21">
        <f t="shared" si="65"/>
        <v>1</v>
      </c>
      <c r="H338" s="631"/>
      <c r="I338" s="21">
        <f t="shared" si="66"/>
        <v>0</v>
      </c>
      <c r="J338" s="631"/>
      <c r="K338" s="21">
        <f t="shared" si="67"/>
        <v>1</v>
      </c>
      <c r="L338" s="631"/>
      <c r="M338" s="21">
        <f t="shared" si="68"/>
        <v>1</v>
      </c>
      <c r="N338" s="631"/>
      <c r="O338" s="21">
        <f t="shared" si="69"/>
        <v>0</v>
      </c>
      <c r="P338" s="631"/>
      <c r="Q338" s="21">
        <f t="shared" si="70"/>
        <v>0</v>
      </c>
      <c r="R338" s="21">
        <f t="shared" si="71"/>
        <v>0</v>
      </c>
      <c r="S338" s="308">
        <f t="shared" si="73"/>
        <v>0</v>
      </c>
    </row>
    <row r="339" spans="1:19">
      <c r="A339" s="142"/>
      <c r="B339" s="52"/>
      <c r="C339" s="21">
        <f t="shared" si="63"/>
        <v>1</v>
      </c>
      <c r="D339" s="631"/>
      <c r="E339" s="21">
        <f t="shared" si="64"/>
        <v>0.06</v>
      </c>
      <c r="F339" s="631"/>
      <c r="G339" s="21">
        <f t="shared" si="65"/>
        <v>1</v>
      </c>
      <c r="H339" s="631"/>
      <c r="I339" s="21">
        <f t="shared" si="66"/>
        <v>0</v>
      </c>
      <c r="J339" s="631"/>
      <c r="K339" s="21">
        <f t="shared" si="67"/>
        <v>1</v>
      </c>
      <c r="L339" s="631"/>
      <c r="M339" s="21">
        <f t="shared" si="68"/>
        <v>1</v>
      </c>
      <c r="N339" s="631"/>
      <c r="O339" s="21">
        <f t="shared" si="69"/>
        <v>0</v>
      </c>
      <c r="P339" s="631"/>
      <c r="Q339" s="21">
        <f t="shared" si="70"/>
        <v>0</v>
      </c>
      <c r="R339" s="21">
        <f t="shared" si="71"/>
        <v>0</v>
      </c>
      <c r="S339" s="308">
        <f t="shared" si="73"/>
        <v>0</v>
      </c>
    </row>
    <row r="340" spans="1:19">
      <c r="A340" s="142"/>
      <c r="B340" s="52"/>
      <c r="C340" s="21">
        <f t="shared" si="63"/>
        <v>1</v>
      </c>
      <c r="D340" s="631"/>
      <c r="E340" s="21">
        <f t="shared" si="64"/>
        <v>0.06</v>
      </c>
      <c r="F340" s="631"/>
      <c r="G340" s="21">
        <f t="shared" si="65"/>
        <v>1</v>
      </c>
      <c r="H340" s="631"/>
      <c r="I340" s="21">
        <f t="shared" si="66"/>
        <v>0</v>
      </c>
      <c r="J340" s="631"/>
      <c r="K340" s="21">
        <f t="shared" si="67"/>
        <v>1</v>
      </c>
      <c r="L340" s="631"/>
      <c r="M340" s="21">
        <f t="shared" si="68"/>
        <v>1</v>
      </c>
      <c r="N340" s="631"/>
      <c r="O340" s="21">
        <f t="shared" si="69"/>
        <v>0</v>
      </c>
      <c r="P340" s="631"/>
      <c r="Q340" s="21">
        <f t="shared" si="70"/>
        <v>0</v>
      </c>
      <c r="R340" s="21">
        <f t="shared" si="71"/>
        <v>0</v>
      </c>
      <c r="S340" s="308">
        <f t="shared" si="73"/>
        <v>0</v>
      </c>
    </row>
    <row r="341" spans="1:19">
      <c r="A341" s="142"/>
      <c r="B341" s="52"/>
      <c r="C341" s="21">
        <f t="shared" si="63"/>
        <v>1</v>
      </c>
      <c r="D341" s="631"/>
      <c r="E341" s="21">
        <f t="shared" si="64"/>
        <v>0.06</v>
      </c>
      <c r="F341" s="631"/>
      <c r="G341" s="21">
        <f t="shared" si="65"/>
        <v>1</v>
      </c>
      <c r="H341" s="631"/>
      <c r="I341" s="21">
        <f t="shared" si="66"/>
        <v>0</v>
      </c>
      <c r="J341" s="631"/>
      <c r="K341" s="21">
        <f t="shared" si="67"/>
        <v>1</v>
      </c>
      <c r="L341" s="631"/>
      <c r="M341" s="21">
        <f t="shared" si="68"/>
        <v>1</v>
      </c>
      <c r="N341" s="631"/>
      <c r="O341" s="21">
        <f t="shared" si="69"/>
        <v>0</v>
      </c>
      <c r="P341" s="631"/>
      <c r="Q341" s="21">
        <f t="shared" si="70"/>
        <v>0</v>
      </c>
      <c r="R341" s="21">
        <f t="shared" si="71"/>
        <v>0</v>
      </c>
      <c r="S341" s="308">
        <f t="shared" si="73"/>
        <v>0</v>
      </c>
    </row>
    <row r="342" spans="1:19">
      <c r="A342" s="142"/>
      <c r="B342" s="52"/>
      <c r="C342" s="21">
        <f t="shared" si="63"/>
        <v>1</v>
      </c>
      <c r="D342" s="631"/>
      <c r="E342" s="21">
        <f t="shared" si="64"/>
        <v>0.06</v>
      </c>
      <c r="F342" s="631"/>
      <c r="G342" s="21">
        <f t="shared" si="65"/>
        <v>1</v>
      </c>
      <c r="H342" s="631"/>
      <c r="I342" s="21">
        <f t="shared" si="66"/>
        <v>0</v>
      </c>
      <c r="J342" s="631"/>
      <c r="K342" s="21">
        <f t="shared" si="67"/>
        <v>1</v>
      </c>
      <c r="L342" s="631"/>
      <c r="M342" s="21">
        <f t="shared" si="68"/>
        <v>1</v>
      </c>
      <c r="N342" s="631"/>
      <c r="O342" s="21">
        <f t="shared" si="69"/>
        <v>0</v>
      </c>
      <c r="P342" s="631"/>
      <c r="Q342" s="21">
        <f t="shared" si="70"/>
        <v>0</v>
      </c>
      <c r="R342" s="21">
        <f t="shared" si="71"/>
        <v>0</v>
      </c>
      <c r="S342" s="308">
        <f t="shared" si="73"/>
        <v>0</v>
      </c>
    </row>
    <row r="343" spans="1:19">
      <c r="A343" s="142"/>
      <c r="B343" s="52"/>
      <c r="C343" s="21">
        <f t="shared" si="63"/>
        <v>1</v>
      </c>
      <c r="D343" s="631"/>
      <c r="E343" s="21">
        <f t="shared" si="64"/>
        <v>0.06</v>
      </c>
      <c r="F343" s="631"/>
      <c r="G343" s="21">
        <f t="shared" si="65"/>
        <v>1</v>
      </c>
      <c r="H343" s="631"/>
      <c r="I343" s="21">
        <f t="shared" si="66"/>
        <v>0</v>
      </c>
      <c r="J343" s="631"/>
      <c r="K343" s="21">
        <f t="shared" si="67"/>
        <v>1</v>
      </c>
      <c r="L343" s="631"/>
      <c r="M343" s="21">
        <f t="shared" si="68"/>
        <v>1</v>
      </c>
      <c r="N343" s="631"/>
      <c r="O343" s="21">
        <f t="shared" si="69"/>
        <v>0</v>
      </c>
      <c r="P343" s="631"/>
      <c r="Q343" s="21">
        <f t="shared" si="70"/>
        <v>0</v>
      </c>
      <c r="R343" s="21">
        <f t="shared" si="71"/>
        <v>0</v>
      </c>
      <c r="S343" s="308">
        <f t="shared" si="73"/>
        <v>0</v>
      </c>
    </row>
    <row r="344" spans="1:19">
      <c r="A344" s="142"/>
      <c r="B344" s="52"/>
      <c r="C344" s="21">
        <f t="shared" si="63"/>
        <v>1</v>
      </c>
      <c r="D344" s="631"/>
      <c r="E344" s="21">
        <f t="shared" si="64"/>
        <v>0.06</v>
      </c>
      <c r="F344" s="631"/>
      <c r="G344" s="21">
        <f t="shared" si="65"/>
        <v>1</v>
      </c>
      <c r="H344" s="631"/>
      <c r="I344" s="21">
        <f t="shared" si="66"/>
        <v>0</v>
      </c>
      <c r="J344" s="631"/>
      <c r="K344" s="21">
        <f t="shared" si="67"/>
        <v>1</v>
      </c>
      <c r="L344" s="631"/>
      <c r="M344" s="21">
        <f t="shared" si="68"/>
        <v>1</v>
      </c>
      <c r="N344" s="631"/>
      <c r="O344" s="21">
        <f t="shared" si="69"/>
        <v>0</v>
      </c>
      <c r="P344" s="631"/>
      <c r="Q344" s="21">
        <f t="shared" si="70"/>
        <v>0</v>
      </c>
      <c r="R344" s="21">
        <f t="shared" si="71"/>
        <v>0</v>
      </c>
      <c r="S344" s="308">
        <f t="shared" si="73"/>
        <v>0</v>
      </c>
    </row>
    <row r="345" spans="1:19">
      <c r="A345" s="142"/>
      <c r="B345" s="52"/>
      <c r="C345" s="21">
        <f t="shared" si="63"/>
        <v>1</v>
      </c>
      <c r="D345" s="631"/>
      <c r="E345" s="21">
        <f t="shared" si="64"/>
        <v>0.06</v>
      </c>
      <c r="F345" s="631"/>
      <c r="G345" s="21">
        <f t="shared" si="65"/>
        <v>1</v>
      </c>
      <c r="H345" s="631"/>
      <c r="I345" s="21">
        <f t="shared" si="66"/>
        <v>0</v>
      </c>
      <c r="J345" s="631"/>
      <c r="K345" s="21">
        <f t="shared" si="67"/>
        <v>1</v>
      </c>
      <c r="L345" s="631"/>
      <c r="M345" s="21">
        <f t="shared" si="68"/>
        <v>1</v>
      </c>
      <c r="N345" s="631"/>
      <c r="O345" s="21">
        <f t="shared" si="69"/>
        <v>0</v>
      </c>
      <c r="P345" s="631"/>
      <c r="Q345" s="21">
        <f t="shared" si="70"/>
        <v>0</v>
      </c>
      <c r="R345" s="21">
        <f t="shared" si="71"/>
        <v>0</v>
      </c>
      <c r="S345" s="308">
        <f t="shared" si="73"/>
        <v>0</v>
      </c>
    </row>
    <row r="346" spans="1:19">
      <c r="A346" s="142"/>
      <c r="B346" s="52"/>
      <c r="C346" s="21">
        <f t="shared" si="63"/>
        <v>1</v>
      </c>
      <c r="D346" s="631"/>
      <c r="E346" s="21">
        <f t="shared" si="64"/>
        <v>0.06</v>
      </c>
      <c r="F346" s="631"/>
      <c r="G346" s="21">
        <f t="shared" si="65"/>
        <v>1</v>
      </c>
      <c r="H346" s="631"/>
      <c r="I346" s="21">
        <f t="shared" si="66"/>
        <v>0</v>
      </c>
      <c r="J346" s="631"/>
      <c r="K346" s="21">
        <f t="shared" si="67"/>
        <v>1</v>
      </c>
      <c r="L346" s="631"/>
      <c r="M346" s="21">
        <f t="shared" si="68"/>
        <v>1</v>
      </c>
      <c r="N346" s="631"/>
      <c r="O346" s="21">
        <f t="shared" si="69"/>
        <v>0</v>
      </c>
      <c r="P346" s="631"/>
      <c r="Q346" s="21">
        <f t="shared" si="70"/>
        <v>0</v>
      </c>
      <c r="R346" s="21">
        <f t="shared" si="71"/>
        <v>0</v>
      </c>
      <c r="S346" s="308">
        <f t="shared" si="73"/>
        <v>0</v>
      </c>
    </row>
    <row r="347" spans="1:19">
      <c r="A347" s="142"/>
      <c r="B347" s="52"/>
      <c r="C347" s="21">
        <f t="shared" ref="C347:C410" si="74">IF(B347="",1,(LOOKUP(B347,$3:$3,$4:$4)-LOOKUP($B$24,$3:$3,$4:$4)+100)/100)</f>
        <v>1</v>
      </c>
      <c r="D347" s="631"/>
      <c r="E347" s="21">
        <f t="shared" ref="E347:E410" si="75">(SUMIF($5:$5,D347,$6:$6)-SUMIF($5:$5,$D$24,$6:$6)+100)/100</f>
        <v>0.06</v>
      </c>
      <c r="F347" s="631"/>
      <c r="G347" s="21">
        <f t="shared" ref="G347:G410" si="76">(SUMIF($7:$7,F347,$8:$8)-SUMIF($7:$7,$F$24,$8:$8)+100)/100</f>
        <v>1</v>
      </c>
      <c r="H347" s="631"/>
      <c r="I347" s="21">
        <f t="shared" ref="I347:I410" si="77">(SUMIF($9:$9,H347,$10:$10)-SUMIF($9:$9,$H$24,$10:$10)+100)/100</f>
        <v>0</v>
      </c>
      <c r="J347" s="631"/>
      <c r="K347" s="21">
        <f t="shared" ref="K347:K410" si="78">(SUMIF($11:$11,J347,$12:$12)-SUMIF($11:$11,$J$24,$12:$12)+100)/100</f>
        <v>1</v>
      </c>
      <c r="L347" s="631"/>
      <c r="M347" s="21">
        <f t="shared" ref="M347:M410" si="79">(SUMIF($13:$13,L347,$14:$14)-SUMIF($13:$13,$L$24,$14:$14)+100)/100</f>
        <v>1</v>
      </c>
      <c r="N347" s="631"/>
      <c r="O347" s="21">
        <f t="shared" ref="O347:O410" si="80">(SUMIF($15:$15,N347,$16:$16)-SUMIF($15:$15,$N$24,$16:$16)+100)/100</f>
        <v>0</v>
      </c>
      <c r="P347" s="631"/>
      <c r="Q347" s="21">
        <f t="shared" ref="Q347:Q410" si="81">(SUMIF($17:$17,P347,$18:$18)-SUMIF($17:$17,$P$24,$18:$18)+100)/100</f>
        <v>0</v>
      </c>
      <c r="R347" s="21">
        <f t="shared" ref="R347:R410" si="82">IF(B347="",0,ROUND($R$24*C347*E347*G347*I347*K347*M347*O347*Q347,0))</f>
        <v>0</v>
      </c>
      <c r="S347" s="308">
        <f t="shared" si="73"/>
        <v>0</v>
      </c>
    </row>
    <row r="348" spans="1:19">
      <c r="A348" s="142"/>
      <c r="B348" s="52"/>
      <c r="C348" s="21">
        <f t="shared" si="74"/>
        <v>1</v>
      </c>
      <c r="D348" s="631"/>
      <c r="E348" s="21">
        <f t="shared" si="75"/>
        <v>0.06</v>
      </c>
      <c r="F348" s="631"/>
      <c r="G348" s="21">
        <f t="shared" si="76"/>
        <v>1</v>
      </c>
      <c r="H348" s="631"/>
      <c r="I348" s="21">
        <f t="shared" si="77"/>
        <v>0</v>
      </c>
      <c r="J348" s="631"/>
      <c r="K348" s="21">
        <f t="shared" si="78"/>
        <v>1</v>
      </c>
      <c r="L348" s="631"/>
      <c r="M348" s="21">
        <f t="shared" si="79"/>
        <v>1</v>
      </c>
      <c r="N348" s="631"/>
      <c r="O348" s="21">
        <f t="shared" si="80"/>
        <v>0</v>
      </c>
      <c r="P348" s="631"/>
      <c r="Q348" s="21">
        <f t="shared" si="81"/>
        <v>0</v>
      </c>
      <c r="R348" s="21">
        <f t="shared" si="82"/>
        <v>0</v>
      </c>
      <c r="S348" s="308">
        <f t="shared" si="73"/>
        <v>0</v>
      </c>
    </row>
    <row r="349" spans="1:19">
      <c r="A349" s="142"/>
      <c r="B349" s="52"/>
      <c r="C349" s="21">
        <f t="shared" si="74"/>
        <v>1</v>
      </c>
      <c r="D349" s="631"/>
      <c r="E349" s="21">
        <f t="shared" si="75"/>
        <v>0.06</v>
      </c>
      <c r="F349" s="631"/>
      <c r="G349" s="21">
        <f t="shared" si="76"/>
        <v>1</v>
      </c>
      <c r="H349" s="631"/>
      <c r="I349" s="21">
        <f t="shared" si="77"/>
        <v>0</v>
      </c>
      <c r="J349" s="631"/>
      <c r="K349" s="21">
        <f t="shared" si="78"/>
        <v>1</v>
      </c>
      <c r="L349" s="631"/>
      <c r="M349" s="21">
        <f t="shared" si="79"/>
        <v>1</v>
      </c>
      <c r="N349" s="631"/>
      <c r="O349" s="21">
        <f t="shared" si="80"/>
        <v>0</v>
      </c>
      <c r="P349" s="631"/>
      <c r="Q349" s="21">
        <f t="shared" si="81"/>
        <v>0</v>
      </c>
      <c r="R349" s="21">
        <f t="shared" si="82"/>
        <v>0</v>
      </c>
      <c r="S349" s="308">
        <f t="shared" si="73"/>
        <v>0</v>
      </c>
    </row>
    <row r="350" spans="1:19">
      <c r="A350" s="142"/>
      <c r="B350" s="52"/>
      <c r="C350" s="21">
        <f t="shared" si="74"/>
        <v>1</v>
      </c>
      <c r="D350" s="631"/>
      <c r="E350" s="21">
        <f t="shared" si="75"/>
        <v>0.06</v>
      </c>
      <c r="F350" s="631"/>
      <c r="G350" s="21">
        <f t="shared" si="76"/>
        <v>1</v>
      </c>
      <c r="H350" s="631"/>
      <c r="I350" s="21">
        <f t="shared" si="77"/>
        <v>0</v>
      </c>
      <c r="J350" s="631"/>
      <c r="K350" s="21">
        <f t="shared" si="78"/>
        <v>1</v>
      </c>
      <c r="L350" s="631"/>
      <c r="M350" s="21">
        <f t="shared" si="79"/>
        <v>1</v>
      </c>
      <c r="N350" s="631"/>
      <c r="O350" s="21">
        <f t="shared" si="80"/>
        <v>0</v>
      </c>
      <c r="P350" s="631"/>
      <c r="Q350" s="21">
        <f t="shared" si="81"/>
        <v>0</v>
      </c>
      <c r="R350" s="21">
        <f t="shared" si="82"/>
        <v>0</v>
      </c>
      <c r="S350" s="308">
        <f t="shared" si="73"/>
        <v>0</v>
      </c>
    </row>
    <row r="351" spans="1:19">
      <c r="A351" s="142"/>
      <c r="B351" s="52"/>
      <c r="C351" s="21">
        <f t="shared" si="74"/>
        <v>1</v>
      </c>
      <c r="D351" s="631"/>
      <c r="E351" s="21">
        <f t="shared" si="75"/>
        <v>0.06</v>
      </c>
      <c r="F351" s="631"/>
      <c r="G351" s="21">
        <f t="shared" si="76"/>
        <v>1</v>
      </c>
      <c r="H351" s="631"/>
      <c r="I351" s="21">
        <f t="shared" si="77"/>
        <v>0</v>
      </c>
      <c r="J351" s="631"/>
      <c r="K351" s="21">
        <f t="shared" si="78"/>
        <v>1</v>
      </c>
      <c r="L351" s="631"/>
      <c r="M351" s="21">
        <f t="shared" si="79"/>
        <v>1</v>
      </c>
      <c r="N351" s="631"/>
      <c r="O351" s="21">
        <f t="shared" si="80"/>
        <v>0</v>
      </c>
      <c r="P351" s="631"/>
      <c r="Q351" s="21">
        <f t="shared" si="81"/>
        <v>0</v>
      </c>
      <c r="R351" s="21">
        <f t="shared" si="82"/>
        <v>0</v>
      </c>
      <c r="S351" s="308">
        <f t="shared" si="73"/>
        <v>0</v>
      </c>
    </row>
    <row r="352" spans="1:19">
      <c r="A352" s="142"/>
      <c r="B352" s="52"/>
      <c r="C352" s="21">
        <f t="shared" si="74"/>
        <v>1</v>
      </c>
      <c r="D352" s="631"/>
      <c r="E352" s="21">
        <f t="shared" si="75"/>
        <v>0.06</v>
      </c>
      <c r="F352" s="631"/>
      <c r="G352" s="21">
        <f t="shared" si="76"/>
        <v>1</v>
      </c>
      <c r="H352" s="631"/>
      <c r="I352" s="21">
        <f t="shared" si="77"/>
        <v>0</v>
      </c>
      <c r="J352" s="631"/>
      <c r="K352" s="21">
        <f t="shared" si="78"/>
        <v>1</v>
      </c>
      <c r="L352" s="631"/>
      <c r="M352" s="21">
        <f t="shared" si="79"/>
        <v>1</v>
      </c>
      <c r="N352" s="631"/>
      <c r="O352" s="21">
        <f t="shared" si="80"/>
        <v>0</v>
      </c>
      <c r="P352" s="631"/>
      <c r="Q352" s="21">
        <f t="shared" si="81"/>
        <v>0</v>
      </c>
      <c r="R352" s="21">
        <f t="shared" si="82"/>
        <v>0</v>
      </c>
      <c r="S352" s="308">
        <f t="shared" si="73"/>
        <v>0</v>
      </c>
    </row>
    <row r="353" spans="1:19">
      <c r="A353" s="142"/>
      <c r="B353" s="52"/>
      <c r="C353" s="21">
        <f t="shared" si="74"/>
        <v>1</v>
      </c>
      <c r="D353" s="631"/>
      <c r="E353" s="21">
        <f t="shared" si="75"/>
        <v>0.06</v>
      </c>
      <c r="F353" s="631"/>
      <c r="G353" s="21">
        <f t="shared" si="76"/>
        <v>1</v>
      </c>
      <c r="H353" s="631"/>
      <c r="I353" s="21">
        <f t="shared" si="77"/>
        <v>0</v>
      </c>
      <c r="J353" s="631"/>
      <c r="K353" s="21">
        <f t="shared" si="78"/>
        <v>1</v>
      </c>
      <c r="L353" s="631"/>
      <c r="M353" s="21">
        <f t="shared" si="79"/>
        <v>1</v>
      </c>
      <c r="N353" s="631"/>
      <c r="O353" s="21">
        <f t="shared" si="80"/>
        <v>0</v>
      </c>
      <c r="P353" s="631"/>
      <c r="Q353" s="21">
        <f t="shared" si="81"/>
        <v>0</v>
      </c>
      <c r="R353" s="21">
        <f t="shared" si="82"/>
        <v>0</v>
      </c>
      <c r="S353" s="308">
        <f t="shared" si="73"/>
        <v>0</v>
      </c>
    </row>
    <row r="354" spans="1:19">
      <c r="A354" s="142"/>
      <c r="B354" s="52"/>
      <c r="C354" s="21">
        <f t="shared" si="74"/>
        <v>1</v>
      </c>
      <c r="D354" s="631"/>
      <c r="E354" s="21">
        <f t="shared" si="75"/>
        <v>0.06</v>
      </c>
      <c r="F354" s="631"/>
      <c r="G354" s="21">
        <f t="shared" si="76"/>
        <v>1</v>
      </c>
      <c r="H354" s="631"/>
      <c r="I354" s="21">
        <f t="shared" si="77"/>
        <v>0</v>
      </c>
      <c r="J354" s="631"/>
      <c r="K354" s="21">
        <f t="shared" si="78"/>
        <v>1</v>
      </c>
      <c r="L354" s="631"/>
      <c r="M354" s="21">
        <f t="shared" si="79"/>
        <v>1</v>
      </c>
      <c r="N354" s="631"/>
      <c r="O354" s="21">
        <f t="shared" si="80"/>
        <v>0</v>
      </c>
      <c r="P354" s="631"/>
      <c r="Q354" s="21">
        <f t="shared" si="81"/>
        <v>0</v>
      </c>
      <c r="R354" s="21">
        <f t="shared" si="82"/>
        <v>0</v>
      </c>
      <c r="S354" s="308">
        <f t="shared" si="73"/>
        <v>0</v>
      </c>
    </row>
    <row r="355" spans="1:19">
      <c r="A355" s="142"/>
      <c r="B355" s="52"/>
      <c r="C355" s="21">
        <f t="shared" si="74"/>
        <v>1</v>
      </c>
      <c r="D355" s="631"/>
      <c r="E355" s="21">
        <f t="shared" si="75"/>
        <v>0.06</v>
      </c>
      <c r="F355" s="631"/>
      <c r="G355" s="21">
        <f t="shared" si="76"/>
        <v>1</v>
      </c>
      <c r="H355" s="631"/>
      <c r="I355" s="21">
        <f t="shared" si="77"/>
        <v>0</v>
      </c>
      <c r="J355" s="631"/>
      <c r="K355" s="21">
        <f t="shared" si="78"/>
        <v>1</v>
      </c>
      <c r="L355" s="631"/>
      <c r="M355" s="21">
        <f t="shared" si="79"/>
        <v>1</v>
      </c>
      <c r="N355" s="631"/>
      <c r="O355" s="21">
        <f t="shared" si="80"/>
        <v>0</v>
      </c>
      <c r="P355" s="631"/>
      <c r="Q355" s="21">
        <f t="shared" si="81"/>
        <v>0</v>
      </c>
      <c r="R355" s="21">
        <f t="shared" si="82"/>
        <v>0</v>
      </c>
      <c r="S355" s="308">
        <f t="shared" si="73"/>
        <v>0</v>
      </c>
    </row>
    <row r="356" spans="1:19">
      <c r="A356" s="142"/>
      <c r="B356" s="52"/>
      <c r="C356" s="21">
        <f t="shared" si="74"/>
        <v>1</v>
      </c>
      <c r="D356" s="631"/>
      <c r="E356" s="21">
        <f t="shared" si="75"/>
        <v>0.06</v>
      </c>
      <c r="F356" s="631"/>
      <c r="G356" s="21">
        <f t="shared" si="76"/>
        <v>1</v>
      </c>
      <c r="H356" s="631"/>
      <c r="I356" s="21">
        <f t="shared" si="77"/>
        <v>0</v>
      </c>
      <c r="J356" s="631"/>
      <c r="K356" s="21">
        <f t="shared" si="78"/>
        <v>1</v>
      </c>
      <c r="L356" s="631"/>
      <c r="M356" s="21">
        <f t="shared" si="79"/>
        <v>1</v>
      </c>
      <c r="N356" s="631"/>
      <c r="O356" s="21">
        <f t="shared" si="80"/>
        <v>0</v>
      </c>
      <c r="P356" s="631"/>
      <c r="Q356" s="21">
        <f t="shared" si="81"/>
        <v>0</v>
      </c>
      <c r="R356" s="21">
        <f t="shared" si="82"/>
        <v>0</v>
      </c>
      <c r="S356" s="308">
        <f t="shared" si="73"/>
        <v>0</v>
      </c>
    </row>
    <row r="357" spans="1:19">
      <c r="A357" s="142"/>
      <c r="B357" s="52"/>
      <c r="C357" s="21">
        <f t="shared" si="74"/>
        <v>1</v>
      </c>
      <c r="D357" s="631"/>
      <c r="E357" s="21">
        <f t="shared" si="75"/>
        <v>0.06</v>
      </c>
      <c r="F357" s="631"/>
      <c r="G357" s="21">
        <f t="shared" si="76"/>
        <v>1</v>
      </c>
      <c r="H357" s="631"/>
      <c r="I357" s="21">
        <f t="shared" si="77"/>
        <v>0</v>
      </c>
      <c r="J357" s="631"/>
      <c r="K357" s="21">
        <f t="shared" si="78"/>
        <v>1</v>
      </c>
      <c r="L357" s="631"/>
      <c r="M357" s="21">
        <f t="shared" si="79"/>
        <v>1</v>
      </c>
      <c r="N357" s="631"/>
      <c r="O357" s="21">
        <f t="shared" si="80"/>
        <v>0</v>
      </c>
      <c r="P357" s="631"/>
      <c r="Q357" s="21">
        <f t="shared" si="81"/>
        <v>0</v>
      </c>
      <c r="R357" s="21">
        <f t="shared" si="82"/>
        <v>0</v>
      </c>
      <c r="S357" s="308">
        <f t="shared" si="73"/>
        <v>0</v>
      </c>
    </row>
    <row r="358" spans="1:19">
      <c r="A358" s="142"/>
      <c r="B358" s="52"/>
      <c r="C358" s="21">
        <f t="shared" si="74"/>
        <v>1</v>
      </c>
      <c r="D358" s="631"/>
      <c r="E358" s="21">
        <f t="shared" si="75"/>
        <v>0.06</v>
      </c>
      <c r="F358" s="631"/>
      <c r="G358" s="21">
        <f t="shared" si="76"/>
        <v>1</v>
      </c>
      <c r="H358" s="631"/>
      <c r="I358" s="21">
        <f t="shared" si="77"/>
        <v>0</v>
      </c>
      <c r="J358" s="631"/>
      <c r="K358" s="21">
        <f t="shared" si="78"/>
        <v>1</v>
      </c>
      <c r="L358" s="631"/>
      <c r="M358" s="21">
        <f t="shared" si="79"/>
        <v>1</v>
      </c>
      <c r="N358" s="631"/>
      <c r="O358" s="21">
        <f t="shared" si="80"/>
        <v>0</v>
      </c>
      <c r="P358" s="631"/>
      <c r="Q358" s="21">
        <f t="shared" si="81"/>
        <v>0</v>
      </c>
      <c r="R358" s="21">
        <f t="shared" si="82"/>
        <v>0</v>
      </c>
      <c r="S358" s="308">
        <f t="shared" si="73"/>
        <v>0</v>
      </c>
    </row>
    <row r="359" spans="1:19">
      <c r="A359" s="142"/>
      <c r="B359" s="52"/>
      <c r="C359" s="21">
        <f t="shared" si="74"/>
        <v>1</v>
      </c>
      <c r="D359" s="631"/>
      <c r="E359" s="21">
        <f t="shared" si="75"/>
        <v>0.06</v>
      </c>
      <c r="F359" s="631"/>
      <c r="G359" s="21">
        <f t="shared" si="76"/>
        <v>1</v>
      </c>
      <c r="H359" s="631"/>
      <c r="I359" s="21">
        <f t="shared" si="77"/>
        <v>0</v>
      </c>
      <c r="J359" s="631"/>
      <c r="K359" s="21">
        <f t="shared" si="78"/>
        <v>1</v>
      </c>
      <c r="L359" s="631"/>
      <c r="M359" s="21">
        <f t="shared" si="79"/>
        <v>1</v>
      </c>
      <c r="N359" s="631"/>
      <c r="O359" s="21">
        <f t="shared" si="80"/>
        <v>0</v>
      </c>
      <c r="P359" s="631"/>
      <c r="Q359" s="21">
        <f t="shared" si="81"/>
        <v>0</v>
      </c>
      <c r="R359" s="21">
        <f t="shared" si="82"/>
        <v>0</v>
      </c>
      <c r="S359" s="308">
        <f t="shared" si="73"/>
        <v>0</v>
      </c>
    </row>
    <row r="360" spans="1:19">
      <c r="A360" s="142"/>
      <c r="B360" s="52"/>
      <c r="C360" s="21">
        <f t="shared" si="74"/>
        <v>1</v>
      </c>
      <c r="D360" s="631"/>
      <c r="E360" s="21">
        <f t="shared" si="75"/>
        <v>0.06</v>
      </c>
      <c r="F360" s="631"/>
      <c r="G360" s="21">
        <f t="shared" si="76"/>
        <v>1</v>
      </c>
      <c r="H360" s="631"/>
      <c r="I360" s="21">
        <f t="shared" si="77"/>
        <v>0</v>
      </c>
      <c r="J360" s="631"/>
      <c r="K360" s="21">
        <f t="shared" si="78"/>
        <v>1</v>
      </c>
      <c r="L360" s="631"/>
      <c r="M360" s="21">
        <f t="shared" si="79"/>
        <v>1</v>
      </c>
      <c r="N360" s="631"/>
      <c r="O360" s="21">
        <f t="shared" si="80"/>
        <v>0</v>
      </c>
      <c r="P360" s="631"/>
      <c r="Q360" s="21">
        <f t="shared" si="81"/>
        <v>0</v>
      </c>
      <c r="R360" s="21">
        <f t="shared" si="82"/>
        <v>0</v>
      </c>
      <c r="S360" s="308">
        <f t="shared" si="73"/>
        <v>0</v>
      </c>
    </row>
    <row r="361" spans="1:19">
      <c r="A361" s="142"/>
      <c r="B361" s="52"/>
      <c r="C361" s="21">
        <f t="shared" si="74"/>
        <v>1</v>
      </c>
      <c r="D361" s="631"/>
      <c r="E361" s="21">
        <f t="shared" si="75"/>
        <v>0.06</v>
      </c>
      <c r="F361" s="631"/>
      <c r="G361" s="21">
        <f t="shared" si="76"/>
        <v>1</v>
      </c>
      <c r="H361" s="631"/>
      <c r="I361" s="21">
        <f t="shared" si="77"/>
        <v>0</v>
      </c>
      <c r="J361" s="631"/>
      <c r="K361" s="21">
        <f t="shared" si="78"/>
        <v>1</v>
      </c>
      <c r="L361" s="631"/>
      <c r="M361" s="21">
        <f t="shared" si="79"/>
        <v>1</v>
      </c>
      <c r="N361" s="631"/>
      <c r="O361" s="21">
        <f t="shared" si="80"/>
        <v>0</v>
      </c>
      <c r="P361" s="631"/>
      <c r="Q361" s="21">
        <f t="shared" si="81"/>
        <v>0</v>
      </c>
      <c r="R361" s="21">
        <f t="shared" si="82"/>
        <v>0</v>
      </c>
      <c r="S361" s="308">
        <f t="shared" si="73"/>
        <v>0</v>
      </c>
    </row>
    <row r="362" spans="1:19">
      <c r="A362" s="142"/>
      <c r="B362" s="52"/>
      <c r="C362" s="21">
        <f t="shared" si="74"/>
        <v>1</v>
      </c>
      <c r="D362" s="631"/>
      <c r="E362" s="21">
        <f t="shared" si="75"/>
        <v>0.06</v>
      </c>
      <c r="F362" s="631"/>
      <c r="G362" s="21">
        <f t="shared" si="76"/>
        <v>1</v>
      </c>
      <c r="H362" s="631"/>
      <c r="I362" s="21">
        <f t="shared" si="77"/>
        <v>0</v>
      </c>
      <c r="J362" s="631"/>
      <c r="K362" s="21">
        <f t="shared" si="78"/>
        <v>1</v>
      </c>
      <c r="L362" s="631"/>
      <c r="M362" s="21">
        <f t="shared" si="79"/>
        <v>1</v>
      </c>
      <c r="N362" s="631"/>
      <c r="O362" s="21">
        <f t="shared" si="80"/>
        <v>0</v>
      </c>
      <c r="P362" s="631"/>
      <c r="Q362" s="21">
        <f t="shared" si="81"/>
        <v>0</v>
      </c>
      <c r="R362" s="21">
        <f t="shared" si="82"/>
        <v>0</v>
      </c>
      <c r="S362" s="308">
        <f t="shared" si="73"/>
        <v>0</v>
      </c>
    </row>
    <row r="363" spans="1:19">
      <c r="A363" s="142"/>
      <c r="B363" s="52"/>
      <c r="C363" s="21">
        <f t="shared" si="74"/>
        <v>1</v>
      </c>
      <c r="D363" s="631"/>
      <c r="E363" s="21">
        <f t="shared" si="75"/>
        <v>0.06</v>
      </c>
      <c r="F363" s="631"/>
      <c r="G363" s="21">
        <f t="shared" si="76"/>
        <v>1</v>
      </c>
      <c r="H363" s="631"/>
      <c r="I363" s="21">
        <f t="shared" si="77"/>
        <v>0</v>
      </c>
      <c r="J363" s="631"/>
      <c r="K363" s="21">
        <f t="shared" si="78"/>
        <v>1</v>
      </c>
      <c r="L363" s="631"/>
      <c r="M363" s="21">
        <f t="shared" si="79"/>
        <v>1</v>
      </c>
      <c r="N363" s="631"/>
      <c r="O363" s="21">
        <f t="shared" si="80"/>
        <v>0</v>
      </c>
      <c r="P363" s="631"/>
      <c r="Q363" s="21">
        <f t="shared" si="81"/>
        <v>0</v>
      </c>
      <c r="R363" s="21">
        <f t="shared" si="82"/>
        <v>0</v>
      </c>
      <c r="S363" s="308">
        <f t="shared" si="73"/>
        <v>0</v>
      </c>
    </row>
    <row r="364" spans="1:19">
      <c r="A364" s="142"/>
      <c r="B364" s="52"/>
      <c r="C364" s="21">
        <f t="shared" si="74"/>
        <v>1</v>
      </c>
      <c r="D364" s="631"/>
      <c r="E364" s="21">
        <f t="shared" si="75"/>
        <v>0.06</v>
      </c>
      <c r="F364" s="631"/>
      <c r="G364" s="21">
        <f t="shared" si="76"/>
        <v>1</v>
      </c>
      <c r="H364" s="631"/>
      <c r="I364" s="21">
        <f t="shared" si="77"/>
        <v>0</v>
      </c>
      <c r="J364" s="631"/>
      <c r="K364" s="21">
        <f t="shared" si="78"/>
        <v>1</v>
      </c>
      <c r="L364" s="631"/>
      <c r="M364" s="21">
        <f t="shared" si="79"/>
        <v>1</v>
      </c>
      <c r="N364" s="631"/>
      <c r="O364" s="21">
        <f t="shared" si="80"/>
        <v>0</v>
      </c>
      <c r="P364" s="631"/>
      <c r="Q364" s="21">
        <f t="shared" si="81"/>
        <v>0</v>
      </c>
      <c r="R364" s="21">
        <f t="shared" si="82"/>
        <v>0</v>
      </c>
      <c r="S364" s="308">
        <f t="shared" si="73"/>
        <v>0</v>
      </c>
    </row>
    <row r="365" spans="1:19">
      <c r="A365" s="142"/>
      <c r="B365" s="52"/>
      <c r="C365" s="21">
        <f t="shared" si="74"/>
        <v>1</v>
      </c>
      <c r="D365" s="631"/>
      <c r="E365" s="21">
        <f t="shared" si="75"/>
        <v>0.06</v>
      </c>
      <c r="F365" s="631"/>
      <c r="G365" s="21">
        <f t="shared" si="76"/>
        <v>1</v>
      </c>
      <c r="H365" s="631"/>
      <c r="I365" s="21">
        <f t="shared" si="77"/>
        <v>0</v>
      </c>
      <c r="J365" s="631"/>
      <c r="K365" s="21">
        <f t="shared" si="78"/>
        <v>1</v>
      </c>
      <c r="L365" s="631"/>
      <c r="M365" s="21">
        <f t="shared" si="79"/>
        <v>1</v>
      </c>
      <c r="N365" s="631"/>
      <c r="O365" s="21">
        <f t="shared" si="80"/>
        <v>0</v>
      </c>
      <c r="P365" s="631"/>
      <c r="Q365" s="21">
        <f t="shared" si="81"/>
        <v>0</v>
      </c>
      <c r="R365" s="21">
        <f t="shared" si="82"/>
        <v>0</v>
      </c>
      <c r="S365" s="308">
        <f t="shared" si="73"/>
        <v>0</v>
      </c>
    </row>
    <row r="366" spans="1:19">
      <c r="A366" s="142"/>
      <c r="B366" s="52"/>
      <c r="C366" s="21">
        <f t="shared" si="74"/>
        <v>1</v>
      </c>
      <c r="D366" s="631"/>
      <c r="E366" s="21">
        <f t="shared" si="75"/>
        <v>0.06</v>
      </c>
      <c r="F366" s="631"/>
      <c r="G366" s="21">
        <f t="shared" si="76"/>
        <v>1</v>
      </c>
      <c r="H366" s="631"/>
      <c r="I366" s="21">
        <f t="shared" si="77"/>
        <v>0</v>
      </c>
      <c r="J366" s="631"/>
      <c r="K366" s="21">
        <f t="shared" si="78"/>
        <v>1</v>
      </c>
      <c r="L366" s="631"/>
      <c r="M366" s="21">
        <f t="shared" si="79"/>
        <v>1</v>
      </c>
      <c r="N366" s="631"/>
      <c r="O366" s="21">
        <f t="shared" si="80"/>
        <v>0</v>
      </c>
      <c r="P366" s="631"/>
      <c r="Q366" s="21">
        <f t="shared" si="81"/>
        <v>0</v>
      </c>
      <c r="R366" s="21">
        <f t="shared" si="82"/>
        <v>0</v>
      </c>
      <c r="S366" s="308">
        <f t="shared" si="73"/>
        <v>0</v>
      </c>
    </row>
    <row r="367" spans="1:19">
      <c r="A367" s="142"/>
      <c r="B367" s="52"/>
      <c r="C367" s="21">
        <f t="shared" si="74"/>
        <v>1</v>
      </c>
      <c r="D367" s="631"/>
      <c r="E367" s="21">
        <f t="shared" si="75"/>
        <v>0.06</v>
      </c>
      <c r="F367" s="631"/>
      <c r="G367" s="21">
        <f t="shared" si="76"/>
        <v>1</v>
      </c>
      <c r="H367" s="631"/>
      <c r="I367" s="21">
        <f t="shared" si="77"/>
        <v>0</v>
      </c>
      <c r="J367" s="631"/>
      <c r="K367" s="21">
        <f t="shared" si="78"/>
        <v>1</v>
      </c>
      <c r="L367" s="631"/>
      <c r="M367" s="21">
        <f t="shared" si="79"/>
        <v>1</v>
      </c>
      <c r="N367" s="631"/>
      <c r="O367" s="21">
        <f t="shared" si="80"/>
        <v>0</v>
      </c>
      <c r="P367" s="631"/>
      <c r="Q367" s="21">
        <f t="shared" si="81"/>
        <v>0</v>
      </c>
      <c r="R367" s="21">
        <f t="shared" si="82"/>
        <v>0</v>
      </c>
      <c r="S367" s="308">
        <f t="shared" si="73"/>
        <v>0</v>
      </c>
    </row>
    <row r="368" spans="1:19">
      <c r="A368" s="142"/>
      <c r="B368" s="52"/>
      <c r="C368" s="21">
        <f t="shared" si="74"/>
        <v>1</v>
      </c>
      <c r="D368" s="631"/>
      <c r="E368" s="21">
        <f t="shared" si="75"/>
        <v>0.06</v>
      </c>
      <c r="F368" s="631"/>
      <c r="G368" s="21">
        <f t="shared" si="76"/>
        <v>1</v>
      </c>
      <c r="H368" s="631"/>
      <c r="I368" s="21">
        <f t="shared" si="77"/>
        <v>0</v>
      </c>
      <c r="J368" s="631"/>
      <c r="K368" s="21">
        <f t="shared" si="78"/>
        <v>1</v>
      </c>
      <c r="L368" s="631"/>
      <c r="M368" s="21">
        <f t="shared" si="79"/>
        <v>1</v>
      </c>
      <c r="N368" s="631"/>
      <c r="O368" s="21">
        <f t="shared" si="80"/>
        <v>0</v>
      </c>
      <c r="P368" s="631"/>
      <c r="Q368" s="21">
        <f t="shared" si="81"/>
        <v>0</v>
      </c>
      <c r="R368" s="21">
        <f t="shared" si="82"/>
        <v>0</v>
      </c>
      <c r="S368" s="308">
        <f t="shared" si="73"/>
        <v>0</v>
      </c>
    </row>
    <row r="369" spans="1:19">
      <c r="A369" s="142"/>
      <c r="B369" s="52"/>
      <c r="C369" s="21">
        <f t="shared" si="74"/>
        <v>1</v>
      </c>
      <c r="D369" s="631"/>
      <c r="E369" s="21">
        <f t="shared" si="75"/>
        <v>0.06</v>
      </c>
      <c r="F369" s="631"/>
      <c r="G369" s="21">
        <f t="shared" si="76"/>
        <v>1</v>
      </c>
      <c r="H369" s="631"/>
      <c r="I369" s="21">
        <f t="shared" si="77"/>
        <v>0</v>
      </c>
      <c r="J369" s="631"/>
      <c r="K369" s="21">
        <f t="shared" si="78"/>
        <v>1</v>
      </c>
      <c r="L369" s="631"/>
      <c r="M369" s="21">
        <f t="shared" si="79"/>
        <v>1</v>
      </c>
      <c r="N369" s="631"/>
      <c r="O369" s="21">
        <f t="shared" si="80"/>
        <v>0</v>
      </c>
      <c r="P369" s="631"/>
      <c r="Q369" s="21">
        <f t="shared" si="81"/>
        <v>0</v>
      </c>
      <c r="R369" s="21">
        <f t="shared" si="82"/>
        <v>0</v>
      </c>
      <c r="S369" s="308">
        <f t="shared" si="73"/>
        <v>0</v>
      </c>
    </row>
    <row r="370" spans="1:19">
      <c r="A370" s="142"/>
      <c r="B370" s="52"/>
      <c r="C370" s="21">
        <f t="shared" si="74"/>
        <v>1</v>
      </c>
      <c r="D370" s="631"/>
      <c r="E370" s="21">
        <f t="shared" si="75"/>
        <v>0.06</v>
      </c>
      <c r="F370" s="631"/>
      <c r="G370" s="21">
        <f t="shared" si="76"/>
        <v>1</v>
      </c>
      <c r="H370" s="631"/>
      <c r="I370" s="21">
        <f t="shared" si="77"/>
        <v>0</v>
      </c>
      <c r="J370" s="631"/>
      <c r="K370" s="21">
        <f t="shared" si="78"/>
        <v>1</v>
      </c>
      <c r="L370" s="631"/>
      <c r="M370" s="21">
        <f t="shared" si="79"/>
        <v>1</v>
      </c>
      <c r="N370" s="631"/>
      <c r="O370" s="21">
        <f t="shared" si="80"/>
        <v>0</v>
      </c>
      <c r="P370" s="631"/>
      <c r="Q370" s="21">
        <f t="shared" si="81"/>
        <v>0</v>
      </c>
      <c r="R370" s="21">
        <f t="shared" si="82"/>
        <v>0</v>
      </c>
      <c r="S370" s="308">
        <f t="shared" si="73"/>
        <v>0</v>
      </c>
    </row>
    <row r="371" spans="1:19">
      <c r="A371" s="142"/>
      <c r="B371" s="52"/>
      <c r="C371" s="21">
        <f t="shared" si="74"/>
        <v>1</v>
      </c>
      <c r="D371" s="631"/>
      <c r="E371" s="21">
        <f t="shared" si="75"/>
        <v>0.06</v>
      </c>
      <c r="F371" s="631"/>
      <c r="G371" s="21">
        <f t="shared" si="76"/>
        <v>1</v>
      </c>
      <c r="H371" s="631"/>
      <c r="I371" s="21">
        <f t="shared" si="77"/>
        <v>0</v>
      </c>
      <c r="J371" s="631"/>
      <c r="K371" s="21">
        <f t="shared" si="78"/>
        <v>1</v>
      </c>
      <c r="L371" s="631"/>
      <c r="M371" s="21">
        <f t="shared" si="79"/>
        <v>1</v>
      </c>
      <c r="N371" s="631"/>
      <c r="O371" s="21">
        <f t="shared" si="80"/>
        <v>0</v>
      </c>
      <c r="P371" s="631"/>
      <c r="Q371" s="21">
        <f t="shared" si="81"/>
        <v>0</v>
      </c>
      <c r="R371" s="21">
        <f t="shared" si="82"/>
        <v>0</v>
      </c>
      <c r="S371" s="308">
        <f t="shared" si="73"/>
        <v>0</v>
      </c>
    </row>
    <row r="372" spans="1:19">
      <c r="A372" s="142"/>
      <c r="B372" s="52"/>
      <c r="C372" s="21">
        <f t="shared" si="74"/>
        <v>1</v>
      </c>
      <c r="D372" s="631"/>
      <c r="E372" s="21">
        <f t="shared" si="75"/>
        <v>0.06</v>
      </c>
      <c r="F372" s="631"/>
      <c r="G372" s="21">
        <f t="shared" si="76"/>
        <v>1</v>
      </c>
      <c r="H372" s="631"/>
      <c r="I372" s="21">
        <f t="shared" si="77"/>
        <v>0</v>
      </c>
      <c r="J372" s="631"/>
      <c r="K372" s="21">
        <f t="shared" si="78"/>
        <v>1</v>
      </c>
      <c r="L372" s="631"/>
      <c r="M372" s="21">
        <f t="shared" si="79"/>
        <v>1</v>
      </c>
      <c r="N372" s="631"/>
      <c r="O372" s="21">
        <f t="shared" si="80"/>
        <v>0</v>
      </c>
      <c r="P372" s="631"/>
      <c r="Q372" s="21">
        <f t="shared" si="81"/>
        <v>0</v>
      </c>
      <c r="R372" s="21">
        <f t="shared" si="82"/>
        <v>0</v>
      </c>
      <c r="S372" s="308">
        <f t="shared" si="73"/>
        <v>0</v>
      </c>
    </row>
    <row r="373" spans="1:19">
      <c r="A373" s="142"/>
      <c r="B373" s="52"/>
      <c r="C373" s="21">
        <f t="shared" si="74"/>
        <v>1</v>
      </c>
      <c r="D373" s="631"/>
      <c r="E373" s="21">
        <f t="shared" si="75"/>
        <v>0.06</v>
      </c>
      <c r="F373" s="631"/>
      <c r="G373" s="21">
        <f t="shared" si="76"/>
        <v>1</v>
      </c>
      <c r="H373" s="631"/>
      <c r="I373" s="21">
        <f t="shared" si="77"/>
        <v>0</v>
      </c>
      <c r="J373" s="631"/>
      <c r="K373" s="21">
        <f t="shared" si="78"/>
        <v>1</v>
      </c>
      <c r="L373" s="631"/>
      <c r="M373" s="21">
        <f t="shared" si="79"/>
        <v>1</v>
      </c>
      <c r="N373" s="631"/>
      <c r="O373" s="21">
        <f t="shared" si="80"/>
        <v>0</v>
      </c>
      <c r="P373" s="631"/>
      <c r="Q373" s="21">
        <f t="shared" si="81"/>
        <v>0</v>
      </c>
      <c r="R373" s="21">
        <f t="shared" si="82"/>
        <v>0</v>
      </c>
      <c r="S373" s="308">
        <f t="shared" si="73"/>
        <v>0</v>
      </c>
    </row>
    <row r="374" spans="1:19">
      <c r="A374" s="142"/>
      <c r="B374" s="52"/>
      <c r="C374" s="21">
        <f t="shared" si="74"/>
        <v>1</v>
      </c>
      <c r="D374" s="631"/>
      <c r="E374" s="21">
        <f t="shared" si="75"/>
        <v>0.06</v>
      </c>
      <c r="F374" s="631"/>
      <c r="G374" s="21">
        <f t="shared" si="76"/>
        <v>1</v>
      </c>
      <c r="H374" s="631"/>
      <c r="I374" s="21">
        <f t="shared" si="77"/>
        <v>0</v>
      </c>
      <c r="J374" s="631"/>
      <c r="K374" s="21">
        <f t="shared" si="78"/>
        <v>1</v>
      </c>
      <c r="L374" s="631"/>
      <c r="M374" s="21">
        <f t="shared" si="79"/>
        <v>1</v>
      </c>
      <c r="N374" s="631"/>
      <c r="O374" s="21">
        <f t="shared" si="80"/>
        <v>0</v>
      </c>
      <c r="P374" s="631"/>
      <c r="Q374" s="21">
        <f t="shared" si="81"/>
        <v>0</v>
      </c>
      <c r="R374" s="21">
        <f t="shared" si="82"/>
        <v>0</v>
      </c>
      <c r="S374" s="308">
        <f t="shared" si="73"/>
        <v>0</v>
      </c>
    </row>
    <row r="375" spans="1:19">
      <c r="A375" s="142"/>
      <c r="B375" s="52"/>
      <c r="C375" s="21">
        <f t="shared" si="74"/>
        <v>1</v>
      </c>
      <c r="D375" s="631"/>
      <c r="E375" s="21">
        <f t="shared" si="75"/>
        <v>0.06</v>
      </c>
      <c r="F375" s="631"/>
      <c r="G375" s="21">
        <f t="shared" si="76"/>
        <v>1</v>
      </c>
      <c r="H375" s="631"/>
      <c r="I375" s="21">
        <f t="shared" si="77"/>
        <v>0</v>
      </c>
      <c r="J375" s="631"/>
      <c r="K375" s="21">
        <f t="shared" si="78"/>
        <v>1</v>
      </c>
      <c r="L375" s="631"/>
      <c r="M375" s="21">
        <f t="shared" si="79"/>
        <v>1</v>
      </c>
      <c r="N375" s="631"/>
      <c r="O375" s="21">
        <f t="shared" si="80"/>
        <v>0</v>
      </c>
      <c r="P375" s="631"/>
      <c r="Q375" s="21">
        <f t="shared" si="81"/>
        <v>0</v>
      </c>
      <c r="R375" s="21">
        <f t="shared" si="82"/>
        <v>0</v>
      </c>
      <c r="S375" s="308">
        <f t="shared" si="73"/>
        <v>0</v>
      </c>
    </row>
    <row r="376" spans="1:19">
      <c r="A376" s="142"/>
      <c r="B376" s="52"/>
      <c r="C376" s="21">
        <f t="shared" si="74"/>
        <v>1</v>
      </c>
      <c r="D376" s="631"/>
      <c r="E376" s="21">
        <f t="shared" si="75"/>
        <v>0.06</v>
      </c>
      <c r="F376" s="631"/>
      <c r="G376" s="21">
        <f t="shared" si="76"/>
        <v>1</v>
      </c>
      <c r="H376" s="631"/>
      <c r="I376" s="21">
        <f t="shared" si="77"/>
        <v>0</v>
      </c>
      <c r="J376" s="631"/>
      <c r="K376" s="21">
        <f t="shared" si="78"/>
        <v>1</v>
      </c>
      <c r="L376" s="631"/>
      <c r="M376" s="21">
        <f t="shared" si="79"/>
        <v>1</v>
      </c>
      <c r="N376" s="631"/>
      <c r="O376" s="21">
        <f t="shared" si="80"/>
        <v>0</v>
      </c>
      <c r="P376" s="631"/>
      <c r="Q376" s="21">
        <f t="shared" si="81"/>
        <v>0</v>
      </c>
      <c r="R376" s="21">
        <f t="shared" si="82"/>
        <v>0</v>
      </c>
      <c r="S376" s="308">
        <f t="shared" si="73"/>
        <v>0</v>
      </c>
    </row>
    <row r="377" spans="1:19">
      <c r="A377" s="142"/>
      <c r="B377" s="52"/>
      <c r="C377" s="21">
        <f t="shared" si="74"/>
        <v>1</v>
      </c>
      <c r="D377" s="631"/>
      <c r="E377" s="21">
        <f t="shared" si="75"/>
        <v>0.06</v>
      </c>
      <c r="F377" s="631"/>
      <c r="G377" s="21">
        <f t="shared" si="76"/>
        <v>1</v>
      </c>
      <c r="H377" s="631"/>
      <c r="I377" s="21">
        <f t="shared" si="77"/>
        <v>0</v>
      </c>
      <c r="J377" s="631"/>
      <c r="K377" s="21">
        <f t="shared" si="78"/>
        <v>1</v>
      </c>
      <c r="L377" s="631"/>
      <c r="M377" s="21">
        <f t="shared" si="79"/>
        <v>1</v>
      </c>
      <c r="N377" s="631"/>
      <c r="O377" s="21">
        <f t="shared" si="80"/>
        <v>0</v>
      </c>
      <c r="P377" s="631"/>
      <c r="Q377" s="21">
        <f t="shared" si="81"/>
        <v>0</v>
      </c>
      <c r="R377" s="21">
        <f t="shared" si="82"/>
        <v>0</v>
      </c>
      <c r="S377" s="308">
        <f t="shared" si="73"/>
        <v>0</v>
      </c>
    </row>
    <row r="378" spans="1:19">
      <c r="A378" s="142"/>
      <c r="B378" s="52"/>
      <c r="C378" s="21">
        <f t="shared" si="74"/>
        <v>1</v>
      </c>
      <c r="D378" s="631"/>
      <c r="E378" s="21">
        <f t="shared" si="75"/>
        <v>0.06</v>
      </c>
      <c r="F378" s="631"/>
      <c r="G378" s="21">
        <f t="shared" si="76"/>
        <v>1</v>
      </c>
      <c r="H378" s="631"/>
      <c r="I378" s="21">
        <f t="shared" si="77"/>
        <v>0</v>
      </c>
      <c r="J378" s="631"/>
      <c r="K378" s="21">
        <f t="shared" si="78"/>
        <v>1</v>
      </c>
      <c r="L378" s="631"/>
      <c r="M378" s="21">
        <f t="shared" si="79"/>
        <v>1</v>
      </c>
      <c r="N378" s="631"/>
      <c r="O378" s="21">
        <f t="shared" si="80"/>
        <v>0</v>
      </c>
      <c r="P378" s="631"/>
      <c r="Q378" s="21">
        <f t="shared" si="81"/>
        <v>0</v>
      </c>
      <c r="R378" s="21">
        <f t="shared" si="82"/>
        <v>0</v>
      </c>
      <c r="S378" s="308">
        <f t="shared" si="73"/>
        <v>0</v>
      </c>
    </row>
    <row r="379" spans="1:19">
      <c r="A379" s="142"/>
      <c r="B379" s="52"/>
      <c r="C379" s="21">
        <f t="shared" si="74"/>
        <v>1</v>
      </c>
      <c r="D379" s="631"/>
      <c r="E379" s="21">
        <f t="shared" si="75"/>
        <v>0.06</v>
      </c>
      <c r="F379" s="631"/>
      <c r="G379" s="21">
        <f t="shared" si="76"/>
        <v>1</v>
      </c>
      <c r="H379" s="631"/>
      <c r="I379" s="21">
        <f t="shared" si="77"/>
        <v>0</v>
      </c>
      <c r="J379" s="631"/>
      <c r="K379" s="21">
        <f t="shared" si="78"/>
        <v>1</v>
      </c>
      <c r="L379" s="631"/>
      <c r="M379" s="21">
        <f t="shared" si="79"/>
        <v>1</v>
      </c>
      <c r="N379" s="631"/>
      <c r="O379" s="21">
        <f t="shared" si="80"/>
        <v>0</v>
      </c>
      <c r="P379" s="631"/>
      <c r="Q379" s="21">
        <f t="shared" si="81"/>
        <v>0</v>
      </c>
      <c r="R379" s="21">
        <f t="shared" si="82"/>
        <v>0</v>
      </c>
      <c r="S379" s="308">
        <f t="shared" si="73"/>
        <v>0</v>
      </c>
    </row>
    <row r="380" spans="1:19">
      <c r="A380" s="142"/>
      <c r="B380" s="52"/>
      <c r="C380" s="21">
        <f t="shared" si="74"/>
        <v>1</v>
      </c>
      <c r="D380" s="631"/>
      <c r="E380" s="21">
        <f t="shared" si="75"/>
        <v>0.06</v>
      </c>
      <c r="F380" s="631"/>
      <c r="G380" s="21">
        <f t="shared" si="76"/>
        <v>1</v>
      </c>
      <c r="H380" s="631"/>
      <c r="I380" s="21">
        <f t="shared" si="77"/>
        <v>0</v>
      </c>
      <c r="J380" s="631"/>
      <c r="K380" s="21">
        <f t="shared" si="78"/>
        <v>1</v>
      </c>
      <c r="L380" s="631"/>
      <c r="M380" s="21">
        <f t="shared" si="79"/>
        <v>1</v>
      </c>
      <c r="N380" s="631"/>
      <c r="O380" s="21">
        <f t="shared" si="80"/>
        <v>0</v>
      </c>
      <c r="P380" s="631"/>
      <c r="Q380" s="21">
        <f t="shared" si="81"/>
        <v>0</v>
      </c>
      <c r="R380" s="21">
        <f t="shared" si="82"/>
        <v>0</v>
      </c>
      <c r="S380" s="308">
        <f t="shared" si="73"/>
        <v>0</v>
      </c>
    </row>
    <row r="381" spans="1:19">
      <c r="A381" s="142"/>
      <c r="B381" s="52"/>
      <c r="C381" s="21">
        <f t="shared" si="74"/>
        <v>1</v>
      </c>
      <c r="D381" s="631"/>
      <c r="E381" s="21">
        <f t="shared" si="75"/>
        <v>0.06</v>
      </c>
      <c r="F381" s="631"/>
      <c r="G381" s="21">
        <f t="shared" si="76"/>
        <v>1</v>
      </c>
      <c r="H381" s="631"/>
      <c r="I381" s="21">
        <f t="shared" si="77"/>
        <v>0</v>
      </c>
      <c r="J381" s="631"/>
      <c r="K381" s="21">
        <f t="shared" si="78"/>
        <v>1</v>
      </c>
      <c r="L381" s="631"/>
      <c r="M381" s="21">
        <f t="shared" si="79"/>
        <v>1</v>
      </c>
      <c r="N381" s="631"/>
      <c r="O381" s="21">
        <f t="shared" si="80"/>
        <v>0</v>
      </c>
      <c r="P381" s="631"/>
      <c r="Q381" s="21">
        <f t="shared" si="81"/>
        <v>0</v>
      </c>
      <c r="R381" s="21">
        <f t="shared" si="82"/>
        <v>0</v>
      </c>
      <c r="S381" s="308">
        <f t="shared" si="73"/>
        <v>0</v>
      </c>
    </row>
    <row r="382" spans="1:19">
      <c r="A382" s="142"/>
      <c r="B382" s="52"/>
      <c r="C382" s="21">
        <f t="shared" si="74"/>
        <v>1</v>
      </c>
      <c r="D382" s="631"/>
      <c r="E382" s="21">
        <f t="shared" si="75"/>
        <v>0.06</v>
      </c>
      <c r="F382" s="631"/>
      <c r="G382" s="21">
        <f t="shared" si="76"/>
        <v>1</v>
      </c>
      <c r="H382" s="631"/>
      <c r="I382" s="21">
        <f t="shared" si="77"/>
        <v>0</v>
      </c>
      <c r="J382" s="631"/>
      <c r="K382" s="21">
        <f t="shared" si="78"/>
        <v>1</v>
      </c>
      <c r="L382" s="631"/>
      <c r="M382" s="21">
        <f t="shared" si="79"/>
        <v>1</v>
      </c>
      <c r="N382" s="631"/>
      <c r="O382" s="21">
        <f t="shared" si="80"/>
        <v>0</v>
      </c>
      <c r="P382" s="631"/>
      <c r="Q382" s="21">
        <f t="shared" si="81"/>
        <v>0</v>
      </c>
      <c r="R382" s="21">
        <f t="shared" si="82"/>
        <v>0</v>
      </c>
      <c r="S382" s="308">
        <f t="shared" si="73"/>
        <v>0</v>
      </c>
    </row>
    <row r="383" spans="1:19">
      <c r="A383" s="142"/>
      <c r="B383" s="52"/>
      <c r="C383" s="21">
        <f t="shared" si="74"/>
        <v>1</v>
      </c>
      <c r="D383" s="631"/>
      <c r="E383" s="21">
        <f t="shared" si="75"/>
        <v>0.06</v>
      </c>
      <c r="F383" s="631"/>
      <c r="G383" s="21">
        <f t="shared" si="76"/>
        <v>1</v>
      </c>
      <c r="H383" s="631"/>
      <c r="I383" s="21">
        <f t="shared" si="77"/>
        <v>0</v>
      </c>
      <c r="J383" s="631"/>
      <c r="K383" s="21">
        <f t="shared" si="78"/>
        <v>1</v>
      </c>
      <c r="L383" s="631"/>
      <c r="M383" s="21">
        <f t="shared" si="79"/>
        <v>1</v>
      </c>
      <c r="N383" s="631"/>
      <c r="O383" s="21">
        <f t="shared" si="80"/>
        <v>0</v>
      </c>
      <c r="P383" s="631"/>
      <c r="Q383" s="21">
        <f t="shared" si="81"/>
        <v>0</v>
      </c>
      <c r="R383" s="21">
        <f t="shared" si="82"/>
        <v>0</v>
      </c>
      <c r="S383" s="308">
        <f t="shared" si="73"/>
        <v>0</v>
      </c>
    </row>
    <row r="384" spans="1:19">
      <c r="A384" s="142"/>
      <c r="B384" s="52"/>
      <c r="C384" s="21">
        <f t="shared" si="74"/>
        <v>1</v>
      </c>
      <c r="D384" s="631"/>
      <c r="E384" s="21">
        <f t="shared" si="75"/>
        <v>0.06</v>
      </c>
      <c r="F384" s="631"/>
      <c r="G384" s="21">
        <f t="shared" si="76"/>
        <v>1</v>
      </c>
      <c r="H384" s="631"/>
      <c r="I384" s="21">
        <f t="shared" si="77"/>
        <v>0</v>
      </c>
      <c r="J384" s="631"/>
      <c r="K384" s="21">
        <f t="shared" si="78"/>
        <v>1</v>
      </c>
      <c r="L384" s="631"/>
      <c r="M384" s="21">
        <f t="shared" si="79"/>
        <v>1</v>
      </c>
      <c r="N384" s="631"/>
      <c r="O384" s="21">
        <f t="shared" si="80"/>
        <v>0</v>
      </c>
      <c r="P384" s="631"/>
      <c r="Q384" s="21">
        <f t="shared" si="81"/>
        <v>0</v>
      </c>
      <c r="R384" s="21">
        <f t="shared" si="82"/>
        <v>0</v>
      </c>
      <c r="S384" s="308">
        <f t="shared" si="73"/>
        <v>0</v>
      </c>
    </row>
    <row r="385" spans="1:19">
      <c r="A385" s="142"/>
      <c r="B385" s="52"/>
      <c r="C385" s="21">
        <f t="shared" si="74"/>
        <v>1</v>
      </c>
      <c r="D385" s="631"/>
      <c r="E385" s="21">
        <f t="shared" si="75"/>
        <v>0.06</v>
      </c>
      <c r="F385" s="631"/>
      <c r="G385" s="21">
        <f t="shared" si="76"/>
        <v>1</v>
      </c>
      <c r="H385" s="631"/>
      <c r="I385" s="21">
        <f t="shared" si="77"/>
        <v>0</v>
      </c>
      <c r="J385" s="631"/>
      <c r="K385" s="21">
        <f t="shared" si="78"/>
        <v>1</v>
      </c>
      <c r="L385" s="631"/>
      <c r="M385" s="21">
        <f t="shared" si="79"/>
        <v>1</v>
      </c>
      <c r="N385" s="631"/>
      <c r="O385" s="21">
        <f t="shared" si="80"/>
        <v>0</v>
      </c>
      <c r="P385" s="631"/>
      <c r="Q385" s="21">
        <f t="shared" si="81"/>
        <v>0</v>
      </c>
      <c r="R385" s="21">
        <f t="shared" si="82"/>
        <v>0</v>
      </c>
      <c r="S385" s="308">
        <f t="shared" si="73"/>
        <v>0</v>
      </c>
    </row>
    <row r="386" spans="1:19">
      <c r="A386" s="142"/>
      <c r="B386" s="52"/>
      <c r="C386" s="21">
        <f t="shared" si="74"/>
        <v>1</v>
      </c>
      <c r="D386" s="631"/>
      <c r="E386" s="21">
        <f t="shared" si="75"/>
        <v>0.06</v>
      </c>
      <c r="F386" s="631"/>
      <c r="G386" s="21">
        <f t="shared" si="76"/>
        <v>1</v>
      </c>
      <c r="H386" s="631"/>
      <c r="I386" s="21">
        <f t="shared" si="77"/>
        <v>0</v>
      </c>
      <c r="J386" s="631"/>
      <c r="K386" s="21">
        <f t="shared" si="78"/>
        <v>1</v>
      </c>
      <c r="L386" s="631"/>
      <c r="M386" s="21">
        <f t="shared" si="79"/>
        <v>1</v>
      </c>
      <c r="N386" s="631"/>
      <c r="O386" s="21">
        <f t="shared" si="80"/>
        <v>0</v>
      </c>
      <c r="P386" s="631"/>
      <c r="Q386" s="21">
        <f t="shared" si="81"/>
        <v>0</v>
      </c>
      <c r="R386" s="21">
        <f t="shared" si="82"/>
        <v>0</v>
      </c>
      <c r="S386" s="308">
        <f t="shared" ref="S386:S423" si="83">ROUND(R386*B386/10000,0)</f>
        <v>0</v>
      </c>
    </row>
    <row r="387" spans="1:19">
      <c r="A387" s="142"/>
      <c r="B387" s="52"/>
      <c r="C387" s="21">
        <f t="shared" si="74"/>
        <v>1</v>
      </c>
      <c r="D387" s="631"/>
      <c r="E387" s="21">
        <f t="shared" si="75"/>
        <v>0.06</v>
      </c>
      <c r="F387" s="631"/>
      <c r="G387" s="21">
        <f t="shared" si="76"/>
        <v>1</v>
      </c>
      <c r="H387" s="631"/>
      <c r="I387" s="21">
        <f t="shared" si="77"/>
        <v>0</v>
      </c>
      <c r="J387" s="631"/>
      <c r="K387" s="21">
        <f t="shared" si="78"/>
        <v>1</v>
      </c>
      <c r="L387" s="631"/>
      <c r="M387" s="21">
        <f t="shared" si="79"/>
        <v>1</v>
      </c>
      <c r="N387" s="631"/>
      <c r="O387" s="21">
        <f t="shared" si="80"/>
        <v>0</v>
      </c>
      <c r="P387" s="631"/>
      <c r="Q387" s="21">
        <f t="shared" si="81"/>
        <v>0</v>
      </c>
      <c r="R387" s="21">
        <f t="shared" si="82"/>
        <v>0</v>
      </c>
      <c r="S387" s="308">
        <f t="shared" si="83"/>
        <v>0</v>
      </c>
    </row>
    <row r="388" spans="1:19">
      <c r="A388" s="142"/>
      <c r="B388" s="52"/>
      <c r="C388" s="21">
        <f t="shared" si="74"/>
        <v>1</v>
      </c>
      <c r="D388" s="631"/>
      <c r="E388" s="21">
        <f t="shared" si="75"/>
        <v>0.06</v>
      </c>
      <c r="F388" s="631"/>
      <c r="G388" s="21">
        <f t="shared" si="76"/>
        <v>1</v>
      </c>
      <c r="H388" s="631"/>
      <c r="I388" s="21">
        <f t="shared" si="77"/>
        <v>0</v>
      </c>
      <c r="J388" s="631"/>
      <c r="K388" s="21">
        <f t="shared" si="78"/>
        <v>1</v>
      </c>
      <c r="L388" s="631"/>
      <c r="M388" s="21">
        <f t="shared" si="79"/>
        <v>1</v>
      </c>
      <c r="N388" s="631"/>
      <c r="O388" s="21">
        <f t="shared" si="80"/>
        <v>0</v>
      </c>
      <c r="P388" s="631"/>
      <c r="Q388" s="21">
        <f t="shared" si="81"/>
        <v>0</v>
      </c>
      <c r="R388" s="21">
        <f t="shared" si="82"/>
        <v>0</v>
      </c>
      <c r="S388" s="308">
        <f t="shared" si="83"/>
        <v>0</v>
      </c>
    </row>
    <row r="389" spans="1:19">
      <c r="A389" s="142"/>
      <c r="B389" s="52"/>
      <c r="C389" s="21">
        <f t="shared" si="74"/>
        <v>1</v>
      </c>
      <c r="D389" s="631"/>
      <c r="E389" s="21">
        <f t="shared" si="75"/>
        <v>0.06</v>
      </c>
      <c r="F389" s="631"/>
      <c r="G389" s="21">
        <f t="shared" si="76"/>
        <v>1</v>
      </c>
      <c r="H389" s="631"/>
      <c r="I389" s="21">
        <f t="shared" si="77"/>
        <v>0</v>
      </c>
      <c r="J389" s="631"/>
      <c r="K389" s="21">
        <f t="shared" si="78"/>
        <v>1</v>
      </c>
      <c r="L389" s="631"/>
      <c r="M389" s="21">
        <f t="shared" si="79"/>
        <v>1</v>
      </c>
      <c r="N389" s="631"/>
      <c r="O389" s="21">
        <f t="shared" si="80"/>
        <v>0</v>
      </c>
      <c r="P389" s="631"/>
      <c r="Q389" s="21">
        <f t="shared" si="81"/>
        <v>0</v>
      </c>
      <c r="R389" s="21">
        <f t="shared" si="82"/>
        <v>0</v>
      </c>
      <c r="S389" s="308">
        <f t="shared" si="83"/>
        <v>0</v>
      </c>
    </row>
    <row r="390" spans="1:19">
      <c r="A390" s="142"/>
      <c r="B390" s="52"/>
      <c r="C390" s="21">
        <f t="shared" si="74"/>
        <v>1</v>
      </c>
      <c r="D390" s="631"/>
      <c r="E390" s="21">
        <f t="shared" si="75"/>
        <v>0.06</v>
      </c>
      <c r="F390" s="631"/>
      <c r="G390" s="21">
        <f t="shared" si="76"/>
        <v>1</v>
      </c>
      <c r="H390" s="631"/>
      <c r="I390" s="21">
        <f t="shared" si="77"/>
        <v>0</v>
      </c>
      <c r="J390" s="631"/>
      <c r="K390" s="21">
        <f t="shared" si="78"/>
        <v>1</v>
      </c>
      <c r="L390" s="631"/>
      <c r="M390" s="21">
        <f t="shared" si="79"/>
        <v>1</v>
      </c>
      <c r="N390" s="631"/>
      <c r="O390" s="21">
        <f t="shared" si="80"/>
        <v>0</v>
      </c>
      <c r="P390" s="631"/>
      <c r="Q390" s="21">
        <f t="shared" si="81"/>
        <v>0</v>
      </c>
      <c r="R390" s="21">
        <f t="shared" si="82"/>
        <v>0</v>
      </c>
      <c r="S390" s="308">
        <f t="shared" si="83"/>
        <v>0</v>
      </c>
    </row>
    <row r="391" spans="1:19">
      <c r="A391" s="142"/>
      <c r="B391" s="52"/>
      <c r="C391" s="21">
        <f t="shared" si="74"/>
        <v>1</v>
      </c>
      <c r="D391" s="631"/>
      <c r="E391" s="21">
        <f t="shared" si="75"/>
        <v>0.06</v>
      </c>
      <c r="F391" s="631"/>
      <c r="G391" s="21">
        <f t="shared" si="76"/>
        <v>1</v>
      </c>
      <c r="H391" s="631"/>
      <c r="I391" s="21">
        <f t="shared" si="77"/>
        <v>0</v>
      </c>
      <c r="J391" s="631"/>
      <c r="K391" s="21">
        <f t="shared" si="78"/>
        <v>1</v>
      </c>
      <c r="L391" s="631"/>
      <c r="M391" s="21">
        <f t="shared" si="79"/>
        <v>1</v>
      </c>
      <c r="N391" s="631"/>
      <c r="O391" s="21">
        <f t="shared" si="80"/>
        <v>0</v>
      </c>
      <c r="P391" s="631"/>
      <c r="Q391" s="21">
        <f t="shared" si="81"/>
        <v>0</v>
      </c>
      <c r="R391" s="21">
        <f t="shared" si="82"/>
        <v>0</v>
      </c>
      <c r="S391" s="308">
        <f t="shared" si="83"/>
        <v>0</v>
      </c>
    </row>
    <row r="392" spans="1:19">
      <c r="A392" s="142"/>
      <c r="B392" s="52"/>
      <c r="C392" s="21">
        <f t="shared" si="74"/>
        <v>1</v>
      </c>
      <c r="D392" s="631"/>
      <c r="E392" s="21">
        <f t="shared" si="75"/>
        <v>0.06</v>
      </c>
      <c r="F392" s="631"/>
      <c r="G392" s="21">
        <f t="shared" si="76"/>
        <v>1</v>
      </c>
      <c r="H392" s="631"/>
      <c r="I392" s="21">
        <f t="shared" si="77"/>
        <v>0</v>
      </c>
      <c r="J392" s="631"/>
      <c r="K392" s="21">
        <f t="shared" si="78"/>
        <v>1</v>
      </c>
      <c r="L392" s="631"/>
      <c r="M392" s="21">
        <f t="shared" si="79"/>
        <v>1</v>
      </c>
      <c r="N392" s="631"/>
      <c r="O392" s="21">
        <f t="shared" si="80"/>
        <v>0</v>
      </c>
      <c r="P392" s="631"/>
      <c r="Q392" s="21">
        <f t="shared" si="81"/>
        <v>0</v>
      </c>
      <c r="R392" s="21">
        <f t="shared" si="82"/>
        <v>0</v>
      </c>
      <c r="S392" s="308">
        <f t="shared" si="83"/>
        <v>0</v>
      </c>
    </row>
    <row r="393" spans="1:19">
      <c r="A393" s="142"/>
      <c r="B393" s="52"/>
      <c r="C393" s="21">
        <f t="shared" si="74"/>
        <v>1</v>
      </c>
      <c r="D393" s="631"/>
      <c r="E393" s="21">
        <f t="shared" si="75"/>
        <v>0.06</v>
      </c>
      <c r="F393" s="631"/>
      <c r="G393" s="21">
        <f t="shared" si="76"/>
        <v>1</v>
      </c>
      <c r="H393" s="631"/>
      <c r="I393" s="21">
        <f t="shared" si="77"/>
        <v>0</v>
      </c>
      <c r="J393" s="631"/>
      <c r="K393" s="21">
        <f t="shared" si="78"/>
        <v>1</v>
      </c>
      <c r="L393" s="631"/>
      <c r="M393" s="21">
        <f t="shared" si="79"/>
        <v>1</v>
      </c>
      <c r="N393" s="631"/>
      <c r="O393" s="21">
        <f t="shared" si="80"/>
        <v>0</v>
      </c>
      <c r="P393" s="631"/>
      <c r="Q393" s="21">
        <f t="shared" si="81"/>
        <v>0</v>
      </c>
      <c r="R393" s="21">
        <f t="shared" si="82"/>
        <v>0</v>
      </c>
      <c r="S393" s="308">
        <f t="shared" si="83"/>
        <v>0</v>
      </c>
    </row>
    <row r="394" spans="1:19">
      <c r="A394" s="142"/>
      <c r="B394" s="52"/>
      <c r="C394" s="21">
        <f t="shared" si="74"/>
        <v>1</v>
      </c>
      <c r="D394" s="631"/>
      <c r="E394" s="21">
        <f t="shared" si="75"/>
        <v>0.06</v>
      </c>
      <c r="F394" s="631"/>
      <c r="G394" s="21">
        <f t="shared" si="76"/>
        <v>1</v>
      </c>
      <c r="H394" s="631"/>
      <c r="I394" s="21">
        <f t="shared" si="77"/>
        <v>0</v>
      </c>
      <c r="J394" s="631"/>
      <c r="K394" s="21">
        <f t="shared" si="78"/>
        <v>1</v>
      </c>
      <c r="L394" s="631"/>
      <c r="M394" s="21">
        <f t="shared" si="79"/>
        <v>1</v>
      </c>
      <c r="N394" s="631"/>
      <c r="O394" s="21">
        <f t="shared" si="80"/>
        <v>0</v>
      </c>
      <c r="P394" s="631"/>
      <c r="Q394" s="21">
        <f t="shared" si="81"/>
        <v>0</v>
      </c>
      <c r="R394" s="21">
        <f t="shared" si="82"/>
        <v>0</v>
      </c>
      <c r="S394" s="308">
        <f t="shared" si="83"/>
        <v>0</v>
      </c>
    </row>
    <row r="395" spans="1:19">
      <c r="A395" s="142"/>
      <c r="B395" s="52"/>
      <c r="C395" s="21">
        <f t="shared" si="74"/>
        <v>1</v>
      </c>
      <c r="D395" s="631"/>
      <c r="E395" s="21">
        <f t="shared" si="75"/>
        <v>0.06</v>
      </c>
      <c r="F395" s="631"/>
      <c r="G395" s="21">
        <f t="shared" si="76"/>
        <v>1</v>
      </c>
      <c r="H395" s="631"/>
      <c r="I395" s="21">
        <f t="shared" si="77"/>
        <v>0</v>
      </c>
      <c r="J395" s="631"/>
      <c r="K395" s="21">
        <f t="shared" si="78"/>
        <v>1</v>
      </c>
      <c r="L395" s="631"/>
      <c r="M395" s="21">
        <f t="shared" si="79"/>
        <v>1</v>
      </c>
      <c r="N395" s="631"/>
      <c r="O395" s="21">
        <f t="shared" si="80"/>
        <v>0</v>
      </c>
      <c r="P395" s="631"/>
      <c r="Q395" s="21">
        <f t="shared" si="81"/>
        <v>0</v>
      </c>
      <c r="R395" s="21">
        <f t="shared" si="82"/>
        <v>0</v>
      </c>
      <c r="S395" s="308">
        <f t="shared" si="83"/>
        <v>0</v>
      </c>
    </row>
    <row r="396" spans="1:19">
      <c r="A396" s="142"/>
      <c r="B396" s="52"/>
      <c r="C396" s="21">
        <f t="shared" si="74"/>
        <v>1</v>
      </c>
      <c r="D396" s="631"/>
      <c r="E396" s="21">
        <f t="shared" si="75"/>
        <v>0.06</v>
      </c>
      <c r="F396" s="631"/>
      <c r="G396" s="21">
        <f t="shared" si="76"/>
        <v>1</v>
      </c>
      <c r="H396" s="631"/>
      <c r="I396" s="21">
        <f t="shared" si="77"/>
        <v>0</v>
      </c>
      <c r="J396" s="631"/>
      <c r="K396" s="21">
        <f t="shared" si="78"/>
        <v>1</v>
      </c>
      <c r="L396" s="631"/>
      <c r="M396" s="21">
        <f t="shared" si="79"/>
        <v>1</v>
      </c>
      <c r="N396" s="631"/>
      <c r="O396" s="21">
        <f t="shared" si="80"/>
        <v>0</v>
      </c>
      <c r="P396" s="631"/>
      <c r="Q396" s="21">
        <f t="shared" si="81"/>
        <v>0</v>
      </c>
      <c r="R396" s="21">
        <f t="shared" si="82"/>
        <v>0</v>
      </c>
      <c r="S396" s="308">
        <f t="shared" si="83"/>
        <v>0</v>
      </c>
    </row>
    <row r="397" spans="1:19">
      <c r="A397" s="142"/>
      <c r="B397" s="52"/>
      <c r="C397" s="21">
        <f t="shared" si="74"/>
        <v>1</v>
      </c>
      <c r="D397" s="631"/>
      <c r="E397" s="21">
        <f t="shared" si="75"/>
        <v>0.06</v>
      </c>
      <c r="F397" s="631"/>
      <c r="G397" s="21">
        <f t="shared" si="76"/>
        <v>1</v>
      </c>
      <c r="H397" s="631"/>
      <c r="I397" s="21">
        <f t="shared" si="77"/>
        <v>0</v>
      </c>
      <c r="J397" s="631"/>
      <c r="K397" s="21">
        <f t="shared" si="78"/>
        <v>1</v>
      </c>
      <c r="L397" s="631"/>
      <c r="M397" s="21">
        <f t="shared" si="79"/>
        <v>1</v>
      </c>
      <c r="N397" s="631"/>
      <c r="O397" s="21">
        <f t="shared" si="80"/>
        <v>0</v>
      </c>
      <c r="P397" s="631"/>
      <c r="Q397" s="21">
        <f t="shared" si="81"/>
        <v>0</v>
      </c>
      <c r="R397" s="21">
        <f t="shared" si="82"/>
        <v>0</v>
      </c>
      <c r="S397" s="308">
        <f t="shared" si="83"/>
        <v>0</v>
      </c>
    </row>
    <row r="398" spans="1:19">
      <c r="A398" s="142"/>
      <c r="B398" s="52"/>
      <c r="C398" s="21">
        <f t="shared" si="74"/>
        <v>1</v>
      </c>
      <c r="D398" s="631"/>
      <c r="E398" s="21">
        <f t="shared" si="75"/>
        <v>0.06</v>
      </c>
      <c r="F398" s="631"/>
      <c r="G398" s="21">
        <f t="shared" si="76"/>
        <v>1</v>
      </c>
      <c r="H398" s="631"/>
      <c r="I398" s="21">
        <f t="shared" si="77"/>
        <v>0</v>
      </c>
      <c r="J398" s="631"/>
      <c r="K398" s="21">
        <f t="shared" si="78"/>
        <v>1</v>
      </c>
      <c r="L398" s="631"/>
      <c r="M398" s="21">
        <f t="shared" si="79"/>
        <v>1</v>
      </c>
      <c r="N398" s="631"/>
      <c r="O398" s="21">
        <f t="shared" si="80"/>
        <v>0</v>
      </c>
      <c r="P398" s="631"/>
      <c r="Q398" s="21">
        <f t="shared" si="81"/>
        <v>0</v>
      </c>
      <c r="R398" s="21">
        <f t="shared" si="82"/>
        <v>0</v>
      </c>
      <c r="S398" s="308">
        <f t="shared" si="83"/>
        <v>0</v>
      </c>
    </row>
    <row r="399" spans="1:19">
      <c r="A399" s="142"/>
      <c r="B399" s="52"/>
      <c r="C399" s="21">
        <f t="shared" si="74"/>
        <v>1</v>
      </c>
      <c r="D399" s="631"/>
      <c r="E399" s="21">
        <f t="shared" si="75"/>
        <v>0.06</v>
      </c>
      <c r="F399" s="631"/>
      <c r="G399" s="21">
        <f t="shared" si="76"/>
        <v>1</v>
      </c>
      <c r="H399" s="631"/>
      <c r="I399" s="21">
        <f t="shared" si="77"/>
        <v>0</v>
      </c>
      <c r="J399" s="631"/>
      <c r="K399" s="21">
        <f t="shared" si="78"/>
        <v>1</v>
      </c>
      <c r="L399" s="631"/>
      <c r="M399" s="21">
        <f t="shared" si="79"/>
        <v>1</v>
      </c>
      <c r="N399" s="631"/>
      <c r="O399" s="21">
        <f t="shared" si="80"/>
        <v>0</v>
      </c>
      <c r="P399" s="631"/>
      <c r="Q399" s="21">
        <f t="shared" si="81"/>
        <v>0</v>
      </c>
      <c r="R399" s="21">
        <f t="shared" si="82"/>
        <v>0</v>
      </c>
      <c r="S399" s="308">
        <f t="shared" si="83"/>
        <v>0</v>
      </c>
    </row>
    <row r="400" spans="1:19">
      <c r="A400" s="142"/>
      <c r="B400" s="52"/>
      <c r="C400" s="21">
        <f t="shared" si="74"/>
        <v>1</v>
      </c>
      <c r="D400" s="631"/>
      <c r="E400" s="21">
        <f t="shared" si="75"/>
        <v>0.06</v>
      </c>
      <c r="F400" s="631"/>
      <c r="G400" s="21">
        <f t="shared" si="76"/>
        <v>1</v>
      </c>
      <c r="H400" s="631"/>
      <c r="I400" s="21">
        <f t="shared" si="77"/>
        <v>0</v>
      </c>
      <c r="J400" s="631"/>
      <c r="K400" s="21">
        <f t="shared" si="78"/>
        <v>1</v>
      </c>
      <c r="L400" s="631"/>
      <c r="M400" s="21">
        <f t="shared" si="79"/>
        <v>1</v>
      </c>
      <c r="N400" s="631"/>
      <c r="O400" s="21">
        <f t="shared" si="80"/>
        <v>0</v>
      </c>
      <c r="P400" s="631"/>
      <c r="Q400" s="21">
        <f t="shared" si="81"/>
        <v>0</v>
      </c>
      <c r="R400" s="21">
        <f t="shared" si="82"/>
        <v>0</v>
      </c>
      <c r="S400" s="308">
        <f t="shared" si="83"/>
        <v>0</v>
      </c>
    </row>
    <row r="401" spans="1:19">
      <c r="A401" s="142"/>
      <c r="B401" s="52"/>
      <c r="C401" s="21">
        <f t="shared" si="74"/>
        <v>1</v>
      </c>
      <c r="D401" s="631"/>
      <c r="E401" s="21">
        <f t="shared" si="75"/>
        <v>0.06</v>
      </c>
      <c r="F401" s="631"/>
      <c r="G401" s="21">
        <f t="shared" si="76"/>
        <v>1</v>
      </c>
      <c r="H401" s="631"/>
      <c r="I401" s="21">
        <f t="shared" si="77"/>
        <v>0</v>
      </c>
      <c r="J401" s="631"/>
      <c r="K401" s="21">
        <f t="shared" si="78"/>
        <v>1</v>
      </c>
      <c r="L401" s="631"/>
      <c r="M401" s="21">
        <f t="shared" si="79"/>
        <v>1</v>
      </c>
      <c r="N401" s="631"/>
      <c r="O401" s="21">
        <f t="shared" si="80"/>
        <v>0</v>
      </c>
      <c r="P401" s="631"/>
      <c r="Q401" s="21">
        <f t="shared" si="81"/>
        <v>0</v>
      </c>
      <c r="R401" s="21">
        <f t="shared" si="82"/>
        <v>0</v>
      </c>
      <c r="S401" s="308">
        <f t="shared" si="83"/>
        <v>0</v>
      </c>
    </row>
    <row r="402" spans="1:19">
      <c r="A402" s="142"/>
      <c r="B402" s="52"/>
      <c r="C402" s="21">
        <f t="shared" si="74"/>
        <v>1</v>
      </c>
      <c r="D402" s="631"/>
      <c r="E402" s="21">
        <f t="shared" si="75"/>
        <v>0.06</v>
      </c>
      <c r="F402" s="631"/>
      <c r="G402" s="21">
        <f t="shared" si="76"/>
        <v>1</v>
      </c>
      <c r="H402" s="631"/>
      <c r="I402" s="21">
        <f t="shared" si="77"/>
        <v>0</v>
      </c>
      <c r="J402" s="631"/>
      <c r="K402" s="21">
        <f t="shared" si="78"/>
        <v>1</v>
      </c>
      <c r="L402" s="631"/>
      <c r="M402" s="21">
        <f t="shared" si="79"/>
        <v>1</v>
      </c>
      <c r="N402" s="631"/>
      <c r="O402" s="21">
        <f t="shared" si="80"/>
        <v>0</v>
      </c>
      <c r="P402" s="631"/>
      <c r="Q402" s="21">
        <f t="shared" si="81"/>
        <v>0</v>
      </c>
      <c r="R402" s="21">
        <f t="shared" si="82"/>
        <v>0</v>
      </c>
      <c r="S402" s="308">
        <f t="shared" si="83"/>
        <v>0</v>
      </c>
    </row>
    <row r="403" spans="1:19">
      <c r="A403" s="142"/>
      <c r="B403" s="52"/>
      <c r="C403" s="21">
        <f t="shared" si="74"/>
        <v>1</v>
      </c>
      <c r="D403" s="631"/>
      <c r="E403" s="21">
        <f t="shared" si="75"/>
        <v>0.06</v>
      </c>
      <c r="F403" s="631"/>
      <c r="G403" s="21">
        <f t="shared" si="76"/>
        <v>1</v>
      </c>
      <c r="H403" s="631"/>
      <c r="I403" s="21">
        <f t="shared" si="77"/>
        <v>0</v>
      </c>
      <c r="J403" s="631"/>
      <c r="K403" s="21">
        <f t="shared" si="78"/>
        <v>1</v>
      </c>
      <c r="L403" s="631"/>
      <c r="M403" s="21">
        <f t="shared" si="79"/>
        <v>1</v>
      </c>
      <c r="N403" s="631"/>
      <c r="O403" s="21">
        <f t="shared" si="80"/>
        <v>0</v>
      </c>
      <c r="P403" s="631"/>
      <c r="Q403" s="21">
        <f t="shared" si="81"/>
        <v>0</v>
      </c>
      <c r="R403" s="21">
        <f t="shared" si="82"/>
        <v>0</v>
      </c>
      <c r="S403" s="308">
        <f t="shared" si="83"/>
        <v>0</v>
      </c>
    </row>
    <row r="404" spans="1:19">
      <c r="A404" s="142"/>
      <c r="B404" s="52"/>
      <c r="C404" s="21">
        <f t="shared" si="74"/>
        <v>1</v>
      </c>
      <c r="D404" s="631"/>
      <c r="E404" s="21">
        <f t="shared" si="75"/>
        <v>0.06</v>
      </c>
      <c r="F404" s="631"/>
      <c r="G404" s="21">
        <f t="shared" si="76"/>
        <v>1</v>
      </c>
      <c r="H404" s="631"/>
      <c r="I404" s="21">
        <f t="shared" si="77"/>
        <v>0</v>
      </c>
      <c r="J404" s="631"/>
      <c r="K404" s="21">
        <f t="shared" si="78"/>
        <v>1</v>
      </c>
      <c r="L404" s="631"/>
      <c r="M404" s="21">
        <f t="shared" si="79"/>
        <v>1</v>
      </c>
      <c r="N404" s="631"/>
      <c r="O404" s="21">
        <f t="shared" si="80"/>
        <v>0</v>
      </c>
      <c r="P404" s="631"/>
      <c r="Q404" s="21">
        <f t="shared" si="81"/>
        <v>0</v>
      </c>
      <c r="R404" s="21">
        <f t="shared" si="82"/>
        <v>0</v>
      </c>
      <c r="S404" s="308">
        <f t="shared" si="83"/>
        <v>0</v>
      </c>
    </row>
    <row r="405" spans="1:19">
      <c r="A405" s="142"/>
      <c r="B405" s="52"/>
      <c r="C405" s="21">
        <f t="shared" si="74"/>
        <v>1</v>
      </c>
      <c r="D405" s="631"/>
      <c r="E405" s="21">
        <f t="shared" si="75"/>
        <v>0.06</v>
      </c>
      <c r="F405" s="631"/>
      <c r="G405" s="21">
        <f t="shared" si="76"/>
        <v>1</v>
      </c>
      <c r="H405" s="631"/>
      <c r="I405" s="21">
        <f t="shared" si="77"/>
        <v>0</v>
      </c>
      <c r="J405" s="631"/>
      <c r="K405" s="21">
        <f t="shared" si="78"/>
        <v>1</v>
      </c>
      <c r="L405" s="631"/>
      <c r="M405" s="21">
        <f t="shared" si="79"/>
        <v>1</v>
      </c>
      <c r="N405" s="631"/>
      <c r="O405" s="21">
        <f t="shared" si="80"/>
        <v>0</v>
      </c>
      <c r="P405" s="631"/>
      <c r="Q405" s="21">
        <f t="shared" si="81"/>
        <v>0</v>
      </c>
      <c r="R405" s="21">
        <f t="shared" si="82"/>
        <v>0</v>
      </c>
      <c r="S405" s="308">
        <f t="shared" si="83"/>
        <v>0</v>
      </c>
    </row>
    <row r="406" spans="1:19">
      <c r="A406" s="142"/>
      <c r="B406" s="52"/>
      <c r="C406" s="21">
        <f t="shared" si="74"/>
        <v>1</v>
      </c>
      <c r="D406" s="631"/>
      <c r="E406" s="21">
        <f t="shared" si="75"/>
        <v>0.06</v>
      </c>
      <c r="F406" s="631"/>
      <c r="G406" s="21">
        <f t="shared" si="76"/>
        <v>1</v>
      </c>
      <c r="H406" s="631"/>
      <c r="I406" s="21">
        <f t="shared" si="77"/>
        <v>0</v>
      </c>
      <c r="J406" s="631"/>
      <c r="K406" s="21">
        <f t="shared" si="78"/>
        <v>1</v>
      </c>
      <c r="L406" s="631"/>
      <c r="M406" s="21">
        <f t="shared" si="79"/>
        <v>1</v>
      </c>
      <c r="N406" s="631"/>
      <c r="O406" s="21">
        <f t="shared" si="80"/>
        <v>0</v>
      </c>
      <c r="P406" s="631"/>
      <c r="Q406" s="21">
        <f t="shared" si="81"/>
        <v>0</v>
      </c>
      <c r="R406" s="21">
        <f t="shared" si="82"/>
        <v>0</v>
      </c>
      <c r="S406" s="308">
        <f t="shared" si="83"/>
        <v>0</v>
      </c>
    </row>
    <row r="407" spans="1:19">
      <c r="A407" s="142"/>
      <c r="B407" s="52"/>
      <c r="C407" s="21">
        <f t="shared" si="74"/>
        <v>1</v>
      </c>
      <c r="D407" s="631"/>
      <c r="E407" s="21">
        <f t="shared" si="75"/>
        <v>0.06</v>
      </c>
      <c r="F407" s="631"/>
      <c r="G407" s="21">
        <f t="shared" si="76"/>
        <v>1</v>
      </c>
      <c r="H407" s="631"/>
      <c r="I407" s="21">
        <f t="shared" si="77"/>
        <v>0</v>
      </c>
      <c r="J407" s="631"/>
      <c r="K407" s="21">
        <f t="shared" si="78"/>
        <v>1</v>
      </c>
      <c r="L407" s="631"/>
      <c r="M407" s="21">
        <f t="shared" si="79"/>
        <v>1</v>
      </c>
      <c r="N407" s="631"/>
      <c r="O407" s="21">
        <f t="shared" si="80"/>
        <v>0</v>
      </c>
      <c r="P407" s="631"/>
      <c r="Q407" s="21">
        <f t="shared" si="81"/>
        <v>0</v>
      </c>
      <c r="R407" s="21">
        <f t="shared" si="82"/>
        <v>0</v>
      </c>
      <c r="S407" s="308">
        <f t="shared" si="83"/>
        <v>0</v>
      </c>
    </row>
    <row r="408" spans="1:19">
      <c r="A408" s="142"/>
      <c r="B408" s="52"/>
      <c r="C408" s="21">
        <f t="shared" si="74"/>
        <v>1</v>
      </c>
      <c r="D408" s="631"/>
      <c r="E408" s="21">
        <f t="shared" si="75"/>
        <v>0.06</v>
      </c>
      <c r="F408" s="631"/>
      <c r="G408" s="21">
        <f t="shared" si="76"/>
        <v>1</v>
      </c>
      <c r="H408" s="631"/>
      <c r="I408" s="21">
        <f t="shared" si="77"/>
        <v>0</v>
      </c>
      <c r="J408" s="631"/>
      <c r="K408" s="21">
        <f t="shared" si="78"/>
        <v>1</v>
      </c>
      <c r="L408" s="631"/>
      <c r="M408" s="21">
        <f t="shared" si="79"/>
        <v>1</v>
      </c>
      <c r="N408" s="631"/>
      <c r="O408" s="21">
        <f t="shared" si="80"/>
        <v>0</v>
      </c>
      <c r="P408" s="631"/>
      <c r="Q408" s="21">
        <f t="shared" si="81"/>
        <v>0</v>
      </c>
      <c r="R408" s="21">
        <f t="shared" si="82"/>
        <v>0</v>
      </c>
      <c r="S408" s="308">
        <f t="shared" si="83"/>
        <v>0</v>
      </c>
    </row>
    <row r="409" spans="1:19">
      <c r="A409" s="142"/>
      <c r="B409" s="52"/>
      <c r="C409" s="21">
        <f t="shared" si="74"/>
        <v>1</v>
      </c>
      <c r="D409" s="631"/>
      <c r="E409" s="21">
        <f t="shared" si="75"/>
        <v>0.06</v>
      </c>
      <c r="F409" s="631"/>
      <c r="G409" s="21">
        <f t="shared" si="76"/>
        <v>1</v>
      </c>
      <c r="H409" s="631"/>
      <c r="I409" s="21">
        <f t="shared" si="77"/>
        <v>0</v>
      </c>
      <c r="J409" s="631"/>
      <c r="K409" s="21">
        <f t="shared" si="78"/>
        <v>1</v>
      </c>
      <c r="L409" s="631"/>
      <c r="M409" s="21">
        <f t="shared" si="79"/>
        <v>1</v>
      </c>
      <c r="N409" s="631"/>
      <c r="O409" s="21">
        <f t="shared" si="80"/>
        <v>0</v>
      </c>
      <c r="P409" s="631"/>
      <c r="Q409" s="21">
        <f t="shared" si="81"/>
        <v>0</v>
      </c>
      <c r="R409" s="21">
        <f t="shared" si="82"/>
        <v>0</v>
      </c>
      <c r="S409" s="308">
        <f t="shared" si="83"/>
        <v>0</v>
      </c>
    </row>
    <row r="410" spans="1:19">
      <c r="A410" s="142"/>
      <c r="B410" s="52"/>
      <c r="C410" s="21">
        <f t="shared" si="74"/>
        <v>1</v>
      </c>
      <c r="D410" s="631"/>
      <c r="E410" s="21">
        <f t="shared" si="75"/>
        <v>0.06</v>
      </c>
      <c r="F410" s="631"/>
      <c r="G410" s="21">
        <f t="shared" si="76"/>
        <v>1</v>
      </c>
      <c r="H410" s="631"/>
      <c r="I410" s="21">
        <f t="shared" si="77"/>
        <v>0</v>
      </c>
      <c r="J410" s="631"/>
      <c r="K410" s="21">
        <f t="shared" si="78"/>
        <v>1</v>
      </c>
      <c r="L410" s="631"/>
      <c r="M410" s="21">
        <f t="shared" si="79"/>
        <v>1</v>
      </c>
      <c r="N410" s="631"/>
      <c r="O410" s="21">
        <f t="shared" si="80"/>
        <v>0</v>
      </c>
      <c r="P410" s="631"/>
      <c r="Q410" s="21">
        <f t="shared" si="81"/>
        <v>0</v>
      </c>
      <c r="R410" s="21">
        <f t="shared" si="82"/>
        <v>0</v>
      </c>
      <c r="S410" s="308">
        <f t="shared" si="83"/>
        <v>0</v>
      </c>
    </row>
    <row r="411" spans="1:19">
      <c r="A411" s="142"/>
      <c r="B411" s="52"/>
      <c r="C411" s="21">
        <f t="shared" ref="C411:C474" si="84">IF(B411="",1,(LOOKUP(B411,$3:$3,$4:$4)-LOOKUP($B$24,$3:$3,$4:$4)+100)/100)</f>
        <v>1</v>
      </c>
      <c r="D411" s="631"/>
      <c r="E411" s="21">
        <f t="shared" ref="E411:E474" si="85">(SUMIF($5:$5,D411,$6:$6)-SUMIF($5:$5,$D$24,$6:$6)+100)/100</f>
        <v>0.06</v>
      </c>
      <c r="F411" s="631"/>
      <c r="G411" s="21">
        <f t="shared" ref="G411:G474" si="86">(SUMIF($7:$7,F411,$8:$8)-SUMIF($7:$7,$F$24,$8:$8)+100)/100</f>
        <v>1</v>
      </c>
      <c r="H411" s="631"/>
      <c r="I411" s="21">
        <f t="shared" ref="I411:I474" si="87">(SUMIF($9:$9,H411,$10:$10)-SUMIF($9:$9,$H$24,$10:$10)+100)/100</f>
        <v>0</v>
      </c>
      <c r="J411" s="631"/>
      <c r="K411" s="21">
        <f t="shared" ref="K411:K474" si="88">(SUMIF($11:$11,J411,$12:$12)-SUMIF($11:$11,$J$24,$12:$12)+100)/100</f>
        <v>1</v>
      </c>
      <c r="L411" s="631"/>
      <c r="M411" s="21">
        <f t="shared" ref="M411:M474" si="89">(SUMIF($13:$13,L411,$14:$14)-SUMIF($13:$13,$L$24,$14:$14)+100)/100</f>
        <v>1</v>
      </c>
      <c r="N411" s="631"/>
      <c r="O411" s="21">
        <f t="shared" ref="O411:O474" si="90">(SUMIF($15:$15,N411,$16:$16)-SUMIF($15:$15,$N$24,$16:$16)+100)/100</f>
        <v>0</v>
      </c>
      <c r="P411" s="631"/>
      <c r="Q411" s="21">
        <f t="shared" ref="Q411:Q474" si="91">(SUMIF($17:$17,P411,$18:$18)-SUMIF($17:$17,$P$24,$18:$18)+100)/100</f>
        <v>0</v>
      </c>
      <c r="R411" s="21">
        <f t="shared" ref="R411:R474" si="92">IF(B411="",0,ROUND($R$24*C411*E411*G411*I411*K411*M411*O411*Q411,0))</f>
        <v>0</v>
      </c>
      <c r="S411" s="308">
        <f t="shared" si="83"/>
        <v>0</v>
      </c>
    </row>
    <row r="412" spans="1:19">
      <c r="A412" s="142"/>
      <c r="B412" s="52"/>
      <c r="C412" s="21">
        <f t="shared" si="84"/>
        <v>1</v>
      </c>
      <c r="D412" s="631"/>
      <c r="E412" s="21">
        <f t="shared" si="85"/>
        <v>0.06</v>
      </c>
      <c r="F412" s="631"/>
      <c r="G412" s="21">
        <f t="shared" si="86"/>
        <v>1</v>
      </c>
      <c r="H412" s="631"/>
      <c r="I412" s="21">
        <f t="shared" si="87"/>
        <v>0</v>
      </c>
      <c r="J412" s="631"/>
      <c r="K412" s="21">
        <f t="shared" si="88"/>
        <v>1</v>
      </c>
      <c r="L412" s="631"/>
      <c r="M412" s="21">
        <f t="shared" si="89"/>
        <v>1</v>
      </c>
      <c r="N412" s="631"/>
      <c r="O412" s="21">
        <f t="shared" si="90"/>
        <v>0</v>
      </c>
      <c r="P412" s="631"/>
      <c r="Q412" s="21">
        <f t="shared" si="91"/>
        <v>0</v>
      </c>
      <c r="R412" s="21">
        <f t="shared" si="92"/>
        <v>0</v>
      </c>
      <c r="S412" s="308">
        <f t="shared" si="83"/>
        <v>0</v>
      </c>
    </row>
    <row r="413" spans="1:19">
      <c r="A413" s="142"/>
      <c r="B413" s="52"/>
      <c r="C413" s="21">
        <f t="shared" si="84"/>
        <v>1</v>
      </c>
      <c r="D413" s="631"/>
      <c r="E413" s="21">
        <f t="shared" si="85"/>
        <v>0.06</v>
      </c>
      <c r="F413" s="631"/>
      <c r="G413" s="21">
        <f t="shared" si="86"/>
        <v>1</v>
      </c>
      <c r="H413" s="631"/>
      <c r="I413" s="21">
        <f t="shared" si="87"/>
        <v>0</v>
      </c>
      <c r="J413" s="631"/>
      <c r="K413" s="21">
        <f t="shared" si="88"/>
        <v>1</v>
      </c>
      <c r="L413" s="631"/>
      <c r="M413" s="21">
        <f t="shared" si="89"/>
        <v>1</v>
      </c>
      <c r="N413" s="631"/>
      <c r="O413" s="21">
        <f t="shared" si="90"/>
        <v>0</v>
      </c>
      <c r="P413" s="631"/>
      <c r="Q413" s="21">
        <f t="shared" si="91"/>
        <v>0</v>
      </c>
      <c r="R413" s="21">
        <f t="shared" si="92"/>
        <v>0</v>
      </c>
      <c r="S413" s="308">
        <f t="shared" si="83"/>
        <v>0</v>
      </c>
    </row>
    <row r="414" spans="1:19">
      <c r="A414" s="142"/>
      <c r="B414" s="52"/>
      <c r="C414" s="21">
        <f t="shared" si="84"/>
        <v>1</v>
      </c>
      <c r="D414" s="631"/>
      <c r="E414" s="21">
        <f t="shared" si="85"/>
        <v>0.06</v>
      </c>
      <c r="F414" s="631"/>
      <c r="G414" s="21">
        <f t="shared" si="86"/>
        <v>1</v>
      </c>
      <c r="H414" s="631"/>
      <c r="I414" s="21">
        <f t="shared" si="87"/>
        <v>0</v>
      </c>
      <c r="J414" s="631"/>
      <c r="K414" s="21">
        <f t="shared" si="88"/>
        <v>1</v>
      </c>
      <c r="L414" s="631"/>
      <c r="M414" s="21">
        <f t="shared" si="89"/>
        <v>1</v>
      </c>
      <c r="N414" s="631"/>
      <c r="O414" s="21">
        <f t="shared" si="90"/>
        <v>0</v>
      </c>
      <c r="P414" s="631"/>
      <c r="Q414" s="21">
        <f t="shared" si="91"/>
        <v>0</v>
      </c>
      <c r="R414" s="21">
        <f t="shared" si="92"/>
        <v>0</v>
      </c>
      <c r="S414" s="308">
        <f t="shared" si="83"/>
        <v>0</v>
      </c>
    </row>
    <row r="415" spans="1:19">
      <c r="A415" s="142"/>
      <c r="B415" s="52"/>
      <c r="C415" s="21">
        <f t="shared" si="84"/>
        <v>1</v>
      </c>
      <c r="D415" s="631"/>
      <c r="E415" s="21">
        <f t="shared" si="85"/>
        <v>0.06</v>
      </c>
      <c r="F415" s="631"/>
      <c r="G415" s="21">
        <f t="shared" si="86"/>
        <v>1</v>
      </c>
      <c r="H415" s="631"/>
      <c r="I415" s="21">
        <f t="shared" si="87"/>
        <v>0</v>
      </c>
      <c r="J415" s="631"/>
      <c r="K415" s="21">
        <f t="shared" si="88"/>
        <v>1</v>
      </c>
      <c r="L415" s="631"/>
      <c r="M415" s="21">
        <f t="shared" si="89"/>
        <v>1</v>
      </c>
      <c r="N415" s="631"/>
      <c r="O415" s="21">
        <f t="shared" si="90"/>
        <v>0</v>
      </c>
      <c r="P415" s="631"/>
      <c r="Q415" s="21">
        <f t="shared" si="91"/>
        <v>0</v>
      </c>
      <c r="R415" s="21">
        <f t="shared" si="92"/>
        <v>0</v>
      </c>
      <c r="S415" s="308">
        <f t="shared" si="83"/>
        <v>0</v>
      </c>
    </row>
    <row r="416" spans="1:19">
      <c r="A416" s="142"/>
      <c r="B416" s="52"/>
      <c r="C416" s="21">
        <f t="shared" si="84"/>
        <v>1</v>
      </c>
      <c r="D416" s="631"/>
      <c r="E416" s="21">
        <f t="shared" si="85"/>
        <v>0.06</v>
      </c>
      <c r="F416" s="631"/>
      <c r="G416" s="21">
        <f t="shared" si="86"/>
        <v>1</v>
      </c>
      <c r="H416" s="631"/>
      <c r="I416" s="21">
        <f t="shared" si="87"/>
        <v>0</v>
      </c>
      <c r="J416" s="631"/>
      <c r="K416" s="21">
        <f t="shared" si="88"/>
        <v>1</v>
      </c>
      <c r="L416" s="631"/>
      <c r="M416" s="21">
        <f t="shared" si="89"/>
        <v>1</v>
      </c>
      <c r="N416" s="631"/>
      <c r="O416" s="21">
        <f t="shared" si="90"/>
        <v>0</v>
      </c>
      <c r="P416" s="631"/>
      <c r="Q416" s="21">
        <f t="shared" si="91"/>
        <v>0</v>
      </c>
      <c r="R416" s="21">
        <f t="shared" si="92"/>
        <v>0</v>
      </c>
      <c r="S416" s="308">
        <f t="shared" si="83"/>
        <v>0</v>
      </c>
    </row>
    <row r="417" spans="1:19">
      <c r="A417" s="142"/>
      <c r="B417" s="52"/>
      <c r="C417" s="21">
        <f t="shared" si="84"/>
        <v>1</v>
      </c>
      <c r="D417" s="631"/>
      <c r="E417" s="21">
        <f t="shared" si="85"/>
        <v>0.06</v>
      </c>
      <c r="F417" s="631"/>
      <c r="G417" s="21">
        <f t="shared" si="86"/>
        <v>1</v>
      </c>
      <c r="H417" s="631"/>
      <c r="I417" s="21">
        <f t="shared" si="87"/>
        <v>0</v>
      </c>
      <c r="J417" s="631"/>
      <c r="K417" s="21">
        <f t="shared" si="88"/>
        <v>1</v>
      </c>
      <c r="L417" s="631"/>
      <c r="M417" s="21">
        <f t="shared" si="89"/>
        <v>1</v>
      </c>
      <c r="N417" s="631"/>
      <c r="O417" s="21">
        <f t="shared" si="90"/>
        <v>0</v>
      </c>
      <c r="P417" s="631"/>
      <c r="Q417" s="21">
        <f t="shared" si="91"/>
        <v>0</v>
      </c>
      <c r="R417" s="21">
        <f t="shared" si="92"/>
        <v>0</v>
      </c>
      <c r="S417" s="308">
        <f t="shared" si="83"/>
        <v>0</v>
      </c>
    </row>
    <row r="418" spans="1:19">
      <c r="A418" s="142"/>
      <c r="B418" s="52"/>
      <c r="C418" s="21">
        <f t="shared" si="84"/>
        <v>1</v>
      </c>
      <c r="D418" s="631"/>
      <c r="E418" s="21">
        <f t="shared" si="85"/>
        <v>0.06</v>
      </c>
      <c r="F418" s="631"/>
      <c r="G418" s="21">
        <f t="shared" si="86"/>
        <v>1</v>
      </c>
      <c r="H418" s="631"/>
      <c r="I418" s="21">
        <f t="shared" si="87"/>
        <v>0</v>
      </c>
      <c r="J418" s="631"/>
      <c r="K418" s="21">
        <f t="shared" si="88"/>
        <v>1</v>
      </c>
      <c r="L418" s="631"/>
      <c r="M418" s="21">
        <f t="shared" si="89"/>
        <v>1</v>
      </c>
      <c r="N418" s="631"/>
      <c r="O418" s="21">
        <f t="shared" si="90"/>
        <v>0</v>
      </c>
      <c r="P418" s="631"/>
      <c r="Q418" s="21">
        <f t="shared" si="91"/>
        <v>0</v>
      </c>
      <c r="R418" s="21">
        <f t="shared" si="92"/>
        <v>0</v>
      </c>
      <c r="S418" s="308">
        <f t="shared" si="83"/>
        <v>0</v>
      </c>
    </row>
    <row r="419" spans="1:19">
      <c r="A419" s="142"/>
      <c r="B419" s="52"/>
      <c r="C419" s="21">
        <f t="shared" si="84"/>
        <v>1</v>
      </c>
      <c r="D419" s="631"/>
      <c r="E419" s="21">
        <f t="shared" si="85"/>
        <v>0.06</v>
      </c>
      <c r="F419" s="631"/>
      <c r="G419" s="21">
        <f t="shared" si="86"/>
        <v>1</v>
      </c>
      <c r="H419" s="631"/>
      <c r="I419" s="21">
        <f t="shared" si="87"/>
        <v>0</v>
      </c>
      <c r="J419" s="631"/>
      <c r="K419" s="21">
        <f t="shared" si="88"/>
        <v>1</v>
      </c>
      <c r="L419" s="631"/>
      <c r="M419" s="21">
        <f t="shared" si="89"/>
        <v>1</v>
      </c>
      <c r="N419" s="631"/>
      <c r="O419" s="21">
        <f t="shared" si="90"/>
        <v>0</v>
      </c>
      <c r="P419" s="631"/>
      <c r="Q419" s="21">
        <f t="shared" si="91"/>
        <v>0</v>
      </c>
      <c r="R419" s="21">
        <f t="shared" si="92"/>
        <v>0</v>
      </c>
      <c r="S419" s="308">
        <f t="shared" si="83"/>
        <v>0</v>
      </c>
    </row>
    <row r="420" spans="1:19">
      <c r="A420" s="142"/>
      <c r="B420" s="52"/>
      <c r="C420" s="21">
        <f t="shared" si="84"/>
        <v>1</v>
      </c>
      <c r="D420" s="631"/>
      <c r="E420" s="21">
        <f t="shared" si="85"/>
        <v>0.06</v>
      </c>
      <c r="F420" s="631"/>
      <c r="G420" s="21">
        <f t="shared" si="86"/>
        <v>1</v>
      </c>
      <c r="H420" s="631"/>
      <c r="I420" s="21">
        <f t="shared" si="87"/>
        <v>0</v>
      </c>
      <c r="J420" s="631"/>
      <c r="K420" s="21">
        <f t="shared" si="88"/>
        <v>1</v>
      </c>
      <c r="L420" s="631"/>
      <c r="M420" s="21">
        <f t="shared" si="89"/>
        <v>1</v>
      </c>
      <c r="N420" s="631"/>
      <c r="O420" s="21">
        <f t="shared" si="90"/>
        <v>0</v>
      </c>
      <c r="P420" s="631"/>
      <c r="Q420" s="21">
        <f t="shared" si="91"/>
        <v>0</v>
      </c>
      <c r="R420" s="21">
        <f t="shared" si="92"/>
        <v>0</v>
      </c>
      <c r="S420" s="308">
        <f t="shared" si="83"/>
        <v>0</v>
      </c>
    </row>
    <row r="421" spans="1:19">
      <c r="A421" s="142"/>
      <c r="B421" s="52"/>
      <c r="C421" s="21">
        <f t="shared" si="84"/>
        <v>1</v>
      </c>
      <c r="D421" s="631"/>
      <c r="E421" s="21">
        <f t="shared" si="85"/>
        <v>0.06</v>
      </c>
      <c r="F421" s="631"/>
      <c r="G421" s="21">
        <f t="shared" si="86"/>
        <v>1</v>
      </c>
      <c r="H421" s="631"/>
      <c r="I421" s="21">
        <f t="shared" si="87"/>
        <v>0</v>
      </c>
      <c r="J421" s="631"/>
      <c r="K421" s="21">
        <f t="shared" si="88"/>
        <v>1</v>
      </c>
      <c r="L421" s="631"/>
      <c r="M421" s="21">
        <f t="shared" si="89"/>
        <v>1</v>
      </c>
      <c r="N421" s="631"/>
      <c r="O421" s="21">
        <f t="shared" si="90"/>
        <v>0</v>
      </c>
      <c r="P421" s="631"/>
      <c r="Q421" s="21">
        <f t="shared" si="91"/>
        <v>0</v>
      </c>
      <c r="R421" s="21">
        <f t="shared" si="92"/>
        <v>0</v>
      </c>
      <c r="S421" s="308">
        <f t="shared" si="83"/>
        <v>0</v>
      </c>
    </row>
    <row r="422" spans="1:19">
      <c r="A422" s="142"/>
      <c r="B422" s="52"/>
      <c r="C422" s="21">
        <f t="shared" si="84"/>
        <v>1</v>
      </c>
      <c r="D422" s="631"/>
      <c r="E422" s="21">
        <f t="shared" si="85"/>
        <v>0.06</v>
      </c>
      <c r="F422" s="631"/>
      <c r="G422" s="21">
        <f t="shared" si="86"/>
        <v>1</v>
      </c>
      <c r="H422" s="631"/>
      <c r="I422" s="21">
        <f t="shared" si="87"/>
        <v>0</v>
      </c>
      <c r="J422" s="631"/>
      <c r="K422" s="21">
        <f t="shared" si="88"/>
        <v>1</v>
      </c>
      <c r="L422" s="631"/>
      <c r="M422" s="21">
        <f t="shared" si="89"/>
        <v>1</v>
      </c>
      <c r="N422" s="631"/>
      <c r="O422" s="21">
        <f t="shared" si="90"/>
        <v>0</v>
      </c>
      <c r="P422" s="631"/>
      <c r="Q422" s="21">
        <f t="shared" si="91"/>
        <v>0</v>
      </c>
      <c r="R422" s="21">
        <f t="shared" si="92"/>
        <v>0</v>
      </c>
      <c r="S422" s="308">
        <f t="shared" si="83"/>
        <v>0</v>
      </c>
    </row>
    <row r="423" spans="1:19">
      <c r="A423" s="142"/>
      <c r="B423" s="52"/>
      <c r="C423" s="21">
        <f t="shared" si="84"/>
        <v>1</v>
      </c>
      <c r="D423" s="631"/>
      <c r="E423" s="21">
        <f t="shared" si="85"/>
        <v>0.06</v>
      </c>
      <c r="F423" s="631"/>
      <c r="G423" s="21">
        <f t="shared" si="86"/>
        <v>1</v>
      </c>
      <c r="H423" s="631"/>
      <c r="I423" s="21">
        <f t="shared" si="87"/>
        <v>0</v>
      </c>
      <c r="J423" s="631"/>
      <c r="K423" s="21">
        <f t="shared" si="88"/>
        <v>1</v>
      </c>
      <c r="L423" s="631"/>
      <c r="M423" s="21">
        <f t="shared" si="89"/>
        <v>1</v>
      </c>
      <c r="N423" s="631"/>
      <c r="O423" s="21">
        <f t="shared" si="90"/>
        <v>0</v>
      </c>
      <c r="P423" s="631"/>
      <c r="Q423" s="21">
        <f t="shared" si="91"/>
        <v>0</v>
      </c>
      <c r="R423" s="21">
        <f t="shared" si="92"/>
        <v>0</v>
      </c>
      <c r="S423" s="308">
        <f t="shared" si="83"/>
        <v>0</v>
      </c>
    </row>
    <row r="424" spans="1:19">
      <c r="A424" s="142"/>
      <c r="B424" s="52"/>
      <c r="C424" s="21">
        <f t="shared" si="84"/>
        <v>1</v>
      </c>
      <c r="D424" s="631"/>
      <c r="E424" s="21">
        <f t="shared" si="85"/>
        <v>0.06</v>
      </c>
      <c r="F424" s="631"/>
      <c r="G424" s="21">
        <f t="shared" si="86"/>
        <v>1</v>
      </c>
      <c r="H424" s="631"/>
      <c r="I424" s="21">
        <f t="shared" si="87"/>
        <v>0</v>
      </c>
      <c r="J424" s="631"/>
      <c r="K424" s="21">
        <f t="shared" si="88"/>
        <v>1</v>
      </c>
      <c r="L424" s="631"/>
      <c r="M424" s="21">
        <f t="shared" si="89"/>
        <v>1</v>
      </c>
      <c r="N424" s="631"/>
      <c r="O424" s="21">
        <f t="shared" si="90"/>
        <v>0</v>
      </c>
      <c r="P424" s="631"/>
      <c r="Q424" s="21">
        <f t="shared" si="91"/>
        <v>0</v>
      </c>
      <c r="R424" s="21">
        <f t="shared" si="92"/>
        <v>0</v>
      </c>
      <c r="S424" s="308">
        <f t="shared" ref="S424:S468" si="93">ROUND(R424*B424/10000,0)</f>
        <v>0</v>
      </c>
    </row>
    <row r="425" spans="1:19">
      <c r="A425" s="142"/>
      <c r="B425" s="52"/>
      <c r="C425" s="21">
        <f t="shared" si="84"/>
        <v>1</v>
      </c>
      <c r="D425" s="631"/>
      <c r="E425" s="21">
        <f t="shared" si="85"/>
        <v>0.06</v>
      </c>
      <c r="F425" s="631"/>
      <c r="G425" s="21">
        <f t="shared" si="86"/>
        <v>1</v>
      </c>
      <c r="H425" s="631"/>
      <c r="I425" s="21">
        <f t="shared" si="87"/>
        <v>0</v>
      </c>
      <c r="J425" s="631"/>
      <c r="K425" s="21">
        <f t="shared" si="88"/>
        <v>1</v>
      </c>
      <c r="L425" s="631"/>
      <c r="M425" s="21">
        <f t="shared" si="89"/>
        <v>1</v>
      </c>
      <c r="N425" s="631"/>
      <c r="O425" s="21">
        <f t="shared" si="90"/>
        <v>0</v>
      </c>
      <c r="P425" s="631"/>
      <c r="Q425" s="21">
        <f t="shared" si="91"/>
        <v>0</v>
      </c>
      <c r="R425" s="21">
        <f t="shared" si="92"/>
        <v>0</v>
      </c>
      <c r="S425" s="308">
        <f t="shared" si="93"/>
        <v>0</v>
      </c>
    </row>
    <row r="426" spans="1:19">
      <c r="A426" s="142"/>
      <c r="B426" s="52"/>
      <c r="C426" s="21">
        <f t="shared" si="84"/>
        <v>1</v>
      </c>
      <c r="D426" s="631"/>
      <c r="E426" s="21">
        <f t="shared" si="85"/>
        <v>0.06</v>
      </c>
      <c r="F426" s="631"/>
      <c r="G426" s="21">
        <f t="shared" si="86"/>
        <v>1</v>
      </c>
      <c r="H426" s="631"/>
      <c r="I426" s="21">
        <f t="shared" si="87"/>
        <v>0</v>
      </c>
      <c r="J426" s="631"/>
      <c r="K426" s="21">
        <f t="shared" si="88"/>
        <v>1</v>
      </c>
      <c r="L426" s="631"/>
      <c r="M426" s="21">
        <f t="shared" si="89"/>
        <v>1</v>
      </c>
      <c r="N426" s="631"/>
      <c r="O426" s="21">
        <f t="shared" si="90"/>
        <v>0</v>
      </c>
      <c r="P426" s="631"/>
      <c r="Q426" s="21">
        <f t="shared" si="91"/>
        <v>0</v>
      </c>
      <c r="R426" s="21">
        <f t="shared" si="92"/>
        <v>0</v>
      </c>
      <c r="S426" s="308">
        <f t="shared" si="93"/>
        <v>0</v>
      </c>
    </row>
    <row r="427" spans="1:19">
      <c r="A427" s="142"/>
      <c r="B427" s="52"/>
      <c r="C427" s="21">
        <f t="shared" si="84"/>
        <v>1</v>
      </c>
      <c r="D427" s="631"/>
      <c r="E427" s="21">
        <f t="shared" si="85"/>
        <v>0.06</v>
      </c>
      <c r="F427" s="631"/>
      <c r="G427" s="21">
        <f t="shared" si="86"/>
        <v>1</v>
      </c>
      <c r="H427" s="631"/>
      <c r="I427" s="21">
        <f t="shared" si="87"/>
        <v>0</v>
      </c>
      <c r="J427" s="631"/>
      <c r="K427" s="21">
        <f t="shared" si="88"/>
        <v>1</v>
      </c>
      <c r="L427" s="631"/>
      <c r="M427" s="21">
        <f t="shared" si="89"/>
        <v>1</v>
      </c>
      <c r="N427" s="631"/>
      <c r="O427" s="21">
        <f t="shared" si="90"/>
        <v>0</v>
      </c>
      <c r="P427" s="631"/>
      <c r="Q427" s="21">
        <f t="shared" si="91"/>
        <v>0</v>
      </c>
      <c r="R427" s="21">
        <f t="shared" si="92"/>
        <v>0</v>
      </c>
      <c r="S427" s="308">
        <f t="shared" si="93"/>
        <v>0</v>
      </c>
    </row>
    <row r="428" spans="1:19">
      <c r="A428" s="142"/>
      <c r="B428" s="52"/>
      <c r="C428" s="21">
        <f t="shared" si="84"/>
        <v>1</v>
      </c>
      <c r="D428" s="631"/>
      <c r="E428" s="21">
        <f t="shared" si="85"/>
        <v>0.06</v>
      </c>
      <c r="F428" s="631"/>
      <c r="G428" s="21">
        <f t="shared" si="86"/>
        <v>1</v>
      </c>
      <c r="H428" s="631"/>
      <c r="I428" s="21">
        <f t="shared" si="87"/>
        <v>0</v>
      </c>
      <c r="J428" s="631"/>
      <c r="K428" s="21">
        <f t="shared" si="88"/>
        <v>1</v>
      </c>
      <c r="L428" s="631"/>
      <c r="M428" s="21">
        <f t="shared" si="89"/>
        <v>1</v>
      </c>
      <c r="N428" s="631"/>
      <c r="O428" s="21">
        <f t="shared" si="90"/>
        <v>0</v>
      </c>
      <c r="P428" s="631"/>
      <c r="Q428" s="21">
        <f t="shared" si="91"/>
        <v>0</v>
      </c>
      <c r="R428" s="21">
        <f t="shared" si="92"/>
        <v>0</v>
      </c>
      <c r="S428" s="308">
        <f t="shared" si="93"/>
        <v>0</v>
      </c>
    </row>
    <row r="429" spans="1:19">
      <c r="A429" s="142"/>
      <c r="B429" s="52"/>
      <c r="C429" s="21">
        <f t="shared" si="84"/>
        <v>1</v>
      </c>
      <c r="D429" s="631"/>
      <c r="E429" s="21">
        <f t="shared" si="85"/>
        <v>0.06</v>
      </c>
      <c r="F429" s="631"/>
      <c r="G429" s="21">
        <f t="shared" si="86"/>
        <v>1</v>
      </c>
      <c r="H429" s="631"/>
      <c r="I429" s="21">
        <f t="shared" si="87"/>
        <v>0</v>
      </c>
      <c r="J429" s="631"/>
      <c r="K429" s="21">
        <f t="shared" si="88"/>
        <v>1</v>
      </c>
      <c r="L429" s="631"/>
      <c r="M429" s="21">
        <f t="shared" si="89"/>
        <v>1</v>
      </c>
      <c r="N429" s="631"/>
      <c r="O429" s="21">
        <f t="shared" si="90"/>
        <v>0</v>
      </c>
      <c r="P429" s="631"/>
      <c r="Q429" s="21">
        <f t="shared" si="91"/>
        <v>0</v>
      </c>
      <c r="R429" s="21">
        <f t="shared" si="92"/>
        <v>0</v>
      </c>
      <c r="S429" s="308">
        <f t="shared" si="93"/>
        <v>0</v>
      </c>
    </row>
    <row r="430" spans="1:19">
      <c r="A430" s="142"/>
      <c r="B430" s="52"/>
      <c r="C430" s="21">
        <f t="shared" si="84"/>
        <v>1</v>
      </c>
      <c r="D430" s="631"/>
      <c r="E430" s="21">
        <f t="shared" si="85"/>
        <v>0.06</v>
      </c>
      <c r="F430" s="631"/>
      <c r="G430" s="21">
        <f t="shared" si="86"/>
        <v>1</v>
      </c>
      <c r="H430" s="631"/>
      <c r="I430" s="21">
        <f t="shared" si="87"/>
        <v>0</v>
      </c>
      <c r="J430" s="631"/>
      <c r="K430" s="21">
        <f t="shared" si="88"/>
        <v>1</v>
      </c>
      <c r="L430" s="631"/>
      <c r="M430" s="21">
        <f t="shared" si="89"/>
        <v>1</v>
      </c>
      <c r="N430" s="631"/>
      <c r="O430" s="21">
        <f t="shared" si="90"/>
        <v>0</v>
      </c>
      <c r="P430" s="631"/>
      <c r="Q430" s="21">
        <f t="shared" si="91"/>
        <v>0</v>
      </c>
      <c r="R430" s="21">
        <f t="shared" si="92"/>
        <v>0</v>
      </c>
      <c r="S430" s="308">
        <f t="shared" si="93"/>
        <v>0</v>
      </c>
    </row>
    <row r="431" spans="1:19">
      <c r="A431" s="142"/>
      <c r="B431" s="52"/>
      <c r="C431" s="21">
        <f t="shared" si="84"/>
        <v>1</v>
      </c>
      <c r="D431" s="631"/>
      <c r="E431" s="21">
        <f t="shared" si="85"/>
        <v>0.06</v>
      </c>
      <c r="F431" s="631"/>
      <c r="G431" s="21">
        <f t="shared" si="86"/>
        <v>1</v>
      </c>
      <c r="H431" s="631"/>
      <c r="I431" s="21">
        <f t="shared" si="87"/>
        <v>0</v>
      </c>
      <c r="J431" s="631"/>
      <c r="K431" s="21">
        <f t="shared" si="88"/>
        <v>1</v>
      </c>
      <c r="L431" s="631"/>
      <c r="M431" s="21">
        <f t="shared" si="89"/>
        <v>1</v>
      </c>
      <c r="N431" s="631"/>
      <c r="O431" s="21">
        <f t="shared" si="90"/>
        <v>0</v>
      </c>
      <c r="P431" s="631"/>
      <c r="Q431" s="21">
        <f t="shared" si="91"/>
        <v>0</v>
      </c>
      <c r="R431" s="21">
        <f t="shared" si="92"/>
        <v>0</v>
      </c>
      <c r="S431" s="308">
        <f t="shared" si="93"/>
        <v>0</v>
      </c>
    </row>
    <row r="432" spans="1:19">
      <c r="A432" s="142"/>
      <c r="B432" s="52"/>
      <c r="C432" s="21">
        <f t="shared" si="84"/>
        <v>1</v>
      </c>
      <c r="D432" s="631"/>
      <c r="E432" s="21">
        <f t="shared" si="85"/>
        <v>0.06</v>
      </c>
      <c r="F432" s="631"/>
      <c r="G432" s="21">
        <f t="shared" si="86"/>
        <v>1</v>
      </c>
      <c r="H432" s="631"/>
      <c r="I432" s="21">
        <f t="shared" si="87"/>
        <v>0</v>
      </c>
      <c r="J432" s="631"/>
      <c r="K432" s="21">
        <f t="shared" si="88"/>
        <v>1</v>
      </c>
      <c r="L432" s="631"/>
      <c r="M432" s="21">
        <f t="shared" si="89"/>
        <v>1</v>
      </c>
      <c r="N432" s="631"/>
      <c r="O432" s="21">
        <f t="shared" si="90"/>
        <v>0</v>
      </c>
      <c r="P432" s="631"/>
      <c r="Q432" s="21">
        <f t="shared" si="91"/>
        <v>0</v>
      </c>
      <c r="R432" s="21">
        <f t="shared" si="92"/>
        <v>0</v>
      </c>
      <c r="S432" s="308">
        <f t="shared" si="93"/>
        <v>0</v>
      </c>
    </row>
    <row r="433" spans="1:19">
      <c r="A433" s="142"/>
      <c r="B433" s="52"/>
      <c r="C433" s="21">
        <f t="shared" si="84"/>
        <v>1</v>
      </c>
      <c r="D433" s="631"/>
      <c r="E433" s="21">
        <f t="shared" si="85"/>
        <v>0.06</v>
      </c>
      <c r="F433" s="631"/>
      <c r="G433" s="21">
        <f t="shared" si="86"/>
        <v>1</v>
      </c>
      <c r="H433" s="631"/>
      <c r="I433" s="21">
        <f t="shared" si="87"/>
        <v>0</v>
      </c>
      <c r="J433" s="631"/>
      <c r="K433" s="21">
        <f t="shared" si="88"/>
        <v>1</v>
      </c>
      <c r="L433" s="631"/>
      <c r="M433" s="21">
        <f t="shared" si="89"/>
        <v>1</v>
      </c>
      <c r="N433" s="631"/>
      <c r="O433" s="21">
        <f t="shared" si="90"/>
        <v>0</v>
      </c>
      <c r="P433" s="631"/>
      <c r="Q433" s="21">
        <f t="shared" si="91"/>
        <v>0</v>
      </c>
      <c r="R433" s="21">
        <f t="shared" si="92"/>
        <v>0</v>
      </c>
      <c r="S433" s="308">
        <f t="shared" si="93"/>
        <v>0</v>
      </c>
    </row>
    <row r="434" spans="1:19">
      <c r="A434" s="142"/>
      <c r="B434" s="52"/>
      <c r="C434" s="21">
        <f t="shared" si="84"/>
        <v>1</v>
      </c>
      <c r="D434" s="631"/>
      <c r="E434" s="21">
        <f t="shared" si="85"/>
        <v>0.06</v>
      </c>
      <c r="F434" s="631"/>
      <c r="G434" s="21">
        <f t="shared" si="86"/>
        <v>1</v>
      </c>
      <c r="H434" s="631"/>
      <c r="I434" s="21">
        <f t="shared" si="87"/>
        <v>0</v>
      </c>
      <c r="J434" s="631"/>
      <c r="K434" s="21">
        <f t="shared" si="88"/>
        <v>1</v>
      </c>
      <c r="L434" s="631"/>
      <c r="M434" s="21">
        <f t="shared" si="89"/>
        <v>1</v>
      </c>
      <c r="N434" s="631"/>
      <c r="O434" s="21">
        <f t="shared" si="90"/>
        <v>0</v>
      </c>
      <c r="P434" s="631"/>
      <c r="Q434" s="21">
        <f t="shared" si="91"/>
        <v>0</v>
      </c>
      <c r="R434" s="21">
        <f t="shared" si="92"/>
        <v>0</v>
      </c>
      <c r="S434" s="308">
        <f t="shared" si="93"/>
        <v>0</v>
      </c>
    </row>
    <row r="435" spans="1:19">
      <c r="A435" s="142"/>
      <c r="B435" s="52"/>
      <c r="C435" s="21">
        <f t="shared" si="84"/>
        <v>1</v>
      </c>
      <c r="D435" s="631"/>
      <c r="E435" s="21">
        <f t="shared" si="85"/>
        <v>0.06</v>
      </c>
      <c r="F435" s="631"/>
      <c r="G435" s="21">
        <f t="shared" si="86"/>
        <v>1</v>
      </c>
      <c r="H435" s="631"/>
      <c r="I435" s="21">
        <f t="shared" si="87"/>
        <v>0</v>
      </c>
      <c r="J435" s="631"/>
      <c r="K435" s="21">
        <f t="shared" si="88"/>
        <v>1</v>
      </c>
      <c r="L435" s="631"/>
      <c r="M435" s="21">
        <f t="shared" si="89"/>
        <v>1</v>
      </c>
      <c r="N435" s="631"/>
      <c r="O435" s="21">
        <f t="shared" si="90"/>
        <v>0</v>
      </c>
      <c r="P435" s="631"/>
      <c r="Q435" s="21">
        <f t="shared" si="91"/>
        <v>0</v>
      </c>
      <c r="R435" s="21">
        <f t="shared" si="92"/>
        <v>0</v>
      </c>
      <c r="S435" s="308">
        <f t="shared" si="93"/>
        <v>0</v>
      </c>
    </row>
    <row r="436" spans="1:19">
      <c r="A436" s="142"/>
      <c r="B436" s="52"/>
      <c r="C436" s="21">
        <f t="shared" si="84"/>
        <v>1</v>
      </c>
      <c r="D436" s="631"/>
      <c r="E436" s="21">
        <f t="shared" si="85"/>
        <v>0.06</v>
      </c>
      <c r="F436" s="631"/>
      <c r="G436" s="21">
        <f t="shared" si="86"/>
        <v>1</v>
      </c>
      <c r="H436" s="631"/>
      <c r="I436" s="21">
        <f t="shared" si="87"/>
        <v>0</v>
      </c>
      <c r="J436" s="631"/>
      <c r="K436" s="21">
        <f t="shared" si="88"/>
        <v>1</v>
      </c>
      <c r="L436" s="631"/>
      <c r="M436" s="21">
        <f t="shared" si="89"/>
        <v>1</v>
      </c>
      <c r="N436" s="631"/>
      <c r="O436" s="21">
        <f t="shared" si="90"/>
        <v>0</v>
      </c>
      <c r="P436" s="631"/>
      <c r="Q436" s="21">
        <f t="shared" si="91"/>
        <v>0</v>
      </c>
      <c r="R436" s="21">
        <f t="shared" si="92"/>
        <v>0</v>
      </c>
      <c r="S436" s="308">
        <f t="shared" si="93"/>
        <v>0</v>
      </c>
    </row>
    <row r="437" spans="1:19">
      <c r="A437" s="142"/>
      <c r="B437" s="52"/>
      <c r="C437" s="21">
        <f t="shared" si="84"/>
        <v>1</v>
      </c>
      <c r="D437" s="631"/>
      <c r="E437" s="21">
        <f t="shared" si="85"/>
        <v>0.06</v>
      </c>
      <c r="F437" s="631"/>
      <c r="G437" s="21">
        <f t="shared" si="86"/>
        <v>1</v>
      </c>
      <c r="H437" s="631"/>
      <c r="I437" s="21">
        <f t="shared" si="87"/>
        <v>0</v>
      </c>
      <c r="J437" s="631"/>
      <c r="K437" s="21">
        <f t="shared" si="88"/>
        <v>1</v>
      </c>
      <c r="L437" s="631"/>
      <c r="M437" s="21">
        <f t="shared" si="89"/>
        <v>1</v>
      </c>
      <c r="N437" s="631"/>
      <c r="O437" s="21">
        <f t="shared" si="90"/>
        <v>0</v>
      </c>
      <c r="P437" s="631"/>
      <c r="Q437" s="21">
        <f t="shared" si="91"/>
        <v>0</v>
      </c>
      <c r="R437" s="21">
        <f t="shared" si="92"/>
        <v>0</v>
      </c>
      <c r="S437" s="308">
        <f t="shared" si="93"/>
        <v>0</v>
      </c>
    </row>
    <row r="438" spans="1:19">
      <c r="A438" s="142"/>
      <c r="B438" s="52"/>
      <c r="C438" s="21">
        <f t="shared" si="84"/>
        <v>1</v>
      </c>
      <c r="D438" s="631"/>
      <c r="E438" s="21">
        <f t="shared" si="85"/>
        <v>0.06</v>
      </c>
      <c r="F438" s="631"/>
      <c r="G438" s="21">
        <f t="shared" si="86"/>
        <v>1</v>
      </c>
      <c r="H438" s="631"/>
      <c r="I438" s="21">
        <f t="shared" si="87"/>
        <v>0</v>
      </c>
      <c r="J438" s="631"/>
      <c r="K438" s="21">
        <f t="shared" si="88"/>
        <v>1</v>
      </c>
      <c r="L438" s="631"/>
      <c r="M438" s="21">
        <f t="shared" si="89"/>
        <v>1</v>
      </c>
      <c r="N438" s="631"/>
      <c r="O438" s="21">
        <f t="shared" si="90"/>
        <v>0</v>
      </c>
      <c r="P438" s="631"/>
      <c r="Q438" s="21">
        <f t="shared" si="91"/>
        <v>0</v>
      </c>
      <c r="R438" s="21">
        <f t="shared" si="92"/>
        <v>0</v>
      </c>
      <c r="S438" s="308">
        <f t="shared" si="93"/>
        <v>0</v>
      </c>
    </row>
    <row r="439" spans="1:19">
      <c r="A439" s="142"/>
      <c r="B439" s="52"/>
      <c r="C439" s="21">
        <f t="shared" si="84"/>
        <v>1</v>
      </c>
      <c r="D439" s="631"/>
      <c r="E439" s="21">
        <f t="shared" si="85"/>
        <v>0.06</v>
      </c>
      <c r="F439" s="631"/>
      <c r="G439" s="21">
        <f t="shared" si="86"/>
        <v>1</v>
      </c>
      <c r="H439" s="631"/>
      <c r="I439" s="21">
        <f t="shared" si="87"/>
        <v>0</v>
      </c>
      <c r="J439" s="631"/>
      <c r="K439" s="21">
        <f t="shared" si="88"/>
        <v>1</v>
      </c>
      <c r="L439" s="631"/>
      <c r="M439" s="21">
        <f t="shared" si="89"/>
        <v>1</v>
      </c>
      <c r="N439" s="631"/>
      <c r="O439" s="21">
        <f t="shared" si="90"/>
        <v>0</v>
      </c>
      <c r="P439" s="631"/>
      <c r="Q439" s="21">
        <f t="shared" si="91"/>
        <v>0</v>
      </c>
      <c r="R439" s="21">
        <f t="shared" si="92"/>
        <v>0</v>
      </c>
      <c r="S439" s="308">
        <f t="shared" si="93"/>
        <v>0</v>
      </c>
    </row>
    <row r="440" spans="1:19">
      <c r="A440" s="142"/>
      <c r="B440" s="52"/>
      <c r="C440" s="21">
        <f t="shared" si="84"/>
        <v>1</v>
      </c>
      <c r="D440" s="631"/>
      <c r="E440" s="21">
        <f t="shared" si="85"/>
        <v>0.06</v>
      </c>
      <c r="F440" s="631"/>
      <c r="G440" s="21">
        <f t="shared" si="86"/>
        <v>1</v>
      </c>
      <c r="H440" s="631"/>
      <c r="I440" s="21">
        <f t="shared" si="87"/>
        <v>0</v>
      </c>
      <c r="J440" s="631"/>
      <c r="K440" s="21">
        <f t="shared" si="88"/>
        <v>1</v>
      </c>
      <c r="L440" s="631"/>
      <c r="M440" s="21">
        <f t="shared" si="89"/>
        <v>1</v>
      </c>
      <c r="N440" s="631"/>
      <c r="O440" s="21">
        <f t="shared" si="90"/>
        <v>0</v>
      </c>
      <c r="P440" s="631"/>
      <c r="Q440" s="21">
        <f t="shared" si="91"/>
        <v>0</v>
      </c>
      <c r="R440" s="21">
        <f t="shared" si="92"/>
        <v>0</v>
      </c>
      <c r="S440" s="308">
        <f t="shared" si="93"/>
        <v>0</v>
      </c>
    </row>
    <row r="441" spans="1:19">
      <c r="A441" s="142"/>
      <c r="B441" s="52"/>
      <c r="C441" s="21">
        <f t="shared" si="84"/>
        <v>1</v>
      </c>
      <c r="D441" s="631"/>
      <c r="E441" s="21">
        <f t="shared" si="85"/>
        <v>0.06</v>
      </c>
      <c r="F441" s="631"/>
      <c r="G441" s="21">
        <f t="shared" si="86"/>
        <v>1</v>
      </c>
      <c r="H441" s="631"/>
      <c r="I441" s="21">
        <f t="shared" si="87"/>
        <v>0</v>
      </c>
      <c r="J441" s="631"/>
      <c r="K441" s="21">
        <f t="shared" si="88"/>
        <v>1</v>
      </c>
      <c r="L441" s="631"/>
      <c r="M441" s="21">
        <f t="shared" si="89"/>
        <v>1</v>
      </c>
      <c r="N441" s="631"/>
      <c r="O441" s="21">
        <f t="shared" si="90"/>
        <v>0</v>
      </c>
      <c r="P441" s="631"/>
      <c r="Q441" s="21">
        <f t="shared" si="91"/>
        <v>0</v>
      </c>
      <c r="R441" s="21">
        <f t="shared" si="92"/>
        <v>0</v>
      </c>
      <c r="S441" s="308">
        <f t="shared" si="93"/>
        <v>0</v>
      </c>
    </row>
    <row r="442" spans="1:19">
      <c r="A442" s="142"/>
      <c r="B442" s="52"/>
      <c r="C442" s="21">
        <f t="shared" si="84"/>
        <v>1</v>
      </c>
      <c r="D442" s="631"/>
      <c r="E442" s="21">
        <f t="shared" si="85"/>
        <v>0.06</v>
      </c>
      <c r="F442" s="631"/>
      <c r="G442" s="21">
        <f t="shared" si="86"/>
        <v>1</v>
      </c>
      <c r="H442" s="631"/>
      <c r="I442" s="21">
        <f t="shared" si="87"/>
        <v>0</v>
      </c>
      <c r="J442" s="631"/>
      <c r="K442" s="21">
        <f t="shared" si="88"/>
        <v>1</v>
      </c>
      <c r="L442" s="631"/>
      <c r="M442" s="21">
        <f t="shared" si="89"/>
        <v>1</v>
      </c>
      <c r="N442" s="631"/>
      <c r="O442" s="21">
        <f t="shared" si="90"/>
        <v>0</v>
      </c>
      <c r="P442" s="631"/>
      <c r="Q442" s="21">
        <f t="shared" si="91"/>
        <v>0</v>
      </c>
      <c r="R442" s="21">
        <f t="shared" si="92"/>
        <v>0</v>
      </c>
      <c r="S442" s="308">
        <f t="shared" si="93"/>
        <v>0</v>
      </c>
    </row>
    <row r="443" spans="1:19">
      <c r="A443" s="142"/>
      <c r="B443" s="52"/>
      <c r="C443" s="21">
        <f t="shared" si="84"/>
        <v>1</v>
      </c>
      <c r="D443" s="631"/>
      <c r="E443" s="21">
        <f t="shared" si="85"/>
        <v>0.06</v>
      </c>
      <c r="F443" s="631"/>
      <c r="G443" s="21">
        <f t="shared" si="86"/>
        <v>1</v>
      </c>
      <c r="H443" s="631"/>
      <c r="I443" s="21">
        <f t="shared" si="87"/>
        <v>0</v>
      </c>
      <c r="J443" s="631"/>
      <c r="K443" s="21">
        <f t="shared" si="88"/>
        <v>1</v>
      </c>
      <c r="L443" s="631"/>
      <c r="M443" s="21">
        <f t="shared" si="89"/>
        <v>1</v>
      </c>
      <c r="N443" s="631"/>
      <c r="O443" s="21">
        <f t="shared" si="90"/>
        <v>0</v>
      </c>
      <c r="P443" s="631"/>
      <c r="Q443" s="21">
        <f t="shared" si="91"/>
        <v>0</v>
      </c>
      <c r="R443" s="21">
        <f t="shared" si="92"/>
        <v>0</v>
      </c>
      <c r="S443" s="308">
        <f t="shared" si="93"/>
        <v>0</v>
      </c>
    </row>
    <row r="444" spans="1:19">
      <c r="A444" s="142"/>
      <c r="B444" s="52"/>
      <c r="C444" s="21">
        <f t="shared" si="84"/>
        <v>1</v>
      </c>
      <c r="D444" s="631"/>
      <c r="E444" s="21">
        <f t="shared" si="85"/>
        <v>0.06</v>
      </c>
      <c r="F444" s="631"/>
      <c r="G444" s="21">
        <f t="shared" si="86"/>
        <v>1</v>
      </c>
      <c r="H444" s="631"/>
      <c r="I444" s="21">
        <f t="shared" si="87"/>
        <v>0</v>
      </c>
      <c r="J444" s="631"/>
      <c r="K444" s="21">
        <f t="shared" si="88"/>
        <v>1</v>
      </c>
      <c r="L444" s="631"/>
      <c r="M444" s="21">
        <f t="shared" si="89"/>
        <v>1</v>
      </c>
      <c r="N444" s="631"/>
      <c r="O444" s="21">
        <f t="shared" si="90"/>
        <v>0</v>
      </c>
      <c r="P444" s="631"/>
      <c r="Q444" s="21">
        <f t="shared" si="91"/>
        <v>0</v>
      </c>
      <c r="R444" s="21">
        <f t="shared" si="92"/>
        <v>0</v>
      </c>
      <c r="S444" s="308">
        <f t="shared" si="93"/>
        <v>0</v>
      </c>
    </row>
    <row r="445" spans="1:19">
      <c r="A445" s="142"/>
      <c r="B445" s="52"/>
      <c r="C445" s="21">
        <f t="shared" si="84"/>
        <v>1</v>
      </c>
      <c r="D445" s="631"/>
      <c r="E445" s="21">
        <f t="shared" si="85"/>
        <v>0.06</v>
      </c>
      <c r="F445" s="631"/>
      <c r="G445" s="21">
        <f t="shared" si="86"/>
        <v>1</v>
      </c>
      <c r="H445" s="631"/>
      <c r="I445" s="21">
        <f t="shared" si="87"/>
        <v>0</v>
      </c>
      <c r="J445" s="631"/>
      <c r="K445" s="21">
        <f t="shared" si="88"/>
        <v>1</v>
      </c>
      <c r="L445" s="631"/>
      <c r="M445" s="21">
        <f t="shared" si="89"/>
        <v>1</v>
      </c>
      <c r="N445" s="631"/>
      <c r="O445" s="21">
        <f t="shared" si="90"/>
        <v>0</v>
      </c>
      <c r="P445" s="631"/>
      <c r="Q445" s="21">
        <f t="shared" si="91"/>
        <v>0</v>
      </c>
      <c r="R445" s="21">
        <f t="shared" si="92"/>
        <v>0</v>
      </c>
      <c r="S445" s="308">
        <f t="shared" si="93"/>
        <v>0</v>
      </c>
    </row>
    <row r="446" spans="1:19">
      <c r="A446" s="142"/>
      <c r="B446" s="52"/>
      <c r="C446" s="21">
        <f t="shared" si="84"/>
        <v>1</v>
      </c>
      <c r="D446" s="631"/>
      <c r="E446" s="21">
        <f t="shared" si="85"/>
        <v>0.06</v>
      </c>
      <c r="F446" s="631"/>
      <c r="G446" s="21">
        <f t="shared" si="86"/>
        <v>1</v>
      </c>
      <c r="H446" s="631"/>
      <c r="I446" s="21">
        <f t="shared" si="87"/>
        <v>0</v>
      </c>
      <c r="J446" s="631"/>
      <c r="K446" s="21">
        <f t="shared" si="88"/>
        <v>1</v>
      </c>
      <c r="L446" s="631"/>
      <c r="M446" s="21">
        <f t="shared" si="89"/>
        <v>1</v>
      </c>
      <c r="N446" s="631"/>
      <c r="O446" s="21">
        <f t="shared" si="90"/>
        <v>0</v>
      </c>
      <c r="P446" s="631"/>
      <c r="Q446" s="21">
        <f t="shared" si="91"/>
        <v>0</v>
      </c>
      <c r="R446" s="21">
        <f t="shared" si="92"/>
        <v>0</v>
      </c>
      <c r="S446" s="308">
        <f t="shared" si="93"/>
        <v>0</v>
      </c>
    </row>
    <row r="447" spans="1:19">
      <c r="A447" s="142"/>
      <c r="B447" s="52"/>
      <c r="C447" s="21">
        <f t="shared" si="84"/>
        <v>1</v>
      </c>
      <c r="D447" s="631"/>
      <c r="E447" s="21">
        <f t="shared" si="85"/>
        <v>0.06</v>
      </c>
      <c r="F447" s="631"/>
      <c r="G447" s="21">
        <f t="shared" si="86"/>
        <v>1</v>
      </c>
      <c r="H447" s="631"/>
      <c r="I447" s="21">
        <f t="shared" si="87"/>
        <v>0</v>
      </c>
      <c r="J447" s="631"/>
      <c r="K447" s="21">
        <f t="shared" si="88"/>
        <v>1</v>
      </c>
      <c r="L447" s="631"/>
      <c r="M447" s="21">
        <f t="shared" si="89"/>
        <v>1</v>
      </c>
      <c r="N447" s="631"/>
      <c r="O447" s="21">
        <f t="shared" si="90"/>
        <v>0</v>
      </c>
      <c r="P447" s="631"/>
      <c r="Q447" s="21">
        <f t="shared" si="91"/>
        <v>0</v>
      </c>
      <c r="R447" s="21">
        <f t="shared" si="92"/>
        <v>0</v>
      </c>
      <c r="S447" s="308">
        <f t="shared" si="93"/>
        <v>0</v>
      </c>
    </row>
    <row r="448" spans="1:19">
      <c r="A448" s="142"/>
      <c r="B448" s="52"/>
      <c r="C448" s="21">
        <f t="shared" si="84"/>
        <v>1</v>
      </c>
      <c r="D448" s="631"/>
      <c r="E448" s="21">
        <f t="shared" si="85"/>
        <v>0.06</v>
      </c>
      <c r="F448" s="631"/>
      <c r="G448" s="21">
        <f t="shared" si="86"/>
        <v>1</v>
      </c>
      <c r="H448" s="631"/>
      <c r="I448" s="21">
        <f t="shared" si="87"/>
        <v>0</v>
      </c>
      <c r="J448" s="631"/>
      <c r="K448" s="21">
        <f t="shared" si="88"/>
        <v>1</v>
      </c>
      <c r="L448" s="631"/>
      <c r="M448" s="21">
        <f t="shared" si="89"/>
        <v>1</v>
      </c>
      <c r="N448" s="631"/>
      <c r="O448" s="21">
        <f t="shared" si="90"/>
        <v>0</v>
      </c>
      <c r="P448" s="631"/>
      <c r="Q448" s="21">
        <f t="shared" si="91"/>
        <v>0</v>
      </c>
      <c r="R448" s="21">
        <f t="shared" si="92"/>
        <v>0</v>
      </c>
      <c r="S448" s="308">
        <f t="shared" si="93"/>
        <v>0</v>
      </c>
    </row>
    <row r="449" spans="1:19">
      <c r="A449" s="142"/>
      <c r="B449" s="52"/>
      <c r="C449" s="21">
        <f t="shared" si="84"/>
        <v>1</v>
      </c>
      <c r="D449" s="631"/>
      <c r="E449" s="21">
        <f t="shared" si="85"/>
        <v>0.06</v>
      </c>
      <c r="F449" s="631"/>
      <c r="G449" s="21">
        <f t="shared" si="86"/>
        <v>1</v>
      </c>
      <c r="H449" s="631"/>
      <c r="I449" s="21">
        <f t="shared" si="87"/>
        <v>0</v>
      </c>
      <c r="J449" s="631"/>
      <c r="K449" s="21">
        <f t="shared" si="88"/>
        <v>1</v>
      </c>
      <c r="L449" s="631"/>
      <c r="M449" s="21">
        <f t="shared" si="89"/>
        <v>1</v>
      </c>
      <c r="N449" s="631"/>
      <c r="O449" s="21">
        <f t="shared" si="90"/>
        <v>0</v>
      </c>
      <c r="P449" s="631"/>
      <c r="Q449" s="21">
        <f t="shared" si="91"/>
        <v>0</v>
      </c>
      <c r="R449" s="21">
        <f t="shared" si="92"/>
        <v>0</v>
      </c>
      <c r="S449" s="308">
        <f t="shared" si="93"/>
        <v>0</v>
      </c>
    </row>
    <row r="450" spans="1:19">
      <c r="A450" s="142"/>
      <c r="B450" s="52"/>
      <c r="C450" s="21">
        <f t="shared" si="84"/>
        <v>1</v>
      </c>
      <c r="D450" s="631"/>
      <c r="E450" s="21">
        <f t="shared" si="85"/>
        <v>0.06</v>
      </c>
      <c r="F450" s="631"/>
      <c r="G450" s="21">
        <f t="shared" si="86"/>
        <v>1</v>
      </c>
      <c r="H450" s="631"/>
      <c r="I450" s="21">
        <f t="shared" si="87"/>
        <v>0</v>
      </c>
      <c r="J450" s="631"/>
      <c r="K450" s="21">
        <f t="shared" si="88"/>
        <v>1</v>
      </c>
      <c r="L450" s="631"/>
      <c r="M450" s="21">
        <f t="shared" si="89"/>
        <v>1</v>
      </c>
      <c r="N450" s="631"/>
      <c r="O450" s="21">
        <f t="shared" si="90"/>
        <v>0</v>
      </c>
      <c r="P450" s="631"/>
      <c r="Q450" s="21">
        <f t="shared" si="91"/>
        <v>0</v>
      </c>
      <c r="R450" s="21">
        <f t="shared" si="92"/>
        <v>0</v>
      </c>
      <c r="S450" s="308">
        <f t="shared" si="93"/>
        <v>0</v>
      </c>
    </row>
    <row r="451" spans="1:19">
      <c r="A451" s="142"/>
      <c r="B451" s="52"/>
      <c r="C451" s="21">
        <f t="shared" si="84"/>
        <v>1</v>
      </c>
      <c r="D451" s="631"/>
      <c r="E451" s="21">
        <f t="shared" si="85"/>
        <v>0.06</v>
      </c>
      <c r="F451" s="631"/>
      <c r="G451" s="21">
        <f t="shared" si="86"/>
        <v>1</v>
      </c>
      <c r="H451" s="631"/>
      <c r="I451" s="21">
        <f t="shared" si="87"/>
        <v>0</v>
      </c>
      <c r="J451" s="631"/>
      <c r="K451" s="21">
        <f t="shared" si="88"/>
        <v>1</v>
      </c>
      <c r="L451" s="631"/>
      <c r="M451" s="21">
        <f t="shared" si="89"/>
        <v>1</v>
      </c>
      <c r="N451" s="631"/>
      <c r="O451" s="21">
        <f t="shared" si="90"/>
        <v>0</v>
      </c>
      <c r="P451" s="631"/>
      <c r="Q451" s="21">
        <f t="shared" si="91"/>
        <v>0</v>
      </c>
      <c r="R451" s="21">
        <f t="shared" si="92"/>
        <v>0</v>
      </c>
      <c r="S451" s="308">
        <f t="shared" si="93"/>
        <v>0</v>
      </c>
    </row>
    <row r="452" spans="1:19">
      <c r="A452" s="142"/>
      <c r="B452" s="52"/>
      <c r="C452" s="21">
        <f t="shared" si="84"/>
        <v>1</v>
      </c>
      <c r="D452" s="631"/>
      <c r="E452" s="21">
        <f t="shared" si="85"/>
        <v>0.06</v>
      </c>
      <c r="F452" s="631"/>
      <c r="G452" s="21">
        <f t="shared" si="86"/>
        <v>1</v>
      </c>
      <c r="H452" s="631"/>
      <c r="I452" s="21">
        <f t="shared" si="87"/>
        <v>0</v>
      </c>
      <c r="J452" s="631"/>
      <c r="K452" s="21">
        <f t="shared" si="88"/>
        <v>1</v>
      </c>
      <c r="L452" s="631"/>
      <c r="M452" s="21">
        <f t="shared" si="89"/>
        <v>1</v>
      </c>
      <c r="N452" s="631"/>
      <c r="O452" s="21">
        <f t="shared" si="90"/>
        <v>0</v>
      </c>
      <c r="P452" s="631"/>
      <c r="Q452" s="21">
        <f t="shared" si="91"/>
        <v>0</v>
      </c>
      <c r="R452" s="21">
        <f t="shared" si="92"/>
        <v>0</v>
      </c>
      <c r="S452" s="308">
        <f t="shared" si="93"/>
        <v>0</v>
      </c>
    </row>
    <row r="453" spans="1:19">
      <c r="A453" s="142"/>
      <c r="B453" s="52"/>
      <c r="C453" s="21">
        <f t="shared" si="84"/>
        <v>1</v>
      </c>
      <c r="D453" s="631"/>
      <c r="E453" s="21">
        <f t="shared" si="85"/>
        <v>0.06</v>
      </c>
      <c r="F453" s="631"/>
      <c r="G453" s="21">
        <f t="shared" si="86"/>
        <v>1</v>
      </c>
      <c r="H453" s="631"/>
      <c r="I453" s="21">
        <f t="shared" si="87"/>
        <v>0</v>
      </c>
      <c r="J453" s="631"/>
      <c r="K453" s="21">
        <f t="shared" si="88"/>
        <v>1</v>
      </c>
      <c r="L453" s="631"/>
      <c r="M453" s="21">
        <f t="shared" si="89"/>
        <v>1</v>
      </c>
      <c r="N453" s="631"/>
      <c r="O453" s="21">
        <f t="shared" si="90"/>
        <v>0</v>
      </c>
      <c r="P453" s="631"/>
      <c r="Q453" s="21">
        <f t="shared" si="91"/>
        <v>0</v>
      </c>
      <c r="R453" s="21">
        <f t="shared" si="92"/>
        <v>0</v>
      </c>
      <c r="S453" s="308">
        <f t="shared" si="93"/>
        <v>0</v>
      </c>
    </row>
    <row r="454" spans="1:19">
      <c r="A454" s="142"/>
      <c r="B454" s="52"/>
      <c r="C454" s="21">
        <f t="shared" si="84"/>
        <v>1</v>
      </c>
      <c r="D454" s="631"/>
      <c r="E454" s="21">
        <f t="shared" si="85"/>
        <v>0.06</v>
      </c>
      <c r="F454" s="631"/>
      <c r="G454" s="21">
        <f t="shared" si="86"/>
        <v>1</v>
      </c>
      <c r="H454" s="631"/>
      <c r="I454" s="21">
        <f t="shared" si="87"/>
        <v>0</v>
      </c>
      <c r="J454" s="631"/>
      <c r="K454" s="21">
        <f t="shared" si="88"/>
        <v>1</v>
      </c>
      <c r="L454" s="631"/>
      <c r="M454" s="21">
        <f t="shared" si="89"/>
        <v>1</v>
      </c>
      <c r="N454" s="631"/>
      <c r="O454" s="21">
        <f t="shared" si="90"/>
        <v>0</v>
      </c>
      <c r="P454" s="631"/>
      <c r="Q454" s="21">
        <f t="shared" si="91"/>
        <v>0</v>
      </c>
      <c r="R454" s="21">
        <f t="shared" si="92"/>
        <v>0</v>
      </c>
      <c r="S454" s="308">
        <f t="shared" si="93"/>
        <v>0</v>
      </c>
    </row>
    <row r="455" spans="1:19">
      <c r="A455" s="142"/>
      <c r="B455" s="52"/>
      <c r="C455" s="21">
        <f t="shared" si="84"/>
        <v>1</v>
      </c>
      <c r="D455" s="631"/>
      <c r="E455" s="21">
        <f t="shared" si="85"/>
        <v>0.06</v>
      </c>
      <c r="F455" s="631"/>
      <c r="G455" s="21">
        <f t="shared" si="86"/>
        <v>1</v>
      </c>
      <c r="H455" s="631"/>
      <c r="I455" s="21">
        <f t="shared" si="87"/>
        <v>0</v>
      </c>
      <c r="J455" s="631"/>
      <c r="K455" s="21">
        <f t="shared" si="88"/>
        <v>1</v>
      </c>
      <c r="L455" s="631"/>
      <c r="M455" s="21">
        <f t="shared" si="89"/>
        <v>1</v>
      </c>
      <c r="N455" s="631"/>
      <c r="O455" s="21">
        <f t="shared" si="90"/>
        <v>0</v>
      </c>
      <c r="P455" s="631"/>
      <c r="Q455" s="21">
        <f t="shared" si="91"/>
        <v>0</v>
      </c>
      <c r="R455" s="21">
        <f t="shared" si="92"/>
        <v>0</v>
      </c>
      <c r="S455" s="308">
        <f t="shared" si="93"/>
        <v>0</v>
      </c>
    </row>
    <row r="456" spans="1:19">
      <c r="A456" s="142"/>
      <c r="B456" s="52"/>
      <c r="C456" s="21">
        <f t="shared" si="84"/>
        <v>1</v>
      </c>
      <c r="D456" s="631"/>
      <c r="E456" s="21">
        <f t="shared" si="85"/>
        <v>0.06</v>
      </c>
      <c r="F456" s="631"/>
      <c r="G456" s="21">
        <f t="shared" si="86"/>
        <v>1</v>
      </c>
      <c r="H456" s="631"/>
      <c r="I456" s="21">
        <f t="shared" si="87"/>
        <v>0</v>
      </c>
      <c r="J456" s="631"/>
      <c r="K456" s="21">
        <f t="shared" si="88"/>
        <v>1</v>
      </c>
      <c r="L456" s="631"/>
      <c r="M456" s="21">
        <f t="shared" si="89"/>
        <v>1</v>
      </c>
      <c r="N456" s="631"/>
      <c r="O456" s="21">
        <f t="shared" si="90"/>
        <v>0</v>
      </c>
      <c r="P456" s="631"/>
      <c r="Q456" s="21">
        <f t="shared" si="91"/>
        <v>0</v>
      </c>
      <c r="R456" s="21">
        <f t="shared" si="92"/>
        <v>0</v>
      </c>
      <c r="S456" s="308">
        <f t="shared" si="93"/>
        <v>0</v>
      </c>
    </row>
    <row r="457" spans="1:19">
      <c r="A457" s="142"/>
      <c r="B457" s="52"/>
      <c r="C457" s="21">
        <f t="shared" si="84"/>
        <v>1</v>
      </c>
      <c r="D457" s="631"/>
      <c r="E457" s="21">
        <f t="shared" si="85"/>
        <v>0.06</v>
      </c>
      <c r="F457" s="631"/>
      <c r="G457" s="21">
        <f t="shared" si="86"/>
        <v>1</v>
      </c>
      <c r="H457" s="631"/>
      <c r="I457" s="21">
        <f t="shared" si="87"/>
        <v>0</v>
      </c>
      <c r="J457" s="631"/>
      <c r="K457" s="21">
        <f t="shared" si="88"/>
        <v>1</v>
      </c>
      <c r="L457" s="631"/>
      <c r="M457" s="21">
        <f t="shared" si="89"/>
        <v>1</v>
      </c>
      <c r="N457" s="631"/>
      <c r="O457" s="21">
        <f t="shared" si="90"/>
        <v>0</v>
      </c>
      <c r="P457" s="631"/>
      <c r="Q457" s="21">
        <f t="shared" si="91"/>
        <v>0</v>
      </c>
      <c r="R457" s="21">
        <f t="shared" si="92"/>
        <v>0</v>
      </c>
      <c r="S457" s="308">
        <f t="shared" si="93"/>
        <v>0</v>
      </c>
    </row>
    <row r="458" spans="1:19">
      <c r="A458" s="142"/>
      <c r="B458" s="52"/>
      <c r="C458" s="21">
        <f t="shared" si="84"/>
        <v>1</v>
      </c>
      <c r="D458" s="631"/>
      <c r="E458" s="21">
        <f t="shared" si="85"/>
        <v>0.06</v>
      </c>
      <c r="F458" s="631"/>
      <c r="G458" s="21">
        <f t="shared" si="86"/>
        <v>1</v>
      </c>
      <c r="H458" s="631"/>
      <c r="I458" s="21">
        <f t="shared" si="87"/>
        <v>0</v>
      </c>
      <c r="J458" s="631"/>
      <c r="K458" s="21">
        <f t="shared" si="88"/>
        <v>1</v>
      </c>
      <c r="L458" s="631"/>
      <c r="M458" s="21">
        <f t="shared" si="89"/>
        <v>1</v>
      </c>
      <c r="N458" s="631"/>
      <c r="O458" s="21">
        <f t="shared" si="90"/>
        <v>0</v>
      </c>
      <c r="P458" s="631"/>
      <c r="Q458" s="21">
        <f t="shared" si="91"/>
        <v>0</v>
      </c>
      <c r="R458" s="21">
        <f t="shared" si="92"/>
        <v>0</v>
      </c>
      <c r="S458" s="308">
        <f t="shared" si="93"/>
        <v>0</v>
      </c>
    </row>
    <row r="459" spans="1:19">
      <c r="A459" s="142"/>
      <c r="B459" s="52"/>
      <c r="C459" s="21">
        <f t="shared" si="84"/>
        <v>1</v>
      </c>
      <c r="D459" s="631"/>
      <c r="E459" s="21">
        <f t="shared" si="85"/>
        <v>0.06</v>
      </c>
      <c r="F459" s="631"/>
      <c r="G459" s="21">
        <f t="shared" si="86"/>
        <v>1</v>
      </c>
      <c r="H459" s="631"/>
      <c r="I459" s="21">
        <f t="shared" si="87"/>
        <v>0</v>
      </c>
      <c r="J459" s="631"/>
      <c r="K459" s="21">
        <f t="shared" si="88"/>
        <v>1</v>
      </c>
      <c r="L459" s="631"/>
      <c r="M459" s="21">
        <f t="shared" si="89"/>
        <v>1</v>
      </c>
      <c r="N459" s="631"/>
      <c r="O459" s="21">
        <f t="shared" si="90"/>
        <v>0</v>
      </c>
      <c r="P459" s="631"/>
      <c r="Q459" s="21">
        <f t="shared" si="91"/>
        <v>0</v>
      </c>
      <c r="R459" s="21">
        <f t="shared" si="92"/>
        <v>0</v>
      </c>
      <c r="S459" s="308">
        <f t="shared" si="93"/>
        <v>0</v>
      </c>
    </row>
    <row r="460" spans="1:19">
      <c r="A460" s="142"/>
      <c r="B460" s="52"/>
      <c r="C460" s="21">
        <f t="shared" si="84"/>
        <v>1</v>
      </c>
      <c r="D460" s="631"/>
      <c r="E460" s="21">
        <f t="shared" si="85"/>
        <v>0.06</v>
      </c>
      <c r="F460" s="631"/>
      <c r="G460" s="21">
        <f t="shared" si="86"/>
        <v>1</v>
      </c>
      <c r="H460" s="631"/>
      <c r="I460" s="21">
        <f t="shared" si="87"/>
        <v>0</v>
      </c>
      <c r="J460" s="631"/>
      <c r="K460" s="21">
        <f t="shared" si="88"/>
        <v>1</v>
      </c>
      <c r="L460" s="631"/>
      <c r="M460" s="21">
        <f t="shared" si="89"/>
        <v>1</v>
      </c>
      <c r="N460" s="631"/>
      <c r="O460" s="21">
        <f t="shared" si="90"/>
        <v>0</v>
      </c>
      <c r="P460" s="631"/>
      <c r="Q460" s="21">
        <f t="shared" si="91"/>
        <v>0</v>
      </c>
      <c r="R460" s="21">
        <f t="shared" si="92"/>
        <v>0</v>
      </c>
      <c r="S460" s="308">
        <f t="shared" si="93"/>
        <v>0</v>
      </c>
    </row>
    <row r="461" spans="1:19">
      <c r="A461" s="142"/>
      <c r="B461" s="52"/>
      <c r="C461" s="21">
        <f t="shared" si="84"/>
        <v>1</v>
      </c>
      <c r="D461" s="631"/>
      <c r="E461" s="21">
        <f t="shared" si="85"/>
        <v>0.06</v>
      </c>
      <c r="F461" s="631"/>
      <c r="G461" s="21">
        <f t="shared" si="86"/>
        <v>1</v>
      </c>
      <c r="H461" s="631"/>
      <c r="I461" s="21">
        <f t="shared" si="87"/>
        <v>0</v>
      </c>
      <c r="J461" s="631"/>
      <c r="K461" s="21">
        <f t="shared" si="88"/>
        <v>1</v>
      </c>
      <c r="L461" s="631"/>
      <c r="M461" s="21">
        <f t="shared" si="89"/>
        <v>1</v>
      </c>
      <c r="N461" s="631"/>
      <c r="O461" s="21">
        <f t="shared" si="90"/>
        <v>0</v>
      </c>
      <c r="P461" s="631"/>
      <c r="Q461" s="21">
        <f t="shared" si="91"/>
        <v>0</v>
      </c>
      <c r="R461" s="21">
        <f t="shared" si="92"/>
        <v>0</v>
      </c>
      <c r="S461" s="308">
        <f t="shared" si="93"/>
        <v>0</v>
      </c>
    </row>
    <row r="462" spans="1:19">
      <c r="A462" s="142"/>
      <c r="B462" s="52"/>
      <c r="C462" s="21">
        <f t="shared" si="84"/>
        <v>1</v>
      </c>
      <c r="D462" s="631"/>
      <c r="E462" s="21">
        <f t="shared" si="85"/>
        <v>0.06</v>
      </c>
      <c r="F462" s="631"/>
      <c r="G462" s="21">
        <f t="shared" si="86"/>
        <v>1</v>
      </c>
      <c r="H462" s="631"/>
      <c r="I462" s="21">
        <f t="shared" si="87"/>
        <v>0</v>
      </c>
      <c r="J462" s="631"/>
      <c r="K462" s="21">
        <f t="shared" si="88"/>
        <v>1</v>
      </c>
      <c r="L462" s="631"/>
      <c r="M462" s="21">
        <f t="shared" si="89"/>
        <v>1</v>
      </c>
      <c r="N462" s="631"/>
      <c r="O462" s="21">
        <f t="shared" si="90"/>
        <v>0</v>
      </c>
      <c r="P462" s="631"/>
      <c r="Q462" s="21">
        <f t="shared" si="91"/>
        <v>0</v>
      </c>
      <c r="R462" s="21">
        <f t="shared" si="92"/>
        <v>0</v>
      </c>
      <c r="S462" s="308">
        <f t="shared" si="93"/>
        <v>0</v>
      </c>
    </row>
    <row r="463" spans="1:19">
      <c r="A463" s="142"/>
      <c r="B463" s="52"/>
      <c r="C463" s="21">
        <f t="shared" si="84"/>
        <v>1</v>
      </c>
      <c r="D463" s="631"/>
      <c r="E463" s="21">
        <f t="shared" si="85"/>
        <v>0.06</v>
      </c>
      <c r="F463" s="631"/>
      <c r="G463" s="21">
        <f t="shared" si="86"/>
        <v>1</v>
      </c>
      <c r="H463" s="631"/>
      <c r="I463" s="21">
        <f t="shared" si="87"/>
        <v>0</v>
      </c>
      <c r="J463" s="631"/>
      <c r="K463" s="21">
        <f t="shared" si="88"/>
        <v>1</v>
      </c>
      <c r="L463" s="631"/>
      <c r="M463" s="21">
        <f t="shared" si="89"/>
        <v>1</v>
      </c>
      <c r="N463" s="631"/>
      <c r="O463" s="21">
        <f t="shared" si="90"/>
        <v>0</v>
      </c>
      <c r="P463" s="631"/>
      <c r="Q463" s="21">
        <f t="shared" si="91"/>
        <v>0</v>
      </c>
      <c r="R463" s="21">
        <f t="shared" si="92"/>
        <v>0</v>
      </c>
      <c r="S463" s="308">
        <f t="shared" si="93"/>
        <v>0</v>
      </c>
    </row>
    <row r="464" spans="1:19">
      <c r="A464" s="142"/>
      <c r="B464" s="52"/>
      <c r="C464" s="21">
        <f t="shared" si="84"/>
        <v>1</v>
      </c>
      <c r="D464" s="631"/>
      <c r="E464" s="21">
        <f t="shared" si="85"/>
        <v>0.06</v>
      </c>
      <c r="F464" s="631"/>
      <c r="G464" s="21">
        <f t="shared" si="86"/>
        <v>1</v>
      </c>
      <c r="H464" s="631"/>
      <c r="I464" s="21">
        <f t="shared" si="87"/>
        <v>0</v>
      </c>
      <c r="J464" s="631"/>
      <c r="K464" s="21">
        <f t="shared" si="88"/>
        <v>1</v>
      </c>
      <c r="L464" s="631"/>
      <c r="M464" s="21">
        <f t="shared" si="89"/>
        <v>1</v>
      </c>
      <c r="N464" s="631"/>
      <c r="O464" s="21">
        <f t="shared" si="90"/>
        <v>0</v>
      </c>
      <c r="P464" s="631"/>
      <c r="Q464" s="21">
        <f t="shared" si="91"/>
        <v>0</v>
      </c>
      <c r="R464" s="21">
        <f t="shared" si="92"/>
        <v>0</v>
      </c>
      <c r="S464" s="308">
        <f t="shared" si="93"/>
        <v>0</v>
      </c>
    </row>
    <row r="465" spans="1:19">
      <c r="A465" s="142"/>
      <c r="B465" s="52"/>
      <c r="C465" s="21">
        <f t="shared" si="84"/>
        <v>1</v>
      </c>
      <c r="D465" s="631"/>
      <c r="E465" s="21">
        <f t="shared" si="85"/>
        <v>0.06</v>
      </c>
      <c r="F465" s="631"/>
      <c r="G465" s="21">
        <f t="shared" si="86"/>
        <v>1</v>
      </c>
      <c r="H465" s="631"/>
      <c r="I465" s="21">
        <f t="shared" si="87"/>
        <v>0</v>
      </c>
      <c r="J465" s="631"/>
      <c r="K465" s="21">
        <f t="shared" si="88"/>
        <v>1</v>
      </c>
      <c r="L465" s="631"/>
      <c r="M465" s="21">
        <f t="shared" si="89"/>
        <v>1</v>
      </c>
      <c r="N465" s="631"/>
      <c r="O465" s="21">
        <f t="shared" si="90"/>
        <v>0</v>
      </c>
      <c r="P465" s="631"/>
      <c r="Q465" s="21">
        <f t="shared" si="91"/>
        <v>0</v>
      </c>
      <c r="R465" s="21">
        <f t="shared" si="92"/>
        <v>0</v>
      </c>
      <c r="S465" s="308">
        <f t="shared" si="93"/>
        <v>0</v>
      </c>
    </row>
    <row r="466" spans="1:19">
      <c r="A466" s="142"/>
      <c r="B466" s="52"/>
      <c r="C466" s="21">
        <f t="shared" si="84"/>
        <v>1</v>
      </c>
      <c r="D466" s="631"/>
      <c r="E466" s="21">
        <f t="shared" si="85"/>
        <v>0.06</v>
      </c>
      <c r="F466" s="631"/>
      <c r="G466" s="21">
        <f t="shared" si="86"/>
        <v>1</v>
      </c>
      <c r="H466" s="631"/>
      <c r="I466" s="21">
        <f t="shared" si="87"/>
        <v>0</v>
      </c>
      <c r="J466" s="631"/>
      <c r="K466" s="21">
        <f t="shared" si="88"/>
        <v>1</v>
      </c>
      <c r="L466" s="631"/>
      <c r="M466" s="21">
        <f t="shared" si="89"/>
        <v>1</v>
      </c>
      <c r="N466" s="631"/>
      <c r="O466" s="21">
        <f t="shared" si="90"/>
        <v>0</v>
      </c>
      <c r="P466" s="631"/>
      <c r="Q466" s="21">
        <f t="shared" si="91"/>
        <v>0</v>
      </c>
      <c r="R466" s="21">
        <f t="shared" si="92"/>
        <v>0</v>
      </c>
      <c r="S466" s="308">
        <f t="shared" si="93"/>
        <v>0</v>
      </c>
    </row>
    <row r="467" spans="1:19">
      <c r="A467" s="142"/>
      <c r="B467" s="52"/>
      <c r="C467" s="21">
        <f t="shared" si="84"/>
        <v>1</v>
      </c>
      <c r="D467" s="631"/>
      <c r="E467" s="21">
        <f t="shared" si="85"/>
        <v>0.06</v>
      </c>
      <c r="F467" s="631"/>
      <c r="G467" s="21">
        <f t="shared" si="86"/>
        <v>1</v>
      </c>
      <c r="H467" s="631"/>
      <c r="I467" s="21">
        <f t="shared" si="87"/>
        <v>0</v>
      </c>
      <c r="J467" s="631"/>
      <c r="K467" s="21">
        <f t="shared" si="88"/>
        <v>1</v>
      </c>
      <c r="L467" s="631"/>
      <c r="M467" s="21">
        <f t="shared" si="89"/>
        <v>1</v>
      </c>
      <c r="N467" s="631"/>
      <c r="O467" s="21">
        <f t="shared" si="90"/>
        <v>0</v>
      </c>
      <c r="P467" s="631"/>
      <c r="Q467" s="21">
        <f t="shared" si="91"/>
        <v>0</v>
      </c>
      <c r="R467" s="21">
        <f t="shared" si="92"/>
        <v>0</v>
      </c>
      <c r="S467" s="308">
        <f t="shared" si="93"/>
        <v>0</v>
      </c>
    </row>
    <row r="468" spans="1:19">
      <c r="A468" s="142"/>
      <c r="B468" s="52"/>
      <c r="C468" s="21">
        <f t="shared" si="84"/>
        <v>1</v>
      </c>
      <c r="D468" s="631"/>
      <c r="E468" s="21">
        <f t="shared" si="85"/>
        <v>0.06</v>
      </c>
      <c r="F468" s="631"/>
      <c r="G468" s="21">
        <f t="shared" si="86"/>
        <v>1</v>
      </c>
      <c r="H468" s="631"/>
      <c r="I468" s="21">
        <f t="shared" si="87"/>
        <v>0</v>
      </c>
      <c r="J468" s="631"/>
      <c r="K468" s="21">
        <f t="shared" si="88"/>
        <v>1</v>
      </c>
      <c r="L468" s="631"/>
      <c r="M468" s="21">
        <f t="shared" si="89"/>
        <v>1</v>
      </c>
      <c r="N468" s="631"/>
      <c r="O468" s="21">
        <f t="shared" si="90"/>
        <v>0</v>
      </c>
      <c r="P468" s="631"/>
      <c r="Q468" s="21">
        <f t="shared" si="91"/>
        <v>0</v>
      </c>
      <c r="R468" s="21">
        <f t="shared" si="92"/>
        <v>0</v>
      </c>
      <c r="S468" s="308">
        <f t="shared" si="93"/>
        <v>0</v>
      </c>
    </row>
    <row r="469" spans="1:19">
      <c r="A469" s="142"/>
      <c r="B469" s="52"/>
      <c r="C469" s="21">
        <f t="shared" si="84"/>
        <v>1</v>
      </c>
      <c r="D469" s="631"/>
      <c r="E469" s="21">
        <f t="shared" si="85"/>
        <v>0.06</v>
      </c>
      <c r="F469" s="631"/>
      <c r="G469" s="21">
        <f t="shared" si="86"/>
        <v>1</v>
      </c>
      <c r="H469" s="631"/>
      <c r="I469" s="21">
        <f t="shared" si="87"/>
        <v>0</v>
      </c>
      <c r="J469" s="631"/>
      <c r="K469" s="21">
        <f t="shared" si="88"/>
        <v>1</v>
      </c>
      <c r="L469" s="631"/>
      <c r="M469" s="21">
        <f t="shared" si="89"/>
        <v>1</v>
      </c>
      <c r="N469" s="631"/>
      <c r="O469" s="21">
        <f t="shared" si="90"/>
        <v>0</v>
      </c>
      <c r="P469" s="631"/>
      <c r="Q469" s="21">
        <f t="shared" si="91"/>
        <v>0</v>
      </c>
      <c r="R469" s="21">
        <f t="shared" si="92"/>
        <v>0</v>
      </c>
      <c r="S469" s="308">
        <f t="shared" ref="S469:S498" si="94">ROUND(R469*B469/10000,0)</f>
        <v>0</v>
      </c>
    </row>
    <row r="470" spans="1:19">
      <c r="A470" s="142"/>
      <c r="B470" s="52"/>
      <c r="C470" s="21">
        <f t="shared" si="84"/>
        <v>1</v>
      </c>
      <c r="D470" s="631"/>
      <c r="E470" s="21">
        <f t="shared" si="85"/>
        <v>0.06</v>
      </c>
      <c r="F470" s="631"/>
      <c r="G470" s="21">
        <f t="shared" si="86"/>
        <v>1</v>
      </c>
      <c r="H470" s="631"/>
      <c r="I470" s="21">
        <f t="shared" si="87"/>
        <v>0</v>
      </c>
      <c r="J470" s="631"/>
      <c r="K470" s="21">
        <f t="shared" si="88"/>
        <v>1</v>
      </c>
      <c r="L470" s="631"/>
      <c r="M470" s="21">
        <f t="shared" si="89"/>
        <v>1</v>
      </c>
      <c r="N470" s="631"/>
      <c r="O470" s="21">
        <f t="shared" si="90"/>
        <v>0</v>
      </c>
      <c r="P470" s="631"/>
      <c r="Q470" s="21">
        <f t="shared" si="91"/>
        <v>0</v>
      </c>
      <c r="R470" s="21">
        <f t="shared" si="92"/>
        <v>0</v>
      </c>
      <c r="S470" s="308">
        <f t="shared" si="94"/>
        <v>0</v>
      </c>
    </row>
    <row r="471" spans="1:19">
      <c r="A471" s="142"/>
      <c r="B471" s="52"/>
      <c r="C471" s="21">
        <f t="shared" si="84"/>
        <v>1</v>
      </c>
      <c r="D471" s="631"/>
      <c r="E471" s="21">
        <f t="shared" si="85"/>
        <v>0.06</v>
      </c>
      <c r="F471" s="631"/>
      <c r="G471" s="21">
        <f t="shared" si="86"/>
        <v>1</v>
      </c>
      <c r="H471" s="631"/>
      <c r="I471" s="21">
        <f t="shared" si="87"/>
        <v>0</v>
      </c>
      <c r="J471" s="631"/>
      <c r="K471" s="21">
        <f t="shared" si="88"/>
        <v>1</v>
      </c>
      <c r="L471" s="631"/>
      <c r="M471" s="21">
        <f t="shared" si="89"/>
        <v>1</v>
      </c>
      <c r="N471" s="631"/>
      <c r="O471" s="21">
        <f t="shared" si="90"/>
        <v>0</v>
      </c>
      <c r="P471" s="631"/>
      <c r="Q471" s="21">
        <f t="shared" si="91"/>
        <v>0</v>
      </c>
      <c r="R471" s="21">
        <f t="shared" si="92"/>
        <v>0</v>
      </c>
      <c r="S471" s="308">
        <f t="shared" si="94"/>
        <v>0</v>
      </c>
    </row>
    <row r="472" spans="1:19">
      <c r="A472" s="142"/>
      <c r="B472" s="52"/>
      <c r="C472" s="21">
        <f t="shared" si="84"/>
        <v>1</v>
      </c>
      <c r="D472" s="631"/>
      <c r="E472" s="21">
        <f t="shared" si="85"/>
        <v>0.06</v>
      </c>
      <c r="F472" s="631"/>
      <c r="G472" s="21">
        <f t="shared" si="86"/>
        <v>1</v>
      </c>
      <c r="H472" s="631"/>
      <c r="I472" s="21">
        <f t="shared" si="87"/>
        <v>0</v>
      </c>
      <c r="J472" s="631"/>
      <c r="K472" s="21">
        <f t="shared" si="88"/>
        <v>1</v>
      </c>
      <c r="L472" s="631"/>
      <c r="M472" s="21">
        <f t="shared" si="89"/>
        <v>1</v>
      </c>
      <c r="N472" s="631"/>
      <c r="O472" s="21">
        <f t="shared" si="90"/>
        <v>0</v>
      </c>
      <c r="P472" s="631"/>
      <c r="Q472" s="21">
        <f t="shared" si="91"/>
        <v>0</v>
      </c>
      <c r="R472" s="21">
        <f t="shared" si="92"/>
        <v>0</v>
      </c>
      <c r="S472" s="308">
        <f t="shared" si="94"/>
        <v>0</v>
      </c>
    </row>
    <row r="473" spans="1:19">
      <c r="A473" s="142"/>
      <c r="B473" s="52"/>
      <c r="C473" s="21">
        <f t="shared" si="84"/>
        <v>1</v>
      </c>
      <c r="D473" s="631"/>
      <c r="E473" s="21">
        <f t="shared" si="85"/>
        <v>0.06</v>
      </c>
      <c r="F473" s="631"/>
      <c r="G473" s="21">
        <f t="shared" si="86"/>
        <v>1</v>
      </c>
      <c r="H473" s="631"/>
      <c r="I473" s="21">
        <f t="shared" si="87"/>
        <v>0</v>
      </c>
      <c r="J473" s="631"/>
      <c r="K473" s="21">
        <f t="shared" si="88"/>
        <v>1</v>
      </c>
      <c r="L473" s="631"/>
      <c r="M473" s="21">
        <f t="shared" si="89"/>
        <v>1</v>
      </c>
      <c r="N473" s="631"/>
      <c r="O473" s="21">
        <f t="shared" si="90"/>
        <v>0</v>
      </c>
      <c r="P473" s="631"/>
      <c r="Q473" s="21">
        <f t="shared" si="91"/>
        <v>0</v>
      </c>
      <c r="R473" s="21">
        <f t="shared" si="92"/>
        <v>0</v>
      </c>
      <c r="S473" s="308">
        <f t="shared" si="94"/>
        <v>0</v>
      </c>
    </row>
    <row r="474" spans="1:19">
      <c r="A474" s="142"/>
      <c r="B474" s="52"/>
      <c r="C474" s="21">
        <f t="shared" si="84"/>
        <v>1</v>
      </c>
      <c r="D474" s="631"/>
      <c r="E474" s="21">
        <f t="shared" si="85"/>
        <v>0.06</v>
      </c>
      <c r="F474" s="631"/>
      <c r="G474" s="21">
        <f t="shared" si="86"/>
        <v>1</v>
      </c>
      <c r="H474" s="631"/>
      <c r="I474" s="21">
        <f t="shared" si="87"/>
        <v>0</v>
      </c>
      <c r="J474" s="631"/>
      <c r="K474" s="21">
        <f t="shared" si="88"/>
        <v>1</v>
      </c>
      <c r="L474" s="631"/>
      <c r="M474" s="21">
        <f t="shared" si="89"/>
        <v>1</v>
      </c>
      <c r="N474" s="631"/>
      <c r="O474" s="21">
        <f t="shared" si="90"/>
        <v>0</v>
      </c>
      <c r="P474" s="631"/>
      <c r="Q474" s="21">
        <f t="shared" si="91"/>
        <v>0</v>
      </c>
      <c r="R474" s="21">
        <f t="shared" si="92"/>
        <v>0</v>
      </c>
      <c r="S474" s="308">
        <f t="shared" si="94"/>
        <v>0</v>
      </c>
    </row>
    <row r="475" spans="1:19">
      <c r="A475" s="142"/>
      <c r="B475" s="52"/>
      <c r="C475" s="21">
        <f t="shared" ref="C475:C525" si="95">IF(B475="",1,(LOOKUP(B475,$3:$3,$4:$4)-LOOKUP($B$24,$3:$3,$4:$4)+100)/100)</f>
        <v>1</v>
      </c>
      <c r="D475" s="631"/>
      <c r="E475" s="21">
        <f t="shared" ref="E475:E525" si="96">(SUMIF($5:$5,D475,$6:$6)-SUMIF($5:$5,$D$24,$6:$6)+100)/100</f>
        <v>0.06</v>
      </c>
      <c r="F475" s="631"/>
      <c r="G475" s="21">
        <f t="shared" ref="G475:G525" si="97">(SUMIF($7:$7,F475,$8:$8)-SUMIF($7:$7,$F$24,$8:$8)+100)/100</f>
        <v>1</v>
      </c>
      <c r="H475" s="631"/>
      <c r="I475" s="21">
        <f t="shared" ref="I475:I525" si="98">(SUMIF($9:$9,H475,$10:$10)-SUMIF($9:$9,$H$24,$10:$10)+100)/100</f>
        <v>0</v>
      </c>
      <c r="J475" s="631"/>
      <c r="K475" s="21">
        <f t="shared" ref="K475:K525" si="99">(SUMIF($11:$11,J475,$12:$12)-SUMIF($11:$11,$J$24,$12:$12)+100)/100</f>
        <v>1</v>
      </c>
      <c r="L475" s="631"/>
      <c r="M475" s="21">
        <f t="shared" ref="M475:M525" si="100">(SUMIF($13:$13,L475,$14:$14)-SUMIF($13:$13,$L$24,$14:$14)+100)/100</f>
        <v>1</v>
      </c>
      <c r="N475" s="631"/>
      <c r="O475" s="21">
        <f t="shared" ref="O475:O525" si="101">(SUMIF($15:$15,N475,$16:$16)-SUMIF($15:$15,$N$24,$16:$16)+100)/100</f>
        <v>0</v>
      </c>
      <c r="P475" s="631"/>
      <c r="Q475" s="21">
        <f t="shared" ref="Q475:Q525" si="102">(SUMIF($17:$17,P475,$18:$18)-SUMIF($17:$17,$P$24,$18:$18)+100)/100</f>
        <v>0</v>
      </c>
      <c r="R475" s="21">
        <f t="shared" ref="R475:R525" si="103">IF(B475="",0,ROUND($R$24*C475*E475*G475*I475*K475*M475*O475*Q475,0))</f>
        <v>0</v>
      </c>
      <c r="S475" s="308">
        <f t="shared" si="94"/>
        <v>0</v>
      </c>
    </row>
    <row r="476" spans="1:19">
      <c r="A476" s="142"/>
      <c r="B476" s="52"/>
      <c r="C476" s="21">
        <f t="shared" si="95"/>
        <v>1</v>
      </c>
      <c r="D476" s="631"/>
      <c r="E476" s="21">
        <f t="shared" si="96"/>
        <v>0.06</v>
      </c>
      <c r="F476" s="631"/>
      <c r="G476" s="21">
        <f t="shared" si="97"/>
        <v>1</v>
      </c>
      <c r="H476" s="631"/>
      <c r="I476" s="21">
        <f t="shared" si="98"/>
        <v>0</v>
      </c>
      <c r="J476" s="631"/>
      <c r="K476" s="21">
        <f t="shared" si="99"/>
        <v>1</v>
      </c>
      <c r="L476" s="631"/>
      <c r="M476" s="21">
        <f t="shared" si="100"/>
        <v>1</v>
      </c>
      <c r="N476" s="631"/>
      <c r="O476" s="21">
        <f t="shared" si="101"/>
        <v>0</v>
      </c>
      <c r="P476" s="631"/>
      <c r="Q476" s="21">
        <f t="shared" si="102"/>
        <v>0</v>
      </c>
      <c r="R476" s="21">
        <f t="shared" si="103"/>
        <v>0</v>
      </c>
      <c r="S476" s="308">
        <f t="shared" si="94"/>
        <v>0</v>
      </c>
    </row>
    <row r="477" spans="1:19">
      <c r="A477" s="142"/>
      <c r="B477" s="52"/>
      <c r="C477" s="21">
        <f t="shared" si="95"/>
        <v>1</v>
      </c>
      <c r="D477" s="631"/>
      <c r="E477" s="21">
        <f t="shared" si="96"/>
        <v>0.06</v>
      </c>
      <c r="F477" s="631"/>
      <c r="G477" s="21">
        <f t="shared" si="97"/>
        <v>1</v>
      </c>
      <c r="H477" s="631"/>
      <c r="I477" s="21">
        <f t="shared" si="98"/>
        <v>0</v>
      </c>
      <c r="J477" s="631"/>
      <c r="K477" s="21">
        <f t="shared" si="99"/>
        <v>1</v>
      </c>
      <c r="L477" s="631"/>
      <c r="M477" s="21">
        <f t="shared" si="100"/>
        <v>1</v>
      </c>
      <c r="N477" s="631"/>
      <c r="O477" s="21">
        <f t="shared" si="101"/>
        <v>0</v>
      </c>
      <c r="P477" s="631"/>
      <c r="Q477" s="21">
        <f t="shared" si="102"/>
        <v>0</v>
      </c>
      <c r="R477" s="21">
        <f t="shared" si="103"/>
        <v>0</v>
      </c>
      <c r="S477" s="308">
        <f t="shared" si="94"/>
        <v>0</v>
      </c>
    </row>
    <row r="478" spans="1:19">
      <c r="A478" s="142"/>
      <c r="B478" s="52"/>
      <c r="C478" s="21">
        <f t="shared" si="95"/>
        <v>1</v>
      </c>
      <c r="D478" s="631"/>
      <c r="E478" s="21">
        <f t="shared" si="96"/>
        <v>0.06</v>
      </c>
      <c r="F478" s="631"/>
      <c r="G478" s="21">
        <f t="shared" si="97"/>
        <v>1</v>
      </c>
      <c r="H478" s="631"/>
      <c r="I478" s="21">
        <f t="shared" si="98"/>
        <v>0</v>
      </c>
      <c r="J478" s="631"/>
      <c r="K478" s="21">
        <f t="shared" si="99"/>
        <v>1</v>
      </c>
      <c r="L478" s="631"/>
      <c r="M478" s="21">
        <f t="shared" si="100"/>
        <v>1</v>
      </c>
      <c r="N478" s="631"/>
      <c r="O478" s="21">
        <f t="shared" si="101"/>
        <v>0</v>
      </c>
      <c r="P478" s="631"/>
      <c r="Q478" s="21">
        <f t="shared" si="102"/>
        <v>0</v>
      </c>
      <c r="R478" s="21">
        <f t="shared" si="103"/>
        <v>0</v>
      </c>
      <c r="S478" s="308">
        <f t="shared" si="94"/>
        <v>0</v>
      </c>
    </row>
    <row r="479" spans="1:19">
      <c r="A479" s="142"/>
      <c r="B479" s="52"/>
      <c r="C479" s="21">
        <f t="shared" si="95"/>
        <v>1</v>
      </c>
      <c r="D479" s="631"/>
      <c r="E479" s="21">
        <f t="shared" si="96"/>
        <v>0.06</v>
      </c>
      <c r="F479" s="631"/>
      <c r="G479" s="21">
        <f t="shared" si="97"/>
        <v>1</v>
      </c>
      <c r="H479" s="631"/>
      <c r="I479" s="21">
        <f t="shared" si="98"/>
        <v>0</v>
      </c>
      <c r="J479" s="631"/>
      <c r="K479" s="21">
        <f t="shared" si="99"/>
        <v>1</v>
      </c>
      <c r="L479" s="631"/>
      <c r="M479" s="21">
        <f t="shared" si="100"/>
        <v>1</v>
      </c>
      <c r="N479" s="631"/>
      <c r="O479" s="21">
        <f t="shared" si="101"/>
        <v>0</v>
      </c>
      <c r="P479" s="631"/>
      <c r="Q479" s="21">
        <f t="shared" si="102"/>
        <v>0</v>
      </c>
      <c r="R479" s="21">
        <f t="shared" si="103"/>
        <v>0</v>
      </c>
      <c r="S479" s="308">
        <f t="shared" si="94"/>
        <v>0</v>
      </c>
    </row>
    <row r="480" spans="1:19">
      <c r="A480" s="142"/>
      <c r="B480" s="52"/>
      <c r="C480" s="21">
        <f t="shared" si="95"/>
        <v>1</v>
      </c>
      <c r="D480" s="631"/>
      <c r="E480" s="21">
        <f t="shared" si="96"/>
        <v>0.06</v>
      </c>
      <c r="F480" s="631"/>
      <c r="G480" s="21">
        <f t="shared" si="97"/>
        <v>1</v>
      </c>
      <c r="H480" s="631"/>
      <c r="I480" s="21">
        <f t="shared" si="98"/>
        <v>0</v>
      </c>
      <c r="J480" s="631"/>
      <c r="K480" s="21">
        <f t="shared" si="99"/>
        <v>1</v>
      </c>
      <c r="L480" s="631"/>
      <c r="M480" s="21">
        <f t="shared" si="100"/>
        <v>1</v>
      </c>
      <c r="N480" s="631"/>
      <c r="O480" s="21">
        <f t="shared" si="101"/>
        <v>0</v>
      </c>
      <c r="P480" s="631"/>
      <c r="Q480" s="21">
        <f t="shared" si="102"/>
        <v>0</v>
      </c>
      <c r="R480" s="21">
        <f t="shared" si="103"/>
        <v>0</v>
      </c>
      <c r="S480" s="308">
        <f t="shared" si="94"/>
        <v>0</v>
      </c>
    </row>
    <row r="481" spans="1:19">
      <c r="A481" s="142"/>
      <c r="B481" s="52"/>
      <c r="C481" s="21">
        <f t="shared" si="95"/>
        <v>1</v>
      </c>
      <c r="D481" s="631"/>
      <c r="E481" s="21">
        <f t="shared" si="96"/>
        <v>0.06</v>
      </c>
      <c r="F481" s="631"/>
      <c r="G481" s="21">
        <f t="shared" si="97"/>
        <v>1</v>
      </c>
      <c r="H481" s="631"/>
      <c r="I481" s="21">
        <f t="shared" si="98"/>
        <v>0</v>
      </c>
      <c r="J481" s="631"/>
      <c r="K481" s="21">
        <f t="shared" si="99"/>
        <v>1</v>
      </c>
      <c r="L481" s="631"/>
      <c r="M481" s="21">
        <f t="shared" si="100"/>
        <v>1</v>
      </c>
      <c r="N481" s="631"/>
      <c r="O481" s="21">
        <f t="shared" si="101"/>
        <v>0</v>
      </c>
      <c r="P481" s="631"/>
      <c r="Q481" s="21">
        <f t="shared" si="102"/>
        <v>0</v>
      </c>
      <c r="R481" s="21">
        <f t="shared" si="103"/>
        <v>0</v>
      </c>
      <c r="S481" s="308">
        <f t="shared" si="94"/>
        <v>0</v>
      </c>
    </row>
    <row r="482" spans="1:19">
      <c r="A482" s="142"/>
      <c r="B482" s="52"/>
      <c r="C482" s="21">
        <f t="shared" si="95"/>
        <v>1</v>
      </c>
      <c r="D482" s="631"/>
      <c r="E482" s="21">
        <f t="shared" si="96"/>
        <v>0.06</v>
      </c>
      <c r="F482" s="631"/>
      <c r="G482" s="21">
        <f t="shared" si="97"/>
        <v>1</v>
      </c>
      <c r="H482" s="631"/>
      <c r="I482" s="21">
        <f t="shared" si="98"/>
        <v>0</v>
      </c>
      <c r="J482" s="631"/>
      <c r="K482" s="21">
        <f t="shared" si="99"/>
        <v>1</v>
      </c>
      <c r="L482" s="631"/>
      <c r="M482" s="21">
        <f t="shared" si="100"/>
        <v>1</v>
      </c>
      <c r="N482" s="631"/>
      <c r="O482" s="21">
        <f t="shared" si="101"/>
        <v>0</v>
      </c>
      <c r="P482" s="631"/>
      <c r="Q482" s="21">
        <f t="shared" si="102"/>
        <v>0</v>
      </c>
      <c r="R482" s="21">
        <f t="shared" si="103"/>
        <v>0</v>
      </c>
      <c r="S482" s="308">
        <f t="shared" si="94"/>
        <v>0</v>
      </c>
    </row>
    <row r="483" spans="1:19">
      <c r="A483" s="142"/>
      <c r="B483" s="52"/>
      <c r="C483" s="21">
        <f t="shared" si="95"/>
        <v>1</v>
      </c>
      <c r="D483" s="631"/>
      <c r="E483" s="21">
        <f t="shared" si="96"/>
        <v>0.06</v>
      </c>
      <c r="F483" s="631"/>
      <c r="G483" s="21">
        <f t="shared" si="97"/>
        <v>1</v>
      </c>
      <c r="H483" s="631"/>
      <c r="I483" s="21">
        <f t="shared" si="98"/>
        <v>0</v>
      </c>
      <c r="J483" s="631"/>
      <c r="K483" s="21">
        <f t="shared" si="99"/>
        <v>1</v>
      </c>
      <c r="L483" s="631"/>
      <c r="M483" s="21">
        <f t="shared" si="100"/>
        <v>1</v>
      </c>
      <c r="N483" s="631"/>
      <c r="O483" s="21">
        <f t="shared" si="101"/>
        <v>0</v>
      </c>
      <c r="P483" s="631"/>
      <c r="Q483" s="21">
        <f t="shared" si="102"/>
        <v>0</v>
      </c>
      <c r="R483" s="21">
        <f t="shared" si="103"/>
        <v>0</v>
      </c>
      <c r="S483" s="308">
        <f t="shared" si="94"/>
        <v>0</v>
      </c>
    </row>
    <row r="484" spans="1:19">
      <c r="A484" s="142"/>
      <c r="B484" s="52"/>
      <c r="C484" s="21">
        <f t="shared" si="95"/>
        <v>1</v>
      </c>
      <c r="D484" s="631"/>
      <c r="E484" s="21">
        <f t="shared" si="96"/>
        <v>0.06</v>
      </c>
      <c r="F484" s="631"/>
      <c r="G484" s="21">
        <f t="shared" si="97"/>
        <v>1</v>
      </c>
      <c r="H484" s="631"/>
      <c r="I484" s="21">
        <f t="shared" si="98"/>
        <v>0</v>
      </c>
      <c r="J484" s="631"/>
      <c r="K484" s="21">
        <f t="shared" si="99"/>
        <v>1</v>
      </c>
      <c r="L484" s="631"/>
      <c r="M484" s="21">
        <f t="shared" si="100"/>
        <v>1</v>
      </c>
      <c r="N484" s="631"/>
      <c r="O484" s="21">
        <f t="shared" si="101"/>
        <v>0</v>
      </c>
      <c r="P484" s="631"/>
      <c r="Q484" s="21">
        <f t="shared" si="102"/>
        <v>0</v>
      </c>
      <c r="R484" s="21">
        <f t="shared" si="103"/>
        <v>0</v>
      </c>
      <c r="S484" s="308">
        <f t="shared" si="94"/>
        <v>0</v>
      </c>
    </row>
    <row r="485" spans="1:19">
      <c r="A485" s="142"/>
      <c r="B485" s="52"/>
      <c r="C485" s="21">
        <f t="shared" si="95"/>
        <v>1</v>
      </c>
      <c r="D485" s="631"/>
      <c r="E485" s="21">
        <f t="shared" si="96"/>
        <v>0.06</v>
      </c>
      <c r="F485" s="631"/>
      <c r="G485" s="21">
        <f t="shared" si="97"/>
        <v>1</v>
      </c>
      <c r="H485" s="631"/>
      <c r="I485" s="21">
        <f t="shared" si="98"/>
        <v>0</v>
      </c>
      <c r="J485" s="631"/>
      <c r="K485" s="21">
        <f t="shared" si="99"/>
        <v>1</v>
      </c>
      <c r="L485" s="631"/>
      <c r="M485" s="21">
        <f t="shared" si="100"/>
        <v>1</v>
      </c>
      <c r="N485" s="631"/>
      <c r="O485" s="21">
        <f t="shared" si="101"/>
        <v>0</v>
      </c>
      <c r="P485" s="631"/>
      <c r="Q485" s="21">
        <f t="shared" si="102"/>
        <v>0</v>
      </c>
      <c r="R485" s="21">
        <f t="shared" si="103"/>
        <v>0</v>
      </c>
      <c r="S485" s="308">
        <f t="shared" si="94"/>
        <v>0</v>
      </c>
    </row>
    <row r="486" spans="1:19">
      <c r="A486" s="142"/>
      <c r="B486" s="52"/>
      <c r="C486" s="21">
        <f t="shared" si="95"/>
        <v>1</v>
      </c>
      <c r="D486" s="631"/>
      <c r="E486" s="21">
        <f t="shared" si="96"/>
        <v>0.06</v>
      </c>
      <c r="F486" s="631"/>
      <c r="G486" s="21">
        <f t="shared" si="97"/>
        <v>1</v>
      </c>
      <c r="H486" s="631"/>
      <c r="I486" s="21">
        <f t="shared" si="98"/>
        <v>0</v>
      </c>
      <c r="J486" s="631"/>
      <c r="K486" s="21">
        <f t="shared" si="99"/>
        <v>1</v>
      </c>
      <c r="L486" s="631"/>
      <c r="M486" s="21">
        <f t="shared" si="100"/>
        <v>1</v>
      </c>
      <c r="N486" s="631"/>
      <c r="O486" s="21">
        <f t="shared" si="101"/>
        <v>0</v>
      </c>
      <c r="P486" s="631"/>
      <c r="Q486" s="21">
        <f t="shared" si="102"/>
        <v>0</v>
      </c>
      <c r="R486" s="21">
        <f t="shared" si="103"/>
        <v>0</v>
      </c>
      <c r="S486" s="308">
        <f t="shared" si="94"/>
        <v>0</v>
      </c>
    </row>
    <row r="487" spans="1:19">
      <c r="A487" s="142"/>
      <c r="B487" s="52"/>
      <c r="C487" s="21">
        <f t="shared" si="95"/>
        <v>1</v>
      </c>
      <c r="D487" s="631"/>
      <c r="E487" s="21">
        <f t="shared" si="96"/>
        <v>0.06</v>
      </c>
      <c r="F487" s="631"/>
      <c r="G487" s="21">
        <f t="shared" si="97"/>
        <v>1</v>
      </c>
      <c r="H487" s="631"/>
      <c r="I487" s="21">
        <f t="shared" si="98"/>
        <v>0</v>
      </c>
      <c r="J487" s="631"/>
      <c r="K487" s="21">
        <f t="shared" si="99"/>
        <v>1</v>
      </c>
      <c r="L487" s="631"/>
      <c r="M487" s="21">
        <f t="shared" si="100"/>
        <v>1</v>
      </c>
      <c r="N487" s="631"/>
      <c r="O487" s="21">
        <f t="shared" si="101"/>
        <v>0</v>
      </c>
      <c r="P487" s="631"/>
      <c r="Q487" s="21">
        <f t="shared" si="102"/>
        <v>0</v>
      </c>
      <c r="R487" s="21">
        <f t="shared" si="103"/>
        <v>0</v>
      </c>
      <c r="S487" s="308">
        <f t="shared" si="94"/>
        <v>0</v>
      </c>
    </row>
    <row r="488" spans="1:19">
      <c r="A488" s="142"/>
      <c r="B488" s="52"/>
      <c r="C488" s="21">
        <f t="shared" si="95"/>
        <v>1</v>
      </c>
      <c r="D488" s="631"/>
      <c r="E488" s="21">
        <f t="shared" si="96"/>
        <v>0.06</v>
      </c>
      <c r="F488" s="631"/>
      <c r="G488" s="21">
        <f t="shared" si="97"/>
        <v>1</v>
      </c>
      <c r="H488" s="631"/>
      <c r="I488" s="21">
        <f t="shared" si="98"/>
        <v>0</v>
      </c>
      <c r="J488" s="631"/>
      <c r="K488" s="21">
        <f t="shared" si="99"/>
        <v>1</v>
      </c>
      <c r="L488" s="631"/>
      <c r="M488" s="21">
        <f t="shared" si="100"/>
        <v>1</v>
      </c>
      <c r="N488" s="631"/>
      <c r="O488" s="21">
        <f t="shared" si="101"/>
        <v>0</v>
      </c>
      <c r="P488" s="631"/>
      <c r="Q488" s="21">
        <f t="shared" si="102"/>
        <v>0</v>
      </c>
      <c r="R488" s="21">
        <f t="shared" si="103"/>
        <v>0</v>
      </c>
      <c r="S488" s="308">
        <f t="shared" si="94"/>
        <v>0</v>
      </c>
    </row>
    <row r="489" spans="1:19">
      <c r="A489" s="142"/>
      <c r="B489" s="52"/>
      <c r="C489" s="21">
        <f t="shared" si="95"/>
        <v>1</v>
      </c>
      <c r="D489" s="631"/>
      <c r="E489" s="21">
        <f t="shared" si="96"/>
        <v>0.06</v>
      </c>
      <c r="F489" s="631"/>
      <c r="G489" s="21">
        <f t="shared" si="97"/>
        <v>1</v>
      </c>
      <c r="H489" s="631"/>
      <c r="I489" s="21">
        <f t="shared" si="98"/>
        <v>0</v>
      </c>
      <c r="J489" s="631"/>
      <c r="K489" s="21">
        <f t="shared" si="99"/>
        <v>1</v>
      </c>
      <c r="L489" s="631"/>
      <c r="M489" s="21">
        <f t="shared" si="100"/>
        <v>1</v>
      </c>
      <c r="N489" s="631"/>
      <c r="O489" s="21">
        <f t="shared" si="101"/>
        <v>0</v>
      </c>
      <c r="P489" s="631"/>
      <c r="Q489" s="21">
        <f t="shared" si="102"/>
        <v>0</v>
      </c>
      <c r="R489" s="21">
        <f t="shared" si="103"/>
        <v>0</v>
      </c>
      <c r="S489" s="308">
        <f t="shared" si="94"/>
        <v>0</v>
      </c>
    </row>
    <row r="490" spans="1:19">
      <c r="A490" s="142"/>
      <c r="B490" s="52"/>
      <c r="C490" s="21">
        <f t="shared" si="95"/>
        <v>1</v>
      </c>
      <c r="D490" s="631"/>
      <c r="E490" s="21">
        <f t="shared" si="96"/>
        <v>0.06</v>
      </c>
      <c r="F490" s="631"/>
      <c r="G490" s="21">
        <f t="shared" si="97"/>
        <v>1</v>
      </c>
      <c r="H490" s="631"/>
      <c r="I490" s="21">
        <f t="shared" si="98"/>
        <v>0</v>
      </c>
      <c r="J490" s="631"/>
      <c r="K490" s="21">
        <f t="shared" si="99"/>
        <v>1</v>
      </c>
      <c r="L490" s="631"/>
      <c r="M490" s="21">
        <f t="shared" si="100"/>
        <v>1</v>
      </c>
      <c r="N490" s="631"/>
      <c r="O490" s="21">
        <f t="shared" si="101"/>
        <v>0</v>
      </c>
      <c r="P490" s="631"/>
      <c r="Q490" s="21">
        <f t="shared" si="102"/>
        <v>0</v>
      </c>
      <c r="R490" s="21">
        <f t="shared" si="103"/>
        <v>0</v>
      </c>
      <c r="S490" s="308">
        <f t="shared" si="94"/>
        <v>0</v>
      </c>
    </row>
    <row r="491" spans="1:19">
      <c r="A491" s="142"/>
      <c r="B491" s="52"/>
      <c r="C491" s="21">
        <f t="shared" si="95"/>
        <v>1</v>
      </c>
      <c r="D491" s="631"/>
      <c r="E491" s="21">
        <f t="shared" si="96"/>
        <v>0.06</v>
      </c>
      <c r="F491" s="631"/>
      <c r="G491" s="21">
        <f t="shared" si="97"/>
        <v>1</v>
      </c>
      <c r="H491" s="631"/>
      <c r="I491" s="21">
        <f t="shared" si="98"/>
        <v>0</v>
      </c>
      <c r="J491" s="631"/>
      <c r="K491" s="21">
        <f t="shared" si="99"/>
        <v>1</v>
      </c>
      <c r="L491" s="631"/>
      <c r="M491" s="21">
        <f t="shared" si="100"/>
        <v>1</v>
      </c>
      <c r="N491" s="631"/>
      <c r="O491" s="21">
        <f t="shared" si="101"/>
        <v>0</v>
      </c>
      <c r="P491" s="631"/>
      <c r="Q491" s="21">
        <f t="shared" si="102"/>
        <v>0</v>
      </c>
      <c r="R491" s="21">
        <f t="shared" si="103"/>
        <v>0</v>
      </c>
      <c r="S491" s="308">
        <f t="shared" si="94"/>
        <v>0</v>
      </c>
    </row>
    <row r="492" spans="1:19">
      <c r="A492" s="142"/>
      <c r="B492" s="52"/>
      <c r="C492" s="21">
        <f t="shared" si="95"/>
        <v>1</v>
      </c>
      <c r="D492" s="631"/>
      <c r="E492" s="21">
        <f t="shared" si="96"/>
        <v>0.06</v>
      </c>
      <c r="F492" s="631"/>
      <c r="G492" s="21">
        <f t="shared" si="97"/>
        <v>1</v>
      </c>
      <c r="H492" s="631"/>
      <c r="I492" s="21">
        <f t="shared" si="98"/>
        <v>0</v>
      </c>
      <c r="J492" s="631"/>
      <c r="K492" s="21">
        <f t="shared" si="99"/>
        <v>1</v>
      </c>
      <c r="L492" s="631"/>
      <c r="M492" s="21">
        <f t="shared" si="100"/>
        <v>1</v>
      </c>
      <c r="N492" s="631"/>
      <c r="O492" s="21">
        <f t="shared" si="101"/>
        <v>0</v>
      </c>
      <c r="P492" s="631"/>
      <c r="Q492" s="21">
        <f t="shared" si="102"/>
        <v>0</v>
      </c>
      <c r="R492" s="21">
        <f t="shared" si="103"/>
        <v>0</v>
      </c>
      <c r="S492" s="308">
        <f t="shared" si="94"/>
        <v>0</v>
      </c>
    </row>
    <row r="493" spans="1:19">
      <c r="A493" s="142"/>
      <c r="B493" s="52"/>
      <c r="C493" s="21">
        <f t="shared" si="95"/>
        <v>1</v>
      </c>
      <c r="D493" s="631"/>
      <c r="E493" s="21">
        <f t="shared" si="96"/>
        <v>0.06</v>
      </c>
      <c r="F493" s="631"/>
      <c r="G493" s="21">
        <f t="shared" si="97"/>
        <v>1</v>
      </c>
      <c r="H493" s="631"/>
      <c r="I493" s="21">
        <f t="shared" si="98"/>
        <v>0</v>
      </c>
      <c r="J493" s="631"/>
      <c r="K493" s="21">
        <f t="shared" si="99"/>
        <v>1</v>
      </c>
      <c r="L493" s="631"/>
      <c r="M493" s="21">
        <f t="shared" si="100"/>
        <v>1</v>
      </c>
      <c r="N493" s="631"/>
      <c r="O493" s="21">
        <f t="shared" si="101"/>
        <v>0</v>
      </c>
      <c r="P493" s="631"/>
      <c r="Q493" s="21">
        <f t="shared" si="102"/>
        <v>0</v>
      </c>
      <c r="R493" s="21">
        <f t="shared" si="103"/>
        <v>0</v>
      </c>
      <c r="S493" s="308">
        <f t="shared" si="94"/>
        <v>0</v>
      </c>
    </row>
    <row r="494" spans="1:19">
      <c r="A494" s="142"/>
      <c r="B494" s="52"/>
      <c r="C494" s="21">
        <f t="shared" si="95"/>
        <v>1</v>
      </c>
      <c r="D494" s="631"/>
      <c r="E494" s="21">
        <f t="shared" si="96"/>
        <v>0.06</v>
      </c>
      <c r="F494" s="631"/>
      <c r="G494" s="21">
        <f t="shared" si="97"/>
        <v>1</v>
      </c>
      <c r="H494" s="631"/>
      <c r="I494" s="21">
        <f t="shared" si="98"/>
        <v>0</v>
      </c>
      <c r="J494" s="631"/>
      <c r="K494" s="21">
        <f t="shared" si="99"/>
        <v>1</v>
      </c>
      <c r="L494" s="631"/>
      <c r="M494" s="21">
        <f t="shared" si="100"/>
        <v>1</v>
      </c>
      <c r="N494" s="631"/>
      <c r="O494" s="21">
        <f t="shared" si="101"/>
        <v>0</v>
      </c>
      <c r="P494" s="631"/>
      <c r="Q494" s="21">
        <f t="shared" si="102"/>
        <v>0</v>
      </c>
      <c r="R494" s="21">
        <f t="shared" si="103"/>
        <v>0</v>
      </c>
      <c r="S494" s="308">
        <f t="shared" si="94"/>
        <v>0</v>
      </c>
    </row>
    <row r="495" spans="1:19">
      <c r="A495" s="142"/>
      <c r="B495" s="52"/>
      <c r="C495" s="21">
        <f t="shared" si="95"/>
        <v>1</v>
      </c>
      <c r="D495" s="631"/>
      <c r="E495" s="21">
        <f t="shared" si="96"/>
        <v>0.06</v>
      </c>
      <c r="F495" s="631"/>
      <c r="G495" s="21">
        <f t="shared" si="97"/>
        <v>1</v>
      </c>
      <c r="H495" s="631"/>
      <c r="I495" s="21">
        <f t="shared" si="98"/>
        <v>0</v>
      </c>
      <c r="J495" s="631"/>
      <c r="K495" s="21">
        <f t="shared" si="99"/>
        <v>1</v>
      </c>
      <c r="L495" s="631"/>
      <c r="M495" s="21">
        <f t="shared" si="100"/>
        <v>1</v>
      </c>
      <c r="N495" s="631"/>
      <c r="O495" s="21">
        <f t="shared" si="101"/>
        <v>0</v>
      </c>
      <c r="P495" s="631"/>
      <c r="Q495" s="21">
        <f t="shared" si="102"/>
        <v>0</v>
      </c>
      <c r="R495" s="21">
        <f t="shared" si="103"/>
        <v>0</v>
      </c>
      <c r="S495" s="308">
        <f t="shared" si="94"/>
        <v>0</v>
      </c>
    </row>
    <row r="496" spans="1:19">
      <c r="A496" s="142"/>
      <c r="B496" s="52"/>
      <c r="C496" s="21">
        <f t="shared" si="95"/>
        <v>1</v>
      </c>
      <c r="D496" s="631"/>
      <c r="E496" s="21">
        <f t="shared" si="96"/>
        <v>0.06</v>
      </c>
      <c r="F496" s="631"/>
      <c r="G496" s="21">
        <f t="shared" si="97"/>
        <v>1</v>
      </c>
      <c r="H496" s="631"/>
      <c r="I496" s="21">
        <f t="shared" si="98"/>
        <v>0</v>
      </c>
      <c r="J496" s="631"/>
      <c r="K496" s="21">
        <f t="shared" si="99"/>
        <v>1</v>
      </c>
      <c r="L496" s="631"/>
      <c r="M496" s="21">
        <f t="shared" si="100"/>
        <v>1</v>
      </c>
      <c r="N496" s="631"/>
      <c r="O496" s="21">
        <f t="shared" si="101"/>
        <v>0</v>
      </c>
      <c r="P496" s="631"/>
      <c r="Q496" s="21">
        <f t="shared" si="102"/>
        <v>0</v>
      </c>
      <c r="R496" s="21">
        <f t="shared" si="103"/>
        <v>0</v>
      </c>
      <c r="S496" s="308">
        <f t="shared" si="94"/>
        <v>0</v>
      </c>
    </row>
    <row r="497" spans="1:19">
      <c r="A497" s="142"/>
      <c r="B497" s="52"/>
      <c r="C497" s="21">
        <f t="shared" si="95"/>
        <v>1</v>
      </c>
      <c r="D497" s="631"/>
      <c r="E497" s="21">
        <f t="shared" si="96"/>
        <v>0.06</v>
      </c>
      <c r="F497" s="631"/>
      <c r="G497" s="21">
        <f t="shared" si="97"/>
        <v>1</v>
      </c>
      <c r="H497" s="631"/>
      <c r="I497" s="21">
        <f t="shared" si="98"/>
        <v>0</v>
      </c>
      <c r="J497" s="631"/>
      <c r="K497" s="21">
        <f t="shared" si="99"/>
        <v>1</v>
      </c>
      <c r="L497" s="631"/>
      <c r="M497" s="21">
        <f t="shared" si="100"/>
        <v>1</v>
      </c>
      <c r="N497" s="631"/>
      <c r="O497" s="21">
        <f t="shared" si="101"/>
        <v>0</v>
      </c>
      <c r="P497" s="631"/>
      <c r="Q497" s="21">
        <f t="shared" si="102"/>
        <v>0</v>
      </c>
      <c r="R497" s="21">
        <f t="shared" si="103"/>
        <v>0</v>
      </c>
      <c r="S497" s="308">
        <f t="shared" si="94"/>
        <v>0</v>
      </c>
    </row>
    <row r="498" spans="1:19">
      <c r="A498" s="142"/>
      <c r="B498" s="52"/>
      <c r="C498" s="21">
        <f t="shared" si="95"/>
        <v>1</v>
      </c>
      <c r="D498" s="631"/>
      <c r="E498" s="21">
        <f t="shared" si="96"/>
        <v>0.06</v>
      </c>
      <c r="F498" s="631"/>
      <c r="G498" s="21">
        <f t="shared" si="97"/>
        <v>1</v>
      </c>
      <c r="H498" s="631"/>
      <c r="I498" s="21">
        <f t="shared" si="98"/>
        <v>0</v>
      </c>
      <c r="J498" s="631"/>
      <c r="K498" s="21">
        <f t="shared" si="99"/>
        <v>1</v>
      </c>
      <c r="L498" s="631"/>
      <c r="M498" s="21">
        <f t="shared" si="100"/>
        <v>1</v>
      </c>
      <c r="N498" s="631"/>
      <c r="O498" s="21">
        <f t="shared" si="101"/>
        <v>0</v>
      </c>
      <c r="P498" s="631"/>
      <c r="Q498" s="21">
        <f t="shared" si="102"/>
        <v>0</v>
      </c>
      <c r="R498" s="21">
        <f t="shared" si="103"/>
        <v>0</v>
      </c>
      <c r="S498" s="308">
        <f t="shared" si="94"/>
        <v>0</v>
      </c>
    </row>
    <row r="499" spans="1:19">
      <c r="A499" s="142"/>
      <c r="B499" s="52"/>
      <c r="C499" s="21">
        <f t="shared" si="95"/>
        <v>1</v>
      </c>
      <c r="D499" s="631"/>
      <c r="E499" s="21">
        <f t="shared" si="96"/>
        <v>0.06</v>
      </c>
      <c r="F499" s="631"/>
      <c r="G499" s="21">
        <f t="shared" si="97"/>
        <v>1</v>
      </c>
      <c r="H499" s="631"/>
      <c r="I499" s="21">
        <f t="shared" si="98"/>
        <v>0</v>
      </c>
      <c r="J499" s="631"/>
      <c r="K499" s="21">
        <f t="shared" si="99"/>
        <v>1</v>
      </c>
      <c r="L499" s="631"/>
      <c r="M499" s="21">
        <f t="shared" si="100"/>
        <v>1</v>
      </c>
      <c r="N499" s="631"/>
      <c r="O499" s="21">
        <f t="shared" si="101"/>
        <v>0</v>
      </c>
      <c r="P499" s="631"/>
      <c r="Q499" s="21">
        <f t="shared" si="102"/>
        <v>0</v>
      </c>
      <c r="R499" s="21">
        <f t="shared" si="103"/>
        <v>0</v>
      </c>
      <c r="S499" s="308">
        <f t="shared" ref="S499:S525" si="104">ROUND(R499*B499/10000,0)</f>
        <v>0</v>
      </c>
    </row>
    <row r="500" spans="1:19">
      <c r="A500" s="142"/>
      <c r="B500" s="52"/>
      <c r="C500" s="21">
        <f t="shared" si="95"/>
        <v>1</v>
      </c>
      <c r="D500" s="631"/>
      <c r="E500" s="21">
        <f t="shared" si="96"/>
        <v>0.06</v>
      </c>
      <c r="F500" s="631"/>
      <c r="G500" s="21">
        <f t="shared" si="97"/>
        <v>1</v>
      </c>
      <c r="H500" s="631"/>
      <c r="I500" s="21">
        <f t="shared" si="98"/>
        <v>0</v>
      </c>
      <c r="J500" s="631"/>
      <c r="K500" s="21">
        <f t="shared" si="99"/>
        <v>1</v>
      </c>
      <c r="L500" s="631"/>
      <c r="M500" s="21">
        <f t="shared" si="100"/>
        <v>1</v>
      </c>
      <c r="N500" s="631"/>
      <c r="O500" s="21">
        <f t="shared" si="101"/>
        <v>0</v>
      </c>
      <c r="P500" s="631"/>
      <c r="Q500" s="21">
        <f t="shared" si="102"/>
        <v>0</v>
      </c>
      <c r="R500" s="21">
        <f t="shared" si="103"/>
        <v>0</v>
      </c>
      <c r="S500" s="308">
        <f t="shared" si="104"/>
        <v>0</v>
      </c>
    </row>
    <row r="501" spans="1:19">
      <c r="A501" s="142"/>
      <c r="B501" s="52"/>
      <c r="C501" s="21">
        <f t="shared" si="95"/>
        <v>1</v>
      </c>
      <c r="D501" s="631"/>
      <c r="E501" s="21">
        <f t="shared" si="96"/>
        <v>0.06</v>
      </c>
      <c r="F501" s="631"/>
      <c r="G501" s="21">
        <f t="shared" si="97"/>
        <v>1</v>
      </c>
      <c r="H501" s="631"/>
      <c r="I501" s="21">
        <f t="shared" si="98"/>
        <v>0</v>
      </c>
      <c r="J501" s="631"/>
      <c r="K501" s="21">
        <f t="shared" si="99"/>
        <v>1</v>
      </c>
      <c r="L501" s="631"/>
      <c r="M501" s="21">
        <f t="shared" si="100"/>
        <v>1</v>
      </c>
      <c r="N501" s="631"/>
      <c r="O501" s="21">
        <f t="shared" si="101"/>
        <v>0</v>
      </c>
      <c r="P501" s="631"/>
      <c r="Q501" s="21">
        <f t="shared" si="102"/>
        <v>0</v>
      </c>
      <c r="R501" s="21">
        <f t="shared" si="103"/>
        <v>0</v>
      </c>
      <c r="S501" s="308">
        <f t="shared" si="104"/>
        <v>0</v>
      </c>
    </row>
    <row r="502" spans="1:19">
      <c r="A502" s="142"/>
      <c r="B502" s="52"/>
      <c r="C502" s="21">
        <f t="shared" si="95"/>
        <v>1</v>
      </c>
      <c r="D502" s="631"/>
      <c r="E502" s="21">
        <f t="shared" si="96"/>
        <v>0.06</v>
      </c>
      <c r="F502" s="631"/>
      <c r="G502" s="21">
        <f t="shared" si="97"/>
        <v>1</v>
      </c>
      <c r="H502" s="631"/>
      <c r="I502" s="21">
        <f t="shared" si="98"/>
        <v>0</v>
      </c>
      <c r="J502" s="631"/>
      <c r="K502" s="21">
        <f t="shared" si="99"/>
        <v>1</v>
      </c>
      <c r="L502" s="631"/>
      <c r="M502" s="21">
        <f t="shared" si="100"/>
        <v>1</v>
      </c>
      <c r="N502" s="631"/>
      <c r="O502" s="21">
        <f t="shared" si="101"/>
        <v>0</v>
      </c>
      <c r="P502" s="631"/>
      <c r="Q502" s="21">
        <f t="shared" si="102"/>
        <v>0</v>
      </c>
      <c r="R502" s="21">
        <f t="shared" si="103"/>
        <v>0</v>
      </c>
      <c r="S502" s="308">
        <f t="shared" si="104"/>
        <v>0</v>
      </c>
    </row>
    <row r="503" spans="1:19">
      <c r="A503" s="142"/>
      <c r="B503" s="52"/>
      <c r="C503" s="21">
        <f t="shared" si="95"/>
        <v>1</v>
      </c>
      <c r="D503" s="631"/>
      <c r="E503" s="21">
        <f t="shared" si="96"/>
        <v>0.06</v>
      </c>
      <c r="F503" s="631"/>
      <c r="G503" s="21">
        <f t="shared" si="97"/>
        <v>1</v>
      </c>
      <c r="H503" s="631"/>
      <c r="I503" s="21">
        <f t="shared" si="98"/>
        <v>0</v>
      </c>
      <c r="J503" s="631"/>
      <c r="K503" s="21">
        <f t="shared" si="99"/>
        <v>1</v>
      </c>
      <c r="L503" s="631"/>
      <c r="M503" s="21">
        <f t="shared" si="100"/>
        <v>1</v>
      </c>
      <c r="N503" s="631"/>
      <c r="O503" s="21">
        <f t="shared" si="101"/>
        <v>0</v>
      </c>
      <c r="P503" s="631"/>
      <c r="Q503" s="21">
        <f t="shared" si="102"/>
        <v>0</v>
      </c>
      <c r="R503" s="21">
        <f t="shared" si="103"/>
        <v>0</v>
      </c>
      <c r="S503" s="308">
        <f t="shared" si="104"/>
        <v>0</v>
      </c>
    </row>
    <row r="504" spans="1:19">
      <c r="A504" s="142"/>
      <c r="B504" s="52"/>
      <c r="C504" s="21">
        <f t="shared" si="95"/>
        <v>1</v>
      </c>
      <c r="D504" s="631"/>
      <c r="E504" s="21">
        <f t="shared" si="96"/>
        <v>0.06</v>
      </c>
      <c r="F504" s="631"/>
      <c r="G504" s="21">
        <f t="shared" si="97"/>
        <v>1</v>
      </c>
      <c r="H504" s="631"/>
      <c r="I504" s="21">
        <f t="shared" si="98"/>
        <v>0</v>
      </c>
      <c r="J504" s="631"/>
      <c r="K504" s="21">
        <f t="shared" si="99"/>
        <v>1</v>
      </c>
      <c r="L504" s="631"/>
      <c r="M504" s="21">
        <f t="shared" si="100"/>
        <v>1</v>
      </c>
      <c r="N504" s="631"/>
      <c r="O504" s="21">
        <f t="shared" si="101"/>
        <v>0</v>
      </c>
      <c r="P504" s="631"/>
      <c r="Q504" s="21">
        <f t="shared" si="102"/>
        <v>0</v>
      </c>
      <c r="R504" s="21">
        <f t="shared" si="103"/>
        <v>0</v>
      </c>
      <c r="S504" s="308">
        <f t="shared" si="104"/>
        <v>0</v>
      </c>
    </row>
    <row r="505" spans="1:19">
      <c r="A505" s="142"/>
      <c r="B505" s="52"/>
      <c r="C505" s="21">
        <f t="shared" si="95"/>
        <v>1</v>
      </c>
      <c r="D505" s="631"/>
      <c r="E505" s="21">
        <f t="shared" si="96"/>
        <v>0.06</v>
      </c>
      <c r="F505" s="631"/>
      <c r="G505" s="21">
        <f t="shared" si="97"/>
        <v>1</v>
      </c>
      <c r="H505" s="631"/>
      <c r="I505" s="21">
        <f t="shared" si="98"/>
        <v>0</v>
      </c>
      <c r="J505" s="631"/>
      <c r="K505" s="21">
        <f t="shared" si="99"/>
        <v>1</v>
      </c>
      <c r="L505" s="631"/>
      <c r="M505" s="21">
        <f t="shared" si="100"/>
        <v>1</v>
      </c>
      <c r="N505" s="631"/>
      <c r="O505" s="21">
        <f t="shared" si="101"/>
        <v>0</v>
      </c>
      <c r="P505" s="631"/>
      <c r="Q505" s="21">
        <f t="shared" si="102"/>
        <v>0</v>
      </c>
      <c r="R505" s="21">
        <f t="shared" si="103"/>
        <v>0</v>
      </c>
      <c r="S505" s="308">
        <f t="shared" si="104"/>
        <v>0</v>
      </c>
    </row>
    <row r="506" spans="1:19">
      <c r="A506" s="142"/>
      <c r="B506" s="52"/>
      <c r="C506" s="21">
        <f t="shared" si="95"/>
        <v>1</v>
      </c>
      <c r="D506" s="631"/>
      <c r="E506" s="21">
        <f t="shared" si="96"/>
        <v>0.06</v>
      </c>
      <c r="F506" s="631"/>
      <c r="G506" s="21">
        <f t="shared" si="97"/>
        <v>1</v>
      </c>
      <c r="H506" s="631"/>
      <c r="I506" s="21">
        <f t="shared" si="98"/>
        <v>0</v>
      </c>
      <c r="J506" s="631"/>
      <c r="K506" s="21">
        <f t="shared" si="99"/>
        <v>1</v>
      </c>
      <c r="L506" s="631"/>
      <c r="M506" s="21">
        <f t="shared" si="100"/>
        <v>1</v>
      </c>
      <c r="N506" s="631"/>
      <c r="O506" s="21">
        <f t="shared" si="101"/>
        <v>0</v>
      </c>
      <c r="P506" s="631"/>
      <c r="Q506" s="21">
        <f t="shared" si="102"/>
        <v>0</v>
      </c>
      <c r="R506" s="21">
        <f t="shared" si="103"/>
        <v>0</v>
      </c>
      <c r="S506" s="308">
        <f t="shared" si="104"/>
        <v>0</v>
      </c>
    </row>
    <row r="507" spans="1:19">
      <c r="A507" s="142"/>
      <c r="B507" s="52"/>
      <c r="C507" s="21">
        <f t="shared" si="95"/>
        <v>1</v>
      </c>
      <c r="D507" s="631"/>
      <c r="E507" s="21">
        <f t="shared" si="96"/>
        <v>0.06</v>
      </c>
      <c r="F507" s="631"/>
      <c r="G507" s="21">
        <f t="shared" si="97"/>
        <v>1</v>
      </c>
      <c r="H507" s="631"/>
      <c r="I507" s="21">
        <f t="shared" si="98"/>
        <v>0</v>
      </c>
      <c r="J507" s="631"/>
      <c r="K507" s="21">
        <f t="shared" si="99"/>
        <v>1</v>
      </c>
      <c r="L507" s="631"/>
      <c r="M507" s="21">
        <f t="shared" si="100"/>
        <v>1</v>
      </c>
      <c r="N507" s="631"/>
      <c r="O507" s="21">
        <f t="shared" si="101"/>
        <v>0</v>
      </c>
      <c r="P507" s="631"/>
      <c r="Q507" s="21">
        <f t="shared" si="102"/>
        <v>0</v>
      </c>
      <c r="R507" s="21">
        <f t="shared" si="103"/>
        <v>0</v>
      </c>
      <c r="S507" s="308">
        <f t="shared" si="104"/>
        <v>0</v>
      </c>
    </row>
    <row r="508" spans="1:19">
      <c r="A508" s="142"/>
      <c r="B508" s="52"/>
      <c r="C508" s="21">
        <f t="shared" si="95"/>
        <v>1</v>
      </c>
      <c r="D508" s="631"/>
      <c r="E508" s="21">
        <f t="shared" si="96"/>
        <v>0.06</v>
      </c>
      <c r="F508" s="631"/>
      <c r="G508" s="21">
        <f t="shared" si="97"/>
        <v>1</v>
      </c>
      <c r="H508" s="631"/>
      <c r="I508" s="21">
        <f t="shared" si="98"/>
        <v>0</v>
      </c>
      <c r="J508" s="631"/>
      <c r="K508" s="21">
        <f t="shared" si="99"/>
        <v>1</v>
      </c>
      <c r="L508" s="631"/>
      <c r="M508" s="21">
        <f t="shared" si="100"/>
        <v>1</v>
      </c>
      <c r="N508" s="631"/>
      <c r="O508" s="21">
        <f t="shared" si="101"/>
        <v>0</v>
      </c>
      <c r="P508" s="631"/>
      <c r="Q508" s="21">
        <f t="shared" si="102"/>
        <v>0</v>
      </c>
      <c r="R508" s="21">
        <f t="shared" si="103"/>
        <v>0</v>
      </c>
      <c r="S508" s="308">
        <f t="shared" si="104"/>
        <v>0</v>
      </c>
    </row>
    <row r="509" spans="1:19">
      <c r="A509" s="142"/>
      <c r="B509" s="52"/>
      <c r="C509" s="21">
        <f t="shared" si="95"/>
        <v>1</v>
      </c>
      <c r="D509" s="631"/>
      <c r="E509" s="21">
        <f t="shared" si="96"/>
        <v>0.06</v>
      </c>
      <c r="F509" s="631"/>
      <c r="G509" s="21">
        <f t="shared" si="97"/>
        <v>1</v>
      </c>
      <c r="H509" s="631"/>
      <c r="I509" s="21">
        <f t="shared" si="98"/>
        <v>0</v>
      </c>
      <c r="J509" s="631"/>
      <c r="K509" s="21">
        <f t="shared" si="99"/>
        <v>1</v>
      </c>
      <c r="L509" s="631"/>
      <c r="M509" s="21">
        <f t="shared" si="100"/>
        <v>1</v>
      </c>
      <c r="N509" s="631"/>
      <c r="O509" s="21">
        <f t="shared" si="101"/>
        <v>0</v>
      </c>
      <c r="P509" s="631"/>
      <c r="Q509" s="21">
        <f t="shared" si="102"/>
        <v>0</v>
      </c>
      <c r="R509" s="21">
        <f t="shared" si="103"/>
        <v>0</v>
      </c>
      <c r="S509" s="308">
        <f t="shared" si="104"/>
        <v>0</v>
      </c>
    </row>
    <row r="510" spans="1:19">
      <c r="A510" s="142"/>
      <c r="B510" s="52"/>
      <c r="C510" s="21">
        <f t="shared" si="95"/>
        <v>1</v>
      </c>
      <c r="D510" s="631"/>
      <c r="E510" s="21">
        <f t="shared" si="96"/>
        <v>0.06</v>
      </c>
      <c r="F510" s="631"/>
      <c r="G510" s="21">
        <f t="shared" si="97"/>
        <v>1</v>
      </c>
      <c r="H510" s="631"/>
      <c r="I510" s="21">
        <f t="shared" si="98"/>
        <v>0</v>
      </c>
      <c r="J510" s="631"/>
      <c r="K510" s="21">
        <f t="shared" si="99"/>
        <v>1</v>
      </c>
      <c r="L510" s="631"/>
      <c r="M510" s="21">
        <f t="shared" si="100"/>
        <v>1</v>
      </c>
      <c r="N510" s="631"/>
      <c r="O510" s="21">
        <f t="shared" si="101"/>
        <v>0</v>
      </c>
      <c r="P510" s="631"/>
      <c r="Q510" s="21">
        <f t="shared" si="102"/>
        <v>0</v>
      </c>
      <c r="R510" s="21">
        <f t="shared" si="103"/>
        <v>0</v>
      </c>
      <c r="S510" s="308">
        <f t="shared" si="104"/>
        <v>0</v>
      </c>
    </row>
    <row r="511" spans="1:19">
      <c r="A511" s="142"/>
      <c r="B511" s="52"/>
      <c r="C511" s="21">
        <f t="shared" si="95"/>
        <v>1</v>
      </c>
      <c r="D511" s="631"/>
      <c r="E511" s="21">
        <f t="shared" si="96"/>
        <v>0.06</v>
      </c>
      <c r="F511" s="631"/>
      <c r="G511" s="21">
        <f t="shared" si="97"/>
        <v>1</v>
      </c>
      <c r="H511" s="631"/>
      <c r="I511" s="21">
        <f t="shared" si="98"/>
        <v>0</v>
      </c>
      <c r="J511" s="631"/>
      <c r="K511" s="21">
        <f t="shared" si="99"/>
        <v>1</v>
      </c>
      <c r="L511" s="631"/>
      <c r="M511" s="21">
        <f t="shared" si="100"/>
        <v>1</v>
      </c>
      <c r="N511" s="631"/>
      <c r="O511" s="21">
        <f t="shared" si="101"/>
        <v>0</v>
      </c>
      <c r="P511" s="631"/>
      <c r="Q511" s="21">
        <f t="shared" si="102"/>
        <v>0</v>
      </c>
      <c r="R511" s="21">
        <f t="shared" si="103"/>
        <v>0</v>
      </c>
      <c r="S511" s="308">
        <f t="shared" si="104"/>
        <v>0</v>
      </c>
    </row>
    <row r="512" spans="1:19">
      <c r="A512" s="142"/>
      <c r="B512" s="52"/>
      <c r="C512" s="21">
        <f t="shared" si="95"/>
        <v>1</v>
      </c>
      <c r="D512" s="631"/>
      <c r="E512" s="21">
        <f t="shared" si="96"/>
        <v>0.06</v>
      </c>
      <c r="F512" s="631"/>
      <c r="G512" s="21">
        <f t="shared" si="97"/>
        <v>1</v>
      </c>
      <c r="H512" s="631"/>
      <c r="I512" s="21">
        <f t="shared" si="98"/>
        <v>0</v>
      </c>
      <c r="J512" s="631"/>
      <c r="K512" s="21">
        <f t="shared" si="99"/>
        <v>1</v>
      </c>
      <c r="L512" s="631"/>
      <c r="M512" s="21">
        <f t="shared" si="100"/>
        <v>1</v>
      </c>
      <c r="N512" s="631"/>
      <c r="O512" s="21">
        <f t="shared" si="101"/>
        <v>0</v>
      </c>
      <c r="P512" s="631"/>
      <c r="Q512" s="21">
        <f t="shared" si="102"/>
        <v>0</v>
      </c>
      <c r="R512" s="21">
        <f t="shared" si="103"/>
        <v>0</v>
      </c>
      <c r="S512" s="308">
        <f t="shared" si="104"/>
        <v>0</v>
      </c>
    </row>
    <row r="513" spans="1:19">
      <c r="A513" s="142"/>
      <c r="B513" s="52"/>
      <c r="C513" s="21">
        <f t="shared" si="95"/>
        <v>1</v>
      </c>
      <c r="D513" s="631"/>
      <c r="E513" s="21">
        <f t="shared" si="96"/>
        <v>0.06</v>
      </c>
      <c r="F513" s="631"/>
      <c r="G513" s="21">
        <f t="shared" si="97"/>
        <v>1</v>
      </c>
      <c r="H513" s="631"/>
      <c r="I513" s="21">
        <f t="shared" si="98"/>
        <v>0</v>
      </c>
      <c r="J513" s="631"/>
      <c r="K513" s="21">
        <f t="shared" si="99"/>
        <v>1</v>
      </c>
      <c r="L513" s="631"/>
      <c r="M513" s="21">
        <f t="shared" si="100"/>
        <v>1</v>
      </c>
      <c r="N513" s="631"/>
      <c r="O513" s="21">
        <f t="shared" si="101"/>
        <v>0</v>
      </c>
      <c r="P513" s="631"/>
      <c r="Q513" s="21">
        <f t="shared" si="102"/>
        <v>0</v>
      </c>
      <c r="R513" s="21">
        <f t="shared" si="103"/>
        <v>0</v>
      </c>
      <c r="S513" s="308">
        <f t="shared" si="104"/>
        <v>0</v>
      </c>
    </row>
    <row r="514" spans="1:19">
      <c r="A514" s="142"/>
      <c r="B514" s="52"/>
      <c r="C514" s="21">
        <f t="shared" si="95"/>
        <v>1</v>
      </c>
      <c r="D514" s="631"/>
      <c r="E514" s="21">
        <f t="shared" si="96"/>
        <v>0.06</v>
      </c>
      <c r="F514" s="631"/>
      <c r="G514" s="21">
        <f t="shared" si="97"/>
        <v>1</v>
      </c>
      <c r="H514" s="631"/>
      <c r="I514" s="21">
        <f t="shared" si="98"/>
        <v>0</v>
      </c>
      <c r="J514" s="631"/>
      <c r="K514" s="21">
        <f t="shared" si="99"/>
        <v>1</v>
      </c>
      <c r="L514" s="631"/>
      <c r="M514" s="21">
        <f t="shared" si="100"/>
        <v>1</v>
      </c>
      <c r="N514" s="631"/>
      <c r="O514" s="21">
        <f t="shared" si="101"/>
        <v>0</v>
      </c>
      <c r="P514" s="631"/>
      <c r="Q514" s="21">
        <f t="shared" si="102"/>
        <v>0</v>
      </c>
      <c r="R514" s="21">
        <f t="shared" si="103"/>
        <v>0</v>
      </c>
      <c r="S514" s="308">
        <f t="shared" si="104"/>
        <v>0</v>
      </c>
    </row>
    <row r="515" spans="1:19">
      <c r="A515" s="142"/>
      <c r="B515" s="52"/>
      <c r="C515" s="21">
        <f t="shared" si="95"/>
        <v>1</v>
      </c>
      <c r="D515" s="631"/>
      <c r="E515" s="21">
        <f t="shared" si="96"/>
        <v>0.06</v>
      </c>
      <c r="F515" s="631"/>
      <c r="G515" s="21">
        <f t="shared" si="97"/>
        <v>1</v>
      </c>
      <c r="H515" s="631"/>
      <c r="I515" s="21">
        <f t="shared" si="98"/>
        <v>0</v>
      </c>
      <c r="J515" s="631"/>
      <c r="K515" s="21">
        <f t="shared" si="99"/>
        <v>1</v>
      </c>
      <c r="L515" s="631"/>
      <c r="M515" s="21">
        <f t="shared" si="100"/>
        <v>1</v>
      </c>
      <c r="N515" s="631"/>
      <c r="O515" s="21">
        <f t="shared" si="101"/>
        <v>0</v>
      </c>
      <c r="P515" s="631"/>
      <c r="Q515" s="21">
        <f t="shared" si="102"/>
        <v>0</v>
      </c>
      <c r="R515" s="21">
        <f t="shared" si="103"/>
        <v>0</v>
      </c>
      <c r="S515" s="308">
        <f t="shared" si="104"/>
        <v>0</v>
      </c>
    </row>
    <row r="516" spans="1:19">
      <c r="A516" s="142"/>
      <c r="B516" s="52"/>
      <c r="C516" s="21">
        <f t="shared" si="95"/>
        <v>1</v>
      </c>
      <c r="D516" s="631"/>
      <c r="E516" s="21">
        <f t="shared" si="96"/>
        <v>0.06</v>
      </c>
      <c r="F516" s="631"/>
      <c r="G516" s="21">
        <f t="shared" si="97"/>
        <v>1</v>
      </c>
      <c r="H516" s="631"/>
      <c r="I516" s="21">
        <f t="shared" si="98"/>
        <v>0</v>
      </c>
      <c r="J516" s="631"/>
      <c r="K516" s="21">
        <f t="shared" si="99"/>
        <v>1</v>
      </c>
      <c r="L516" s="631"/>
      <c r="M516" s="21">
        <f t="shared" si="100"/>
        <v>1</v>
      </c>
      <c r="N516" s="631"/>
      <c r="O516" s="21">
        <f t="shared" si="101"/>
        <v>0</v>
      </c>
      <c r="P516" s="631"/>
      <c r="Q516" s="21">
        <f t="shared" si="102"/>
        <v>0</v>
      </c>
      <c r="R516" s="21">
        <f t="shared" si="103"/>
        <v>0</v>
      </c>
      <c r="S516" s="308">
        <f t="shared" si="104"/>
        <v>0</v>
      </c>
    </row>
    <row r="517" spans="1:19">
      <c r="A517" s="142"/>
      <c r="B517" s="52"/>
      <c r="C517" s="21">
        <f t="shared" si="95"/>
        <v>1</v>
      </c>
      <c r="D517" s="631"/>
      <c r="E517" s="21">
        <f t="shared" si="96"/>
        <v>0.06</v>
      </c>
      <c r="F517" s="631"/>
      <c r="G517" s="21">
        <f t="shared" si="97"/>
        <v>1</v>
      </c>
      <c r="H517" s="631"/>
      <c r="I517" s="21">
        <f t="shared" si="98"/>
        <v>0</v>
      </c>
      <c r="J517" s="631"/>
      <c r="K517" s="21">
        <f t="shared" si="99"/>
        <v>1</v>
      </c>
      <c r="L517" s="631"/>
      <c r="M517" s="21">
        <f t="shared" si="100"/>
        <v>1</v>
      </c>
      <c r="N517" s="631"/>
      <c r="O517" s="21">
        <f t="shared" si="101"/>
        <v>0</v>
      </c>
      <c r="P517" s="631"/>
      <c r="Q517" s="21">
        <f t="shared" si="102"/>
        <v>0</v>
      </c>
      <c r="R517" s="21">
        <f t="shared" si="103"/>
        <v>0</v>
      </c>
      <c r="S517" s="308">
        <f t="shared" si="104"/>
        <v>0</v>
      </c>
    </row>
    <row r="518" spans="1:19">
      <c r="A518" s="142"/>
      <c r="B518" s="52"/>
      <c r="C518" s="21">
        <f t="shared" si="95"/>
        <v>1</v>
      </c>
      <c r="D518" s="631"/>
      <c r="E518" s="21">
        <f t="shared" si="96"/>
        <v>0.06</v>
      </c>
      <c r="F518" s="631"/>
      <c r="G518" s="21">
        <f t="shared" si="97"/>
        <v>1</v>
      </c>
      <c r="H518" s="631"/>
      <c r="I518" s="21">
        <f t="shared" si="98"/>
        <v>0</v>
      </c>
      <c r="J518" s="631"/>
      <c r="K518" s="21">
        <f t="shared" si="99"/>
        <v>1</v>
      </c>
      <c r="L518" s="631"/>
      <c r="M518" s="21">
        <f t="shared" si="100"/>
        <v>1</v>
      </c>
      <c r="N518" s="631"/>
      <c r="O518" s="21">
        <f t="shared" si="101"/>
        <v>0</v>
      </c>
      <c r="P518" s="631"/>
      <c r="Q518" s="21">
        <f t="shared" si="102"/>
        <v>0</v>
      </c>
      <c r="R518" s="21">
        <f t="shared" si="103"/>
        <v>0</v>
      </c>
      <c r="S518" s="308">
        <f t="shared" si="104"/>
        <v>0</v>
      </c>
    </row>
    <row r="519" spans="1:19">
      <c r="A519" s="142"/>
      <c r="B519" s="52"/>
      <c r="C519" s="21">
        <f t="shared" si="95"/>
        <v>1</v>
      </c>
      <c r="D519" s="631"/>
      <c r="E519" s="21">
        <f t="shared" si="96"/>
        <v>0.06</v>
      </c>
      <c r="F519" s="631"/>
      <c r="G519" s="21">
        <f t="shared" si="97"/>
        <v>1</v>
      </c>
      <c r="H519" s="631"/>
      <c r="I519" s="21">
        <f t="shared" si="98"/>
        <v>0</v>
      </c>
      <c r="J519" s="631"/>
      <c r="K519" s="21">
        <f t="shared" si="99"/>
        <v>1</v>
      </c>
      <c r="L519" s="631"/>
      <c r="M519" s="21">
        <f t="shared" si="100"/>
        <v>1</v>
      </c>
      <c r="N519" s="631"/>
      <c r="O519" s="21">
        <f t="shared" si="101"/>
        <v>0</v>
      </c>
      <c r="P519" s="631"/>
      <c r="Q519" s="21">
        <f t="shared" si="102"/>
        <v>0</v>
      </c>
      <c r="R519" s="21">
        <f t="shared" si="103"/>
        <v>0</v>
      </c>
      <c r="S519" s="308">
        <f t="shared" si="104"/>
        <v>0</v>
      </c>
    </row>
    <row r="520" spans="1:19">
      <c r="A520" s="142"/>
      <c r="B520" s="52"/>
      <c r="C520" s="21">
        <f t="shared" si="95"/>
        <v>1</v>
      </c>
      <c r="D520" s="631"/>
      <c r="E520" s="21">
        <f t="shared" si="96"/>
        <v>0.06</v>
      </c>
      <c r="F520" s="631"/>
      <c r="G520" s="21">
        <f t="shared" si="97"/>
        <v>1</v>
      </c>
      <c r="H520" s="631"/>
      <c r="I520" s="21">
        <f t="shared" si="98"/>
        <v>0</v>
      </c>
      <c r="J520" s="631"/>
      <c r="K520" s="21">
        <f t="shared" si="99"/>
        <v>1</v>
      </c>
      <c r="L520" s="631"/>
      <c r="M520" s="21">
        <f t="shared" si="100"/>
        <v>1</v>
      </c>
      <c r="N520" s="631"/>
      <c r="O520" s="21">
        <f t="shared" si="101"/>
        <v>0</v>
      </c>
      <c r="P520" s="631"/>
      <c r="Q520" s="21">
        <f t="shared" si="102"/>
        <v>0</v>
      </c>
      <c r="R520" s="21">
        <f t="shared" si="103"/>
        <v>0</v>
      </c>
      <c r="S520" s="308">
        <f t="shared" si="104"/>
        <v>0</v>
      </c>
    </row>
    <row r="521" spans="1:19">
      <c r="A521" s="142"/>
      <c r="B521" s="52"/>
      <c r="C521" s="21">
        <f t="shared" si="95"/>
        <v>1</v>
      </c>
      <c r="D521" s="631"/>
      <c r="E521" s="21">
        <f t="shared" si="96"/>
        <v>0.06</v>
      </c>
      <c r="F521" s="631"/>
      <c r="G521" s="21">
        <f t="shared" si="97"/>
        <v>1</v>
      </c>
      <c r="H521" s="631"/>
      <c r="I521" s="21">
        <f t="shared" si="98"/>
        <v>0</v>
      </c>
      <c r="J521" s="631"/>
      <c r="K521" s="21">
        <f t="shared" si="99"/>
        <v>1</v>
      </c>
      <c r="L521" s="631"/>
      <c r="M521" s="21">
        <f t="shared" si="100"/>
        <v>1</v>
      </c>
      <c r="N521" s="631"/>
      <c r="O521" s="21">
        <f t="shared" si="101"/>
        <v>0</v>
      </c>
      <c r="P521" s="631"/>
      <c r="Q521" s="21">
        <f t="shared" si="102"/>
        <v>0</v>
      </c>
      <c r="R521" s="21">
        <f t="shared" si="103"/>
        <v>0</v>
      </c>
      <c r="S521" s="308">
        <f t="shared" si="104"/>
        <v>0</v>
      </c>
    </row>
    <row r="522" spans="1:19">
      <c r="A522" s="142"/>
      <c r="B522" s="52"/>
      <c r="C522" s="21">
        <f t="shared" si="95"/>
        <v>1</v>
      </c>
      <c r="D522" s="631"/>
      <c r="E522" s="21">
        <f t="shared" si="96"/>
        <v>0.06</v>
      </c>
      <c r="F522" s="631"/>
      <c r="G522" s="21">
        <f t="shared" si="97"/>
        <v>1</v>
      </c>
      <c r="H522" s="631"/>
      <c r="I522" s="21">
        <f t="shared" si="98"/>
        <v>0</v>
      </c>
      <c r="J522" s="631"/>
      <c r="K522" s="21">
        <f t="shared" si="99"/>
        <v>1</v>
      </c>
      <c r="L522" s="631"/>
      <c r="M522" s="21">
        <f t="shared" si="100"/>
        <v>1</v>
      </c>
      <c r="N522" s="631"/>
      <c r="O522" s="21">
        <f t="shared" si="101"/>
        <v>0</v>
      </c>
      <c r="P522" s="631"/>
      <c r="Q522" s="21">
        <f t="shared" si="102"/>
        <v>0</v>
      </c>
      <c r="R522" s="21">
        <f t="shared" si="103"/>
        <v>0</v>
      </c>
      <c r="S522" s="308">
        <f t="shared" si="104"/>
        <v>0</v>
      </c>
    </row>
    <row r="523" spans="1:19">
      <c r="A523" s="142"/>
      <c r="B523" s="52"/>
      <c r="C523" s="21">
        <f t="shared" si="95"/>
        <v>1</v>
      </c>
      <c r="D523" s="631"/>
      <c r="E523" s="21">
        <f t="shared" si="96"/>
        <v>0.06</v>
      </c>
      <c r="F523" s="631"/>
      <c r="G523" s="21">
        <f t="shared" si="97"/>
        <v>1</v>
      </c>
      <c r="H523" s="631"/>
      <c r="I523" s="21">
        <f t="shared" si="98"/>
        <v>0</v>
      </c>
      <c r="J523" s="631"/>
      <c r="K523" s="21">
        <f t="shared" si="99"/>
        <v>1</v>
      </c>
      <c r="L523" s="631"/>
      <c r="M523" s="21">
        <f t="shared" si="100"/>
        <v>1</v>
      </c>
      <c r="N523" s="631"/>
      <c r="O523" s="21">
        <f t="shared" si="101"/>
        <v>0</v>
      </c>
      <c r="P523" s="631"/>
      <c r="Q523" s="21">
        <f t="shared" si="102"/>
        <v>0</v>
      </c>
      <c r="R523" s="21">
        <f t="shared" si="103"/>
        <v>0</v>
      </c>
      <c r="S523" s="308">
        <f t="shared" si="104"/>
        <v>0</v>
      </c>
    </row>
    <row r="524" spans="1:19">
      <c r="A524" s="142"/>
      <c r="B524" s="52"/>
      <c r="C524" s="21">
        <f t="shared" si="95"/>
        <v>1</v>
      </c>
      <c r="D524" s="631"/>
      <c r="E524" s="21">
        <f t="shared" si="96"/>
        <v>0.06</v>
      </c>
      <c r="F524" s="631"/>
      <c r="G524" s="21">
        <f t="shared" si="97"/>
        <v>1</v>
      </c>
      <c r="H524" s="631"/>
      <c r="I524" s="21">
        <f t="shared" si="98"/>
        <v>0</v>
      </c>
      <c r="J524" s="631"/>
      <c r="K524" s="21">
        <f t="shared" si="99"/>
        <v>1</v>
      </c>
      <c r="L524" s="631"/>
      <c r="M524" s="21">
        <f t="shared" si="100"/>
        <v>1</v>
      </c>
      <c r="N524" s="631"/>
      <c r="O524" s="21">
        <f t="shared" si="101"/>
        <v>0</v>
      </c>
      <c r="P524" s="631"/>
      <c r="Q524" s="21">
        <f t="shared" si="102"/>
        <v>0</v>
      </c>
      <c r="R524" s="21">
        <f t="shared" si="103"/>
        <v>0</v>
      </c>
      <c r="S524" s="308">
        <f t="shared" si="104"/>
        <v>0</v>
      </c>
    </row>
    <row r="525" spans="1:19">
      <c r="A525" s="142"/>
      <c r="B525" s="52"/>
      <c r="C525" s="21">
        <f t="shared" si="95"/>
        <v>1</v>
      </c>
      <c r="D525" s="631"/>
      <c r="E525" s="21">
        <f t="shared" si="96"/>
        <v>0.06</v>
      </c>
      <c r="F525" s="631"/>
      <c r="G525" s="21">
        <f t="shared" si="97"/>
        <v>1</v>
      </c>
      <c r="H525" s="631"/>
      <c r="I525" s="21">
        <f t="shared" si="98"/>
        <v>0</v>
      </c>
      <c r="J525" s="631"/>
      <c r="K525" s="21">
        <f t="shared" si="99"/>
        <v>1</v>
      </c>
      <c r="L525" s="631"/>
      <c r="M525" s="21">
        <f t="shared" si="100"/>
        <v>1</v>
      </c>
      <c r="N525" s="631"/>
      <c r="O525" s="21">
        <f t="shared" si="101"/>
        <v>0</v>
      </c>
      <c r="P525" s="631"/>
      <c r="Q525" s="21">
        <f t="shared" si="102"/>
        <v>0</v>
      </c>
      <c r="R525" s="21">
        <f t="shared" si="103"/>
        <v>0</v>
      </c>
      <c r="S525" s="308">
        <f t="shared" si="104"/>
        <v>0</v>
      </c>
    </row>
  </sheetData>
  <sheetProtection formatCells="0" formatColumns="0" formatRows="0"/>
  <mergeCells count="2">
    <mergeCell ref="C22:Q22"/>
    <mergeCell ref="C1:S1"/>
  </mergeCells>
  <phoneticPr fontId="24" type="noConversion"/>
  <conditionalFormatting sqref="C24:C525 E24:E525 G24:G525 I24:I525 K24:K525 M24:M525 O24:O525 Q24:Q525">
    <cfRule type="cellIs" dxfId="78" priority="1" operator="notEqual">
      <formula>1</formula>
    </cfRule>
  </conditionalFormatting>
  <dataValidations count="9">
    <dataValidation type="list" allowBlank="1" showInputMessage="1" showErrorMessage="1" sqref="D24:D525">
      <formula1>一修多修正项2</formula1>
    </dataValidation>
    <dataValidation type="list" allowBlank="1" showInputMessage="1" showErrorMessage="1" sqref="F24:F525">
      <formula1>一修多修正项3</formula1>
    </dataValidation>
    <dataValidation type="list" allowBlank="1" showInputMessage="1" showErrorMessage="1" sqref="H32:H525">
      <formula1>一修多修正项4</formula1>
    </dataValidation>
    <dataValidation type="list" allowBlank="1" showInputMessage="1" showErrorMessage="1" sqref="N24:N28 J24:J525 L24:L30 H24:H31">
      <formula1>一修多修正项5</formula1>
    </dataValidation>
    <dataValidation type="list" allowBlank="1" showInputMessage="1" showErrorMessage="1" sqref="L31:L525">
      <formula1>一修多修正项6</formula1>
    </dataValidation>
    <dataValidation type="list" allowBlank="1" showInputMessage="1" showErrorMessage="1" sqref="N29:N525">
      <formula1>一修多修正项7</formula1>
    </dataValidation>
    <dataValidation type="list" allowBlank="1" showInputMessage="1" showErrorMessage="1" sqref="P24:P525">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7"/>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0" t="e">
        <f ca="1">IF(E1="项目模式",SUMIF(INDIRECT("'"&amp;F2&amp;"'"&amp;"!A:A"),"承租人权益价值",INDIRECT("'"&amp;F2&amp;"'"&amp;"!c:c")),SUMIF(INDIRECT("'"&amp;F2&amp;"'"&amp;"!A:A"),"承租人权益价值（单套）",INDIRECT("'"&amp;F2&amp;"'"&amp;"!c:c")))</f>
        <v>#REF!</v>
      </c>
      <c r="E2" s="1735" t="s">
        <v>1463</v>
      </c>
      <c r="F2" s="1736"/>
      <c r="G2" s="851"/>
      <c r="H2" s="851"/>
      <c r="I2" s="851"/>
      <c r="J2" s="851"/>
      <c r="K2" s="851"/>
      <c r="L2" s="854"/>
      <c r="M2" s="855"/>
      <c r="N2" s="855"/>
      <c r="O2" s="855"/>
      <c r="P2" s="341"/>
      <c r="Q2" s="341"/>
      <c r="R2" s="341"/>
      <c r="S2" s="341"/>
      <c r="T2" s="341"/>
      <c r="U2" s="341"/>
      <c r="V2" s="341"/>
      <c r="W2" s="341"/>
      <c r="X2" s="341"/>
      <c r="Y2" s="341"/>
      <c r="Z2" s="341"/>
      <c r="AA2" s="341"/>
      <c r="AB2" s="341"/>
      <c r="AC2" s="659"/>
    </row>
    <row r="3" spans="1:29" s="342" customFormat="1" ht="28.5" customHeight="1" thickBot="1">
      <c r="A3" s="195" t="s">
        <v>1464</v>
      </c>
      <c r="B3" s="536" t="e">
        <f>IF(C2="——",C43,ROUND(B2*10000/D3,0))</f>
        <v>#DIV/0!</v>
      </c>
      <c r="C3" s="344" t="s">
        <v>1768</v>
      </c>
      <c r="D3" s="343">
        <f>IF(D1="",'数据-汇总表'!E3,SUMIF('数据-汇总表'!$C19:$C33,D1,'数据-汇总表'!$E19:$E33))</f>
        <v>0</v>
      </c>
      <c r="E3" s="851"/>
      <c r="F3" s="852"/>
      <c r="G3" s="851"/>
      <c r="H3" s="851"/>
      <c r="I3" s="851"/>
      <c r="J3" s="851"/>
      <c r="K3" s="853"/>
      <c r="L3" s="854"/>
      <c r="M3" s="855"/>
      <c r="N3" s="855"/>
      <c r="O3" s="855"/>
      <c r="P3" s="341"/>
      <c r="Q3" s="341"/>
      <c r="R3" s="341"/>
      <c r="S3" s="341"/>
      <c r="T3" s="341"/>
      <c r="U3" s="341"/>
      <c r="V3" s="341"/>
      <c r="W3" s="341"/>
      <c r="X3" s="341"/>
      <c r="Y3" s="341"/>
      <c r="Z3" s="341"/>
      <c r="AA3" s="341"/>
      <c r="AB3" s="672"/>
      <c r="AC3" s="659"/>
    </row>
    <row r="4" spans="1:29" ht="15">
      <c r="A4" s="345" t="s">
        <v>1769</v>
      </c>
      <c r="B4" s="346"/>
      <c r="C4" s="3493" t="s">
        <v>1770</v>
      </c>
      <c r="D4" s="3494"/>
      <c r="E4" s="3495" t="s">
        <v>1771</v>
      </c>
      <c r="F4" s="3496"/>
      <c r="G4" s="3493" t="s">
        <v>1772</v>
      </c>
      <c r="H4" s="3494"/>
      <c r="I4" s="3493" t="s">
        <v>1773</v>
      </c>
      <c r="J4" s="3494"/>
      <c r="K4" s="537" t="s">
        <v>1774</v>
      </c>
      <c r="L4" s="856"/>
      <c r="M4" s="857"/>
      <c r="N4" s="857"/>
      <c r="O4" s="857"/>
      <c r="P4" s="3497" t="s">
        <v>1775</v>
      </c>
      <c r="Q4" s="3498"/>
      <c r="R4" s="3503" t="s">
        <v>1771</v>
      </c>
      <c r="S4" s="3504"/>
      <c r="T4" s="3503" t="s">
        <v>1772</v>
      </c>
      <c r="U4" s="3504"/>
      <c r="V4" s="3479" t="s">
        <v>1773</v>
      </c>
      <c r="W4" s="3479"/>
      <c r="X4" s="1262"/>
      <c r="Y4" s="3503" t="s">
        <v>1775</v>
      </c>
      <c r="Z4" s="3504"/>
      <c r="AA4" s="3490" t="s">
        <v>1771</v>
      </c>
      <c r="AB4" s="3491" t="s">
        <v>1772</v>
      </c>
      <c r="AC4" s="3490" t="s">
        <v>1773</v>
      </c>
    </row>
    <row r="5" spans="1:29" ht="15">
      <c r="A5" s="348"/>
      <c r="B5" s="349"/>
      <c r="C5" s="3511" t="s">
        <v>1673</v>
      </c>
      <c r="D5" s="3512"/>
      <c r="E5" s="3518" t="s">
        <v>1674</v>
      </c>
      <c r="F5" s="3519"/>
      <c r="G5" s="3511" t="s">
        <v>1675</v>
      </c>
      <c r="H5" s="3512"/>
      <c r="I5" s="3511" t="s">
        <v>1676</v>
      </c>
      <c r="J5" s="3512"/>
      <c r="K5" s="537"/>
      <c r="L5" s="856"/>
      <c r="M5" s="857"/>
      <c r="N5" s="857"/>
      <c r="O5" s="857"/>
      <c r="P5" s="3499"/>
      <c r="Q5" s="3500"/>
      <c r="R5" s="3505"/>
      <c r="S5" s="3506"/>
      <c r="T5" s="3505"/>
      <c r="U5" s="3506"/>
      <c r="V5" s="3479"/>
      <c r="W5" s="3479"/>
      <c r="X5" s="1262"/>
      <c r="Y5" s="3505"/>
      <c r="Z5" s="3506"/>
      <c r="AA5" s="3491"/>
      <c r="AB5" s="3491"/>
      <c r="AC5" s="3491"/>
    </row>
    <row r="6" spans="1:29" ht="15.75" thickBot="1">
      <c r="A6" s="350"/>
      <c r="B6" s="351"/>
      <c r="C6" s="3509" t="s">
        <v>1677</v>
      </c>
      <c r="D6" s="3510"/>
      <c r="E6" s="3516" t="s">
        <v>1677</v>
      </c>
      <c r="F6" s="3517"/>
      <c r="G6" s="3509" t="s">
        <v>1677</v>
      </c>
      <c r="H6" s="3510"/>
      <c r="I6" s="3509" t="s">
        <v>1677</v>
      </c>
      <c r="J6" s="3510"/>
      <c r="K6" s="537" t="s">
        <v>1678</v>
      </c>
      <c r="L6" s="856"/>
      <c r="M6" s="857"/>
      <c r="N6" s="857"/>
      <c r="O6" s="857"/>
      <c r="P6" s="3501"/>
      <c r="Q6" s="3502"/>
      <c r="R6" s="3505"/>
      <c r="S6" s="3506"/>
      <c r="T6" s="3507"/>
      <c r="U6" s="3508"/>
      <c r="V6" s="3479"/>
      <c r="W6" s="3479"/>
      <c r="X6" s="1262"/>
      <c r="Y6" s="3507"/>
      <c r="Z6" s="3508"/>
      <c r="AA6" s="3492"/>
      <c r="AB6" s="3492"/>
      <c r="AC6" s="3492"/>
    </row>
    <row r="7" spans="1:29" s="102" customFormat="1" ht="15.75" thickBot="1">
      <c r="A7" s="352" t="s">
        <v>1679</v>
      </c>
      <c r="B7" s="353"/>
      <c r="C7" s="354">
        <f>'数据-取费表'!B2</f>
        <v>45215</v>
      </c>
      <c r="D7" s="355">
        <v>100</v>
      </c>
      <c r="E7" s="356"/>
      <c r="F7" s="357">
        <f>SUMIF(52:52,YEAR(E7)&amp;"-"&amp;MONTH(E7),53:53)</f>
        <v>0</v>
      </c>
      <c r="G7" s="356"/>
      <c r="H7" s="355">
        <f>SUMIF(52:52,YEAR(G7)&amp;"-"&amp;MONTH(G7),53:53)</f>
        <v>0</v>
      </c>
      <c r="I7" s="356"/>
      <c r="J7" s="355">
        <f>SUMIF(52:52,YEAR(I7)&amp;"-"&amp;MONTH(I7),53:53)</f>
        <v>0</v>
      </c>
      <c r="K7" s="38"/>
      <c r="L7" s="858"/>
      <c r="M7" s="859"/>
      <c r="N7" s="859"/>
      <c r="O7" s="859"/>
      <c r="P7" s="3513" t="s">
        <v>1680</v>
      </c>
      <c r="Q7" s="3515"/>
      <c r="R7" s="660" t="s">
        <v>14</v>
      </c>
      <c r="S7" s="661">
        <f t="shared" ref="S7:S15" si="0">F7</f>
        <v>0</v>
      </c>
      <c r="T7" s="660" t="s">
        <v>14</v>
      </c>
      <c r="U7" s="661">
        <f t="shared" ref="U7:U15" si="1">H7</f>
        <v>0</v>
      </c>
      <c r="V7" s="660" t="s">
        <v>14</v>
      </c>
      <c r="W7" s="661">
        <f t="shared" ref="W7:W15" si="2">J7</f>
        <v>0</v>
      </c>
      <c r="X7" s="662"/>
      <c r="Y7" s="3513" t="s">
        <v>1680</v>
      </c>
      <c r="Z7" s="35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513" t="s">
        <v>1683</v>
      </c>
      <c r="Q8" s="3514"/>
      <c r="R8" s="660" t="s">
        <v>14</v>
      </c>
      <c r="S8" s="661">
        <f t="shared" si="0"/>
        <v>100</v>
      </c>
      <c r="T8" s="660" t="s">
        <v>14</v>
      </c>
      <c r="U8" s="661">
        <f t="shared" si="1"/>
        <v>100</v>
      </c>
      <c r="V8" s="660" t="s">
        <v>14</v>
      </c>
      <c r="W8" s="661">
        <f t="shared" si="2"/>
        <v>100</v>
      </c>
      <c r="X8" s="662"/>
      <c r="Y8" s="3513" t="s">
        <v>1683</v>
      </c>
      <c r="Z8" s="35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478" t="s">
        <v>1686</v>
      </c>
      <c r="Q9" s="530" t="str">
        <f t="shared" ref="Q9:Q15" si="6">B9</f>
        <v>用途</v>
      </c>
      <c r="R9" s="660" t="s">
        <v>14</v>
      </c>
      <c r="S9" s="661">
        <f t="shared" si="0"/>
        <v>100</v>
      </c>
      <c r="T9" s="660" t="s">
        <v>14</v>
      </c>
      <c r="U9" s="661">
        <f t="shared" si="1"/>
        <v>100</v>
      </c>
      <c r="V9" s="660" t="s">
        <v>14</v>
      </c>
      <c r="W9" s="661">
        <f t="shared" si="2"/>
        <v>100</v>
      </c>
      <c r="X9" s="662"/>
      <c r="Y9" s="3353"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1"/>
      <c r="M10" s="862"/>
      <c r="N10" s="862"/>
      <c r="O10" s="863"/>
      <c r="P10" s="3478"/>
      <c r="Q10" s="530" t="str">
        <f t="shared" si="6"/>
        <v>土地使用年限（年）</v>
      </c>
      <c r="R10" s="660" t="s">
        <v>14</v>
      </c>
      <c r="S10" s="661">
        <f t="shared" si="0"/>
        <v>100</v>
      </c>
      <c r="T10" s="660" t="s">
        <v>14</v>
      </c>
      <c r="U10" s="661">
        <f t="shared" si="1"/>
        <v>100</v>
      </c>
      <c r="V10" s="660" t="s">
        <v>14</v>
      </c>
      <c r="W10" s="661">
        <f t="shared" si="2"/>
        <v>100</v>
      </c>
      <c r="X10" s="662"/>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478"/>
      <c r="Q11" s="530" t="str">
        <f t="shared" si="6"/>
        <v>容积率</v>
      </c>
      <c r="R11" s="660" t="s">
        <v>14</v>
      </c>
      <c r="S11" s="661">
        <f t="shared" si="0"/>
        <v>100</v>
      </c>
      <c r="T11" s="660" t="s">
        <v>14</v>
      </c>
      <c r="U11" s="661">
        <f t="shared" si="1"/>
        <v>100</v>
      </c>
      <c r="V11" s="660" t="s">
        <v>14</v>
      </c>
      <c r="W11" s="661">
        <f t="shared" si="2"/>
        <v>100</v>
      </c>
      <c r="X11" s="662"/>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8"/>
      <c r="M12" s="859"/>
      <c r="N12" s="859"/>
      <c r="O12" s="860"/>
      <c r="P12" s="3478"/>
      <c r="Q12" s="530">
        <f t="shared" si="6"/>
        <v>111</v>
      </c>
      <c r="R12" s="660" t="s">
        <v>14</v>
      </c>
      <c r="S12" s="661">
        <f t="shared" si="0"/>
        <v>100</v>
      </c>
      <c r="T12" s="660" t="s">
        <v>14</v>
      </c>
      <c r="U12" s="661">
        <f t="shared" si="1"/>
        <v>100</v>
      </c>
      <c r="V12" s="660" t="s">
        <v>14</v>
      </c>
      <c r="W12" s="661">
        <f t="shared" si="2"/>
        <v>100</v>
      </c>
      <c r="X12" s="662"/>
      <c r="Y12" s="33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6"/>
      <c r="M13" s="857"/>
      <c r="N13" s="857"/>
      <c r="O13" s="865"/>
      <c r="P13" s="3478"/>
      <c r="Q13" s="530">
        <f t="shared" si="6"/>
        <v>111</v>
      </c>
      <c r="R13" s="660" t="s">
        <v>14</v>
      </c>
      <c r="S13" s="661">
        <f t="shared" si="0"/>
        <v>100</v>
      </c>
      <c r="T13" s="660" t="s">
        <v>14</v>
      </c>
      <c r="U13" s="661">
        <f t="shared" si="1"/>
        <v>100</v>
      </c>
      <c r="V13" s="660" t="s">
        <v>14</v>
      </c>
      <c r="W13" s="661">
        <f t="shared" si="2"/>
        <v>100</v>
      </c>
      <c r="X13" s="662"/>
      <c r="Y13" s="3353"/>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6"/>
      <c r="M14" s="857"/>
      <c r="N14" s="857"/>
      <c r="O14" s="865"/>
      <c r="P14" s="3478"/>
      <c r="Q14" s="530">
        <f t="shared" si="6"/>
        <v>111</v>
      </c>
      <c r="R14" s="660" t="s">
        <v>14</v>
      </c>
      <c r="S14" s="661">
        <f t="shared" si="0"/>
        <v>100</v>
      </c>
      <c r="T14" s="660" t="s">
        <v>14</v>
      </c>
      <c r="U14" s="661">
        <f t="shared" si="1"/>
        <v>100</v>
      </c>
      <c r="V14" s="660" t="s">
        <v>14</v>
      </c>
      <c r="W14" s="661">
        <f t="shared" si="2"/>
        <v>100</v>
      </c>
      <c r="X14" s="662"/>
      <c r="Y14" s="3353"/>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80" t="s">
        <v>1691</v>
      </c>
      <c r="Q15" s="1260" t="str">
        <f t="shared" si="6"/>
        <v>产业集聚程度</v>
      </c>
      <c r="R15" s="663" t="s">
        <v>14</v>
      </c>
      <c r="S15" s="664">
        <f t="shared" si="0"/>
        <v>100</v>
      </c>
      <c r="T15" s="663" t="s">
        <v>14</v>
      </c>
      <c r="U15" s="664">
        <f t="shared" si="1"/>
        <v>100</v>
      </c>
      <c r="V15" s="663" t="s">
        <v>14</v>
      </c>
      <c r="W15" s="664">
        <f t="shared" si="2"/>
        <v>100</v>
      </c>
      <c r="X15" s="1262"/>
      <c r="Y15" s="3480"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6"/>
      <c r="M16" s="857"/>
      <c r="N16" s="857"/>
      <c r="O16" s="865"/>
      <c r="P16" s="3481"/>
      <c r="Q16" s="1260"/>
      <c r="R16" s="663"/>
      <c r="S16" s="664"/>
      <c r="T16" s="663"/>
      <c r="U16" s="664"/>
      <c r="V16" s="663"/>
      <c r="W16" s="664"/>
      <c r="X16" s="1262"/>
      <c r="Y16" s="3481"/>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81"/>
      <c r="Q17" s="1260" t="str">
        <f>B17</f>
        <v>交通便捷度</v>
      </c>
      <c r="R17" s="663" t="s">
        <v>14</v>
      </c>
      <c r="S17" s="664">
        <f>F17</f>
        <v>100</v>
      </c>
      <c r="T17" s="663" t="s">
        <v>14</v>
      </c>
      <c r="U17" s="664">
        <f>H17</f>
        <v>100</v>
      </c>
      <c r="V17" s="663" t="s">
        <v>14</v>
      </c>
      <c r="W17" s="664">
        <f>J17</f>
        <v>100</v>
      </c>
      <c r="X17" s="1262"/>
      <c r="Y17" s="3481"/>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6"/>
      <c r="M18" s="857"/>
      <c r="N18" s="857"/>
      <c r="O18" s="865"/>
      <c r="P18" s="3481"/>
      <c r="Q18" s="1260"/>
      <c r="R18" s="663"/>
      <c r="S18" s="664"/>
      <c r="T18" s="663"/>
      <c r="U18" s="664"/>
      <c r="V18" s="663"/>
      <c r="W18" s="664"/>
      <c r="X18" s="1262"/>
      <c r="Y18" s="3481"/>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81"/>
      <c r="Q19" s="1260" t="str">
        <f>B19</f>
        <v>公共配套设施</v>
      </c>
      <c r="R19" s="663" t="s">
        <v>14</v>
      </c>
      <c r="S19" s="664">
        <f>F19</f>
        <v>100</v>
      </c>
      <c r="T19" s="663" t="s">
        <v>14</v>
      </c>
      <c r="U19" s="664">
        <f>H19</f>
        <v>100</v>
      </c>
      <c r="V19" s="663" t="s">
        <v>14</v>
      </c>
      <c r="W19" s="664">
        <f>J19</f>
        <v>100</v>
      </c>
      <c r="X19" s="1262"/>
      <c r="Y19" s="3481"/>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6"/>
      <c r="M20" s="857"/>
      <c r="N20" s="857"/>
      <c r="O20" s="865"/>
      <c r="P20" s="3481"/>
      <c r="Q20" s="1260"/>
      <c r="R20" s="663"/>
      <c r="S20" s="664"/>
      <c r="T20" s="663"/>
      <c r="U20" s="664"/>
      <c r="V20" s="663"/>
      <c r="W20" s="664"/>
      <c r="X20" s="1262"/>
      <c r="Y20" s="3481"/>
      <c r="Z20" s="1261"/>
      <c r="AA20" s="1261">
        <v>1</v>
      </c>
      <c r="AB20" s="1261">
        <v>1</v>
      </c>
      <c r="AC20" s="1261">
        <v>1</v>
      </c>
    </row>
    <row r="21" spans="1:29" ht="28.5">
      <c r="A21" s="367"/>
      <c r="B21" s="585"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81"/>
      <c r="Q21" s="1260" t="str">
        <f>B21</f>
        <v>基础设施水平</v>
      </c>
      <c r="R21" s="663" t="s">
        <v>14</v>
      </c>
      <c r="S21" s="664">
        <f>F21</f>
        <v>100</v>
      </c>
      <c r="T21" s="663" t="s">
        <v>14</v>
      </c>
      <c r="U21" s="664">
        <f>H21</f>
        <v>100</v>
      </c>
      <c r="V21" s="663" t="s">
        <v>14</v>
      </c>
      <c r="W21" s="664">
        <f>J21</f>
        <v>100</v>
      </c>
      <c r="X21" s="1262"/>
      <c r="Y21" s="3481"/>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8"/>
      <c r="G22" s="386"/>
      <c r="H22" s="387"/>
      <c r="I22" s="386"/>
      <c r="J22" s="387"/>
      <c r="K22" s="1061"/>
      <c r="L22" s="866"/>
      <c r="M22" s="857"/>
      <c r="N22" s="857"/>
      <c r="O22" s="865"/>
      <c r="P22" s="3481"/>
      <c r="Q22" s="1260"/>
      <c r="R22" s="663"/>
      <c r="S22" s="664"/>
      <c r="T22" s="663"/>
      <c r="U22" s="664"/>
      <c r="V22" s="663"/>
      <c r="W22" s="664"/>
      <c r="X22" s="1262"/>
      <c r="Y22" s="3481"/>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81"/>
      <c r="Q23" s="1260" t="str">
        <f>B23</f>
        <v>环境质量</v>
      </c>
      <c r="R23" s="663" t="s">
        <v>14</v>
      </c>
      <c r="S23" s="664">
        <f>F23</f>
        <v>100</v>
      </c>
      <c r="T23" s="663" t="s">
        <v>14</v>
      </c>
      <c r="U23" s="664">
        <f>H23</f>
        <v>100</v>
      </c>
      <c r="V23" s="663" t="s">
        <v>14</v>
      </c>
      <c r="W23" s="664">
        <f>J23</f>
        <v>100</v>
      </c>
      <c r="X23" s="1262"/>
      <c r="Y23" s="3481"/>
      <c r="Z23" s="1261" t="str">
        <f>Q23</f>
        <v>环境质量</v>
      </c>
      <c r="AA23" s="1261">
        <f t="shared" si="3"/>
        <v>1</v>
      </c>
      <c r="AB23" s="1261">
        <f t="shared" si="4"/>
        <v>1</v>
      </c>
      <c r="AC23" s="1261">
        <f t="shared" si="5"/>
        <v>1</v>
      </c>
    </row>
    <row r="24" spans="1:29" ht="15">
      <c r="A24" s="367"/>
      <c r="B24" s="585"/>
      <c r="C24" s="386"/>
      <c r="D24" s="387"/>
      <c r="E24" s="1749"/>
      <c r="F24" s="388"/>
      <c r="G24" s="1748"/>
      <c r="H24" s="387"/>
      <c r="I24" s="1749"/>
      <c r="J24" s="387"/>
      <c r="K24" s="541"/>
      <c r="L24" s="866"/>
      <c r="M24" s="857"/>
      <c r="N24" s="857"/>
      <c r="O24" s="865"/>
      <c r="P24" s="3481"/>
      <c r="Q24" s="1260"/>
      <c r="R24" s="663"/>
      <c r="S24" s="664"/>
      <c r="T24" s="663"/>
      <c r="U24" s="664"/>
      <c r="V24" s="663"/>
      <c r="W24" s="664"/>
      <c r="X24" s="1262"/>
      <c r="Y24" s="3481"/>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81"/>
      <c r="Q25" s="1260">
        <f>B25</f>
        <v>111</v>
      </c>
      <c r="R25" s="663" t="s">
        <v>14</v>
      </c>
      <c r="S25" s="664">
        <f>F25</f>
        <v>100</v>
      </c>
      <c r="T25" s="663" t="s">
        <v>14</v>
      </c>
      <c r="U25" s="664">
        <f>H25</f>
        <v>100</v>
      </c>
      <c r="V25" s="663" t="s">
        <v>14</v>
      </c>
      <c r="W25" s="664">
        <f>J25</f>
        <v>100</v>
      </c>
      <c r="X25" s="1262"/>
      <c r="Y25" s="3481"/>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81"/>
      <c r="Q26" s="1260">
        <f t="shared" ref="Q26:Q40" si="11">B26</f>
        <v>111</v>
      </c>
      <c r="R26" s="663" t="s">
        <v>14</v>
      </c>
      <c r="S26" s="664">
        <f>F26</f>
        <v>100</v>
      </c>
      <c r="T26" s="663" t="s">
        <v>14</v>
      </c>
      <c r="U26" s="664">
        <f>H26</f>
        <v>100</v>
      </c>
      <c r="V26" s="663" t="s">
        <v>14</v>
      </c>
      <c r="W26" s="664">
        <f>J26</f>
        <v>100</v>
      </c>
      <c r="X26" s="1262"/>
      <c r="Y26" s="3481"/>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81"/>
      <c r="Q27" s="530">
        <f t="shared" si="11"/>
        <v>111</v>
      </c>
      <c r="R27" s="660" t="s">
        <v>14</v>
      </c>
      <c r="S27" s="661">
        <f>F27</f>
        <v>100</v>
      </c>
      <c r="T27" s="660" t="s">
        <v>14</v>
      </c>
      <c r="U27" s="661">
        <f>H27</f>
        <v>100</v>
      </c>
      <c r="V27" s="660" t="s">
        <v>14</v>
      </c>
      <c r="W27" s="661">
        <f>J27</f>
        <v>100</v>
      </c>
      <c r="X27" s="662"/>
      <c r="Y27" s="3481"/>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81"/>
      <c r="Q28" s="1260">
        <f t="shared" si="11"/>
        <v>111</v>
      </c>
      <c r="R28" s="663" t="s">
        <v>14</v>
      </c>
      <c r="S28" s="664">
        <f t="shared" ref="S28:S40" si="12">F28</f>
        <v>100</v>
      </c>
      <c r="T28" s="663" t="s">
        <v>14</v>
      </c>
      <c r="U28" s="664">
        <f t="shared" ref="U28:U40" si="13">H28</f>
        <v>100</v>
      </c>
      <c r="V28" s="663" t="s">
        <v>14</v>
      </c>
      <c r="W28" s="664">
        <f t="shared" ref="W28:W40" si="14">J28</f>
        <v>100</v>
      </c>
      <c r="X28" s="1262"/>
      <c r="Y28" s="3481"/>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6"/>
      <c r="M29" s="857"/>
      <c r="N29" s="857"/>
      <c r="O29" s="865"/>
      <c r="P29" s="3543" t="s">
        <v>1696</v>
      </c>
      <c r="Q29" s="1260" t="str">
        <f t="shared" si="11"/>
        <v>建筑类型</v>
      </c>
      <c r="R29" s="663" t="s">
        <v>14</v>
      </c>
      <c r="S29" s="664">
        <f t="shared" si="12"/>
        <v>100</v>
      </c>
      <c r="T29" s="663" t="s">
        <v>14</v>
      </c>
      <c r="U29" s="664">
        <f t="shared" si="13"/>
        <v>100</v>
      </c>
      <c r="V29" s="663" t="s">
        <v>14</v>
      </c>
      <c r="W29" s="664">
        <f t="shared" si="14"/>
        <v>100</v>
      </c>
      <c r="X29" s="1262"/>
      <c r="Y29" s="3485"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85"/>
      <c r="Q30" s="531" t="str">
        <f t="shared" si="11"/>
        <v>项目建筑规模</v>
      </c>
      <c r="R30" s="665" t="s">
        <v>14</v>
      </c>
      <c r="S30" s="666" t="e">
        <f t="shared" si="12"/>
        <v>#N/A</v>
      </c>
      <c r="T30" s="665" t="s">
        <v>14</v>
      </c>
      <c r="U30" s="666" t="e">
        <f t="shared" si="13"/>
        <v>#N/A</v>
      </c>
      <c r="V30" s="665" t="s">
        <v>14</v>
      </c>
      <c r="W30" s="666" t="e">
        <f t="shared" si="14"/>
        <v>#N/A</v>
      </c>
      <c r="X30" s="667"/>
      <c r="Y30" s="3485"/>
      <c r="Z30" s="668"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85"/>
      <c r="Q31" s="1260" t="str">
        <f t="shared" si="11"/>
        <v>建筑结构</v>
      </c>
      <c r="R31" s="663" t="s">
        <v>14</v>
      </c>
      <c r="S31" s="664">
        <f t="shared" si="12"/>
        <v>100</v>
      </c>
      <c r="T31" s="663" t="s">
        <v>14</v>
      </c>
      <c r="U31" s="664">
        <f t="shared" si="13"/>
        <v>100</v>
      </c>
      <c r="V31" s="663" t="s">
        <v>14</v>
      </c>
      <c r="W31" s="664">
        <f t="shared" si="14"/>
        <v>100</v>
      </c>
      <c r="X31" s="1262"/>
      <c r="Y31" s="3485"/>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85"/>
      <c r="Q32" s="1260" t="str">
        <f t="shared" si="11"/>
        <v>公共部分装修</v>
      </c>
      <c r="R32" s="663" t="s">
        <v>14</v>
      </c>
      <c r="S32" s="664">
        <f t="shared" si="12"/>
        <v>100</v>
      </c>
      <c r="T32" s="663" t="s">
        <v>14</v>
      </c>
      <c r="U32" s="664">
        <f t="shared" si="13"/>
        <v>100</v>
      </c>
      <c r="V32" s="663" t="s">
        <v>14</v>
      </c>
      <c r="W32" s="664">
        <f t="shared" si="14"/>
        <v>100</v>
      </c>
      <c r="X32" s="1262"/>
      <c r="Y32" s="3485"/>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85"/>
      <c r="Q33" s="1260" t="str">
        <f t="shared" si="11"/>
        <v>成新度</v>
      </c>
      <c r="R33" s="663" t="s">
        <v>14</v>
      </c>
      <c r="S33" s="664" t="e">
        <f t="shared" si="12"/>
        <v>#N/A</v>
      </c>
      <c r="T33" s="663" t="s">
        <v>14</v>
      </c>
      <c r="U33" s="664" t="e">
        <f t="shared" si="13"/>
        <v>#N/A</v>
      </c>
      <c r="V33" s="663" t="s">
        <v>14</v>
      </c>
      <c r="W33" s="664" t="e">
        <f t="shared" si="14"/>
        <v>#N/A</v>
      </c>
      <c r="X33" s="1262"/>
      <c r="Y33" s="3485"/>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85"/>
      <c r="Q34" s="530" t="str">
        <f t="shared" si="11"/>
        <v>物业管理</v>
      </c>
      <c r="R34" s="660" t="s">
        <v>14</v>
      </c>
      <c r="S34" s="661">
        <f t="shared" si="12"/>
        <v>100</v>
      </c>
      <c r="T34" s="660" t="s">
        <v>14</v>
      </c>
      <c r="U34" s="661">
        <f t="shared" si="13"/>
        <v>100</v>
      </c>
      <c r="V34" s="660" t="s">
        <v>14</v>
      </c>
      <c r="W34" s="661">
        <f t="shared" si="14"/>
        <v>100</v>
      </c>
      <c r="X34" s="662"/>
      <c r="Y34" s="34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85" t="s">
        <v>1696</v>
      </c>
      <c r="Q35" s="1260" t="str">
        <f t="shared" si="11"/>
        <v>市政基础设施</v>
      </c>
      <c r="R35" s="663" t="s">
        <v>14</v>
      </c>
      <c r="S35" s="664">
        <f t="shared" si="12"/>
        <v>100</v>
      </c>
      <c r="T35" s="663" t="s">
        <v>14</v>
      </c>
      <c r="U35" s="664">
        <f t="shared" si="13"/>
        <v>100</v>
      </c>
      <c r="V35" s="663" t="s">
        <v>14</v>
      </c>
      <c r="W35" s="664">
        <f t="shared" si="14"/>
        <v>100</v>
      </c>
      <c r="X35" s="1262"/>
      <c r="Y35" s="3485"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85"/>
      <c r="Q36" s="1260" t="str">
        <f t="shared" si="11"/>
        <v>内部装修</v>
      </c>
      <c r="R36" s="663" t="s">
        <v>14</v>
      </c>
      <c r="S36" s="664">
        <f t="shared" si="12"/>
        <v>100</v>
      </c>
      <c r="T36" s="663" t="s">
        <v>14</v>
      </c>
      <c r="U36" s="664">
        <f t="shared" si="13"/>
        <v>100</v>
      </c>
      <c r="V36" s="663" t="s">
        <v>14</v>
      </c>
      <c r="W36" s="664">
        <f t="shared" si="14"/>
        <v>100</v>
      </c>
      <c r="X36" s="1262"/>
      <c r="Y36" s="3485"/>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85"/>
      <c r="Q37" s="1260" t="str">
        <f t="shared" si="11"/>
        <v>内部装修状况</v>
      </c>
      <c r="R37" s="663" t="s">
        <v>14</v>
      </c>
      <c r="S37" s="664">
        <f t="shared" si="12"/>
        <v>100</v>
      </c>
      <c r="T37" s="663" t="s">
        <v>14</v>
      </c>
      <c r="U37" s="664">
        <f t="shared" si="13"/>
        <v>100</v>
      </c>
      <c r="V37" s="663" t="s">
        <v>14</v>
      </c>
      <c r="W37" s="664">
        <f t="shared" si="14"/>
        <v>100</v>
      </c>
      <c r="X37" s="1262"/>
      <c r="Y37" s="3485"/>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85"/>
      <c r="Q38" s="531">
        <f t="shared" si="11"/>
        <v>111</v>
      </c>
      <c r="R38" s="665" t="s">
        <v>14</v>
      </c>
      <c r="S38" s="666">
        <f t="shared" si="12"/>
        <v>100</v>
      </c>
      <c r="T38" s="665" t="s">
        <v>14</v>
      </c>
      <c r="U38" s="666">
        <f t="shared" si="13"/>
        <v>100</v>
      </c>
      <c r="V38" s="665" t="s">
        <v>14</v>
      </c>
      <c r="W38" s="666">
        <f t="shared" si="14"/>
        <v>100</v>
      </c>
      <c r="X38" s="667"/>
      <c r="Y38" s="3485"/>
      <c r="Z38" s="668">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85"/>
      <c r="Q39" s="1260">
        <f t="shared" si="11"/>
        <v>111</v>
      </c>
      <c r="R39" s="663" t="s">
        <v>14</v>
      </c>
      <c r="S39" s="664">
        <f t="shared" si="12"/>
        <v>100</v>
      </c>
      <c r="T39" s="663" t="s">
        <v>14</v>
      </c>
      <c r="U39" s="664">
        <f t="shared" si="13"/>
        <v>100</v>
      </c>
      <c r="V39" s="663" t="s">
        <v>14</v>
      </c>
      <c r="W39" s="664">
        <f t="shared" si="14"/>
        <v>100</v>
      </c>
      <c r="X39" s="1262"/>
      <c r="Y39" s="3485"/>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86"/>
      <c r="Q40" s="1260">
        <f t="shared" si="11"/>
        <v>111</v>
      </c>
      <c r="R40" s="663" t="s">
        <v>14</v>
      </c>
      <c r="S40" s="664">
        <f t="shared" si="12"/>
        <v>100</v>
      </c>
      <c r="T40" s="663" t="s">
        <v>14</v>
      </c>
      <c r="U40" s="664">
        <f t="shared" si="13"/>
        <v>100</v>
      </c>
      <c r="V40" s="663" t="s">
        <v>14</v>
      </c>
      <c r="W40" s="664">
        <f t="shared" si="14"/>
        <v>100</v>
      </c>
      <c r="X40" s="1262"/>
      <c r="Y40" s="3486"/>
      <c r="Z40" s="1261">
        <f t="shared" si="15"/>
        <v>111</v>
      </c>
      <c r="AA40" s="1261">
        <f t="shared" si="3"/>
        <v>1</v>
      </c>
      <c r="AB40" s="1261">
        <f t="shared" si="4"/>
        <v>1</v>
      </c>
      <c r="AC40" s="1261">
        <f t="shared" si="5"/>
        <v>1</v>
      </c>
    </row>
    <row r="41" spans="1:29" ht="15">
      <c r="A41" s="416" t="s">
        <v>1708</v>
      </c>
      <c r="B41" s="417"/>
      <c r="C41" s="1078" t="s">
        <v>0</v>
      </c>
      <c r="D41" s="418"/>
      <c r="E41" s="419"/>
      <c r="F41" s="420"/>
      <c r="G41" s="421"/>
      <c r="H41" s="422"/>
      <c r="I41" s="419"/>
      <c r="J41" s="422"/>
      <c r="K41" s="670"/>
      <c r="L41" s="869"/>
      <c r="M41" s="857"/>
      <c r="N41" s="857"/>
      <c r="O41" s="857"/>
      <c r="P41" s="3478" t="str">
        <f>A41</f>
        <v>成交单价（元/平方米）</v>
      </c>
      <c r="Q41" s="3478"/>
      <c r="R41" s="3479">
        <f>E41</f>
        <v>0</v>
      </c>
      <c r="S41" s="3479"/>
      <c r="T41" s="3479">
        <f>G41</f>
        <v>0</v>
      </c>
      <c r="U41" s="3479"/>
      <c r="V41" s="3479">
        <f>I41</f>
        <v>0</v>
      </c>
      <c r="W41" s="3479"/>
      <c r="X41" s="385"/>
      <c r="Y41" s="669"/>
      <c r="Z41" s="385"/>
      <c r="AA41" s="385"/>
      <c r="AB41" s="385"/>
      <c r="AC41" s="385"/>
    </row>
    <row r="42" spans="1:29" ht="15.75" thickBot="1">
      <c r="A42" s="423" t="s">
        <v>1793</v>
      </c>
      <c r="B42" s="424"/>
      <c r="C42" s="1079" t="e">
        <f>R43</f>
        <v>#DIV/0!</v>
      </c>
      <c r="D42" s="2138" t="s">
        <v>2135</v>
      </c>
      <c r="E42" s="1080" t="e">
        <f>R42</f>
        <v>#DIV/0!</v>
      </c>
      <c r="F42" s="2139"/>
      <c r="G42" s="1079" t="e">
        <f>T42</f>
        <v>#DIV/0!</v>
      </c>
      <c r="H42" s="2139"/>
      <c r="I42" s="1080" t="e">
        <f>V42</f>
        <v>#DIV/0!</v>
      </c>
      <c r="J42" s="2139"/>
      <c r="K42" s="2141">
        <f>F42+H42+J42</f>
        <v>0</v>
      </c>
      <c r="L42" s="869"/>
      <c r="M42" s="857"/>
      <c r="N42" s="857"/>
      <c r="O42" s="857"/>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385"/>
      <c r="Y42" s="385"/>
      <c r="Z42" s="385"/>
      <c r="AA42" s="385"/>
      <c r="AB42" s="385"/>
      <c r="AC42" s="385"/>
    </row>
    <row r="43" spans="1:29" ht="15.75" thickBot="1">
      <c r="A43" s="427" t="s">
        <v>1794</v>
      </c>
      <c r="B43" s="428"/>
      <c r="C43" s="351" t="e">
        <f>R43</f>
        <v>#DIV/0!</v>
      </c>
      <c r="D43" s="351"/>
      <c r="E43" s="351"/>
      <c r="F43" s="351"/>
      <c r="G43" s="351"/>
      <c r="H43" s="351"/>
      <c r="I43" s="351"/>
      <c r="J43" s="351"/>
      <c r="K43" s="671"/>
      <c r="L43" s="869"/>
      <c r="M43" s="857"/>
      <c r="N43" s="857"/>
      <c r="O43" s="857"/>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385"/>
      <c r="Y43" s="385"/>
      <c r="Z43" s="385"/>
      <c r="AA43" s="385"/>
      <c r="AB43" s="385"/>
      <c r="AC43" s="385"/>
    </row>
    <row r="44" spans="1:29">
      <c r="A44" s="2483"/>
      <c r="B44" s="2483"/>
      <c r="C44" s="2483"/>
      <c r="D44" s="2483"/>
      <c r="E44" s="2483"/>
      <c r="F44" s="2483"/>
      <c r="G44" s="2494"/>
      <c r="H44" s="2483"/>
      <c r="I44" s="2483"/>
      <c r="J44" s="2483"/>
      <c r="K44" s="2495"/>
      <c r="L44" s="832"/>
      <c r="M44" s="857"/>
      <c r="N44" s="857"/>
      <c r="O44" s="857"/>
    </row>
    <row r="45" spans="1:29">
      <c r="A45" s="2483"/>
      <c r="B45" s="2483"/>
      <c r="C45" s="2483"/>
      <c r="D45" s="2483"/>
      <c r="E45" s="2483"/>
      <c r="F45" s="2483"/>
      <c r="G45" s="2483"/>
      <c r="H45" s="2483"/>
      <c r="I45" s="2483"/>
      <c r="J45" s="2483"/>
      <c r="K45" s="2495"/>
      <c r="L45" s="832"/>
      <c r="M45" s="857"/>
      <c r="N45" s="857"/>
      <c r="O45" s="857"/>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2"/>
      <c r="M46" s="857"/>
      <c r="N46" s="857"/>
      <c r="O46" s="857"/>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2"/>
      <c r="M47" s="857"/>
      <c r="N47" s="857"/>
      <c r="O47" s="857"/>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2"/>
      <c r="M48" s="870"/>
      <c r="N48" s="870"/>
      <c r="O48" s="870"/>
    </row>
    <row r="49" spans="1:17" s="437" customFormat="1">
      <c r="A49" s="2493"/>
      <c r="B49" s="2496"/>
      <c r="C49" s="2497"/>
      <c r="D49" s="2493"/>
      <c r="E49" s="2493"/>
      <c r="F49" s="2493"/>
      <c r="G49" s="2493"/>
      <c r="H49" s="2493"/>
      <c r="I49" s="2493"/>
      <c r="J49" s="2493"/>
      <c r="K49" s="2498"/>
      <c r="L49" s="872"/>
      <c r="M49" s="870"/>
      <c r="N49" s="870"/>
      <c r="O49" s="870"/>
    </row>
    <row r="50" spans="1:17">
      <c r="A50" s="2483"/>
      <c r="B50" s="2496"/>
      <c r="C50" s="2497"/>
      <c r="D50" s="2483"/>
      <c r="E50" s="2483"/>
      <c r="F50" s="2483"/>
      <c r="G50" s="2483"/>
      <c r="H50" s="2483"/>
      <c r="I50" s="2483"/>
      <c r="J50" s="2483"/>
      <c r="K50" s="2495"/>
      <c r="L50" s="832"/>
      <c r="M50" s="857"/>
      <c r="N50" s="857"/>
      <c r="O50" s="857"/>
    </row>
    <row r="51" spans="1:17" ht="21.75" thickBot="1">
      <c r="A51" s="654" t="s">
        <v>1798</v>
      </c>
      <c r="B51" s="385"/>
      <c r="C51" s="655"/>
      <c r="D51" s="655"/>
      <c r="E51" s="655"/>
      <c r="F51" s="656"/>
      <c r="G51" s="656"/>
      <c r="H51" s="655"/>
      <c r="I51" s="655"/>
      <c r="J51" s="655"/>
      <c r="K51" s="883"/>
      <c r="L51" s="884"/>
      <c r="M51" s="882"/>
      <c r="N51" s="882"/>
      <c r="O51" s="882"/>
      <c r="P51" s="438"/>
      <c r="Q51" s="439"/>
    </row>
    <row r="52" spans="1:17" s="442" customFormat="1" ht="15">
      <c r="A52" s="440" t="s">
        <v>1679</v>
      </c>
      <c r="B52" s="441"/>
      <c r="C52" s="1100" t="str">
        <f>YEAR(C7)&amp;"-"&amp;MONTH(C7)</f>
        <v>2023-10</v>
      </c>
      <c r="D52" s="1101">
        <f>EDATE(C52,-1)</f>
        <v>45170</v>
      </c>
      <c r="E52" s="1101">
        <f t="shared" ref="E52:O52" si="16">EDATE(D52,-1)</f>
        <v>45139</v>
      </c>
      <c r="F52" s="1101">
        <f t="shared" si="16"/>
        <v>45108</v>
      </c>
      <c r="G52" s="1101">
        <f t="shared" si="16"/>
        <v>45078</v>
      </c>
      <c r="H52" s="1101">
        <f t="shared" si="16"/>
        <v>45047</v>
      </c>
      <c r="I52" s="1101">
        <f t="shared" si="16"/>
        <v>45017</v>
      </c>
      <c r="J52" s="1101">
        <f t="shared" si="16"/>
        <v>44986</v>
      </c>
      <c r="K52" s="1101">
        <f t="shared" si="16"/>
        <v>44958</v>
      </c>
      <c r="L52" s="1101">
        <f t="shared" si="16"/>
        <v>44927</v>
      </c>
      <c r="M52" s="1101">
        <f t="shared" si="16"/>
        <v>44896</v>
      </c>
      <c r="N52" s="1101">
        <f t="shared" si="16"/>
        <v>44866</v>
      </c>
      <c r="O52" s="1101">
        <f t="shared" si="16"/>
        <v>44835</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4"/>
      <c r="O55" s="874"/>
      <c r="P55" s="459"/>
      <c r="Q55" s="439"/>
    </row>
    <row r="56" spans="1:17" s="102" customFormat="1" ht="15.75" thickBot="1">
      <c r="A56" s="455"/>
      <c r="B56" s="444"/>
      <c r="C56" s="562">
        <v>100</v>
      </c>
      <c r="D56" s="446"/>
      <c r="E56" s="446"/>
      <c r="F56" s="446"/>
      <c r="G56" s="446"/>
      <c r="H56" s="446"/>
      <c r="I56" s="446"/>
      <c r="J56" s="446"/>
      <c r="K56" s="446"/>
      <c r="L56" s="446"/>
      <c r="M56" s="448"/>
      <c r="N56" s="874"/>
      <c r="O56" s="874"/>
      <c r="P56" s="439"/>
      <c r="Q56" s="439"/>
    </row>
    <row r="57" spans="1:17">
      <c r="A57" s="379" t="s">
        <v>1719</v>
      </c>
      <c r="B57" s="460" t="s">
        <v>1685</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1688</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0"/>
      <c r="N76" s="876"/>
      <c r="O76" s="876"/>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6"/>
      <c r="O77" s="876"/>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1694</v>
      </c>
      <c r="B88" s="460" t="s">
        <v>1736</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1738</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1740</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7"/>
      <c r="J98" s="547"/>
      <c r="K98" s="548"/>
      <c r="L98" s="549"/>
      <c r="M98" s="550"/>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1741</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1742</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1744</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6"/>
      <c r="O106" s="876"/>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Q72" sqref="Q72"/>
      <selection pane="bottomLeft" activeCell="B31" sqref="B31"/>
    </sheetView>
  </sheetViews>
  <sheetFormatPr defaultColWidth="9" defaultRowHeight="12.75"/>
  <cols>
    <col min="1" max="1" width="11.5" style="122" customWidth="1"/>
    <col min="2" max="2" width="9.25" style="24" customWidth="1"/>
    <col min="3" max="3" width="5.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0"/>
    <col min="46" max="16384" width="9" style="122"/>
  </cols>
  <sheetData>
    <row r="1" spans="1:45" ht="14.25" customHeight="1" thickBot="1">
      <c r="A1" s="138"/>
      <c r="B1" s="925" t="s">
        <v>2083</v>
      </c>
      <c r="C1" s="3540" t="s">
        <v>2084</v>
      </c>
      <c r="D1" s="3541"/>
      <c r="E1" s="3541"/>
      <c r="F1" s="3541"/>
      <c r="G1" s="3541"/>
      <c r="H1" s="3541"/>
      <c r="I1" s="3541"/>
      <c r="J1" s="3541"/>
      <c r="K1" s="3541"/>
      <c r="L1" s="3541"/>
      <c r="M1" s="3541"/>
      <c r="N1" s="3541"/>
      <c r="O1" s="3541"/>
      <c r="P1" s="3541"/>
      <c r="Q1" s="3541"/>
      <c r="R1" s="3541"/>
      <c r="S1" s="3542"/>
      <c r="T1" s="925" t="s">
        <v>1989</v>
      </c>
    </row>
    <row r="2" spans="1:45" s="624" customFormat="1" ht="38.25">
      <c r="A2" s="926"/>
      <c r="B2" s="621" t="s">
        <v>1065</v>
      </c>
      <c r="C2" s="14" t="str">
        <f t="shared" ref="C2:R2" si="0">C3&amp;"(含)"&amp;"-"&amp;D3</f>
        <v>0(含)-100</v>
      </c>
      <c r="D2" s="622" t="str">
        <f t="shared" si="0"/>
        <v>100(含)-200</v>
      </c>
      <c r="E2" s="622" t="str">
        <f t="shared" si="0"/>
        <v>200(含)-300</v>
      </c>
      <c r="F2" s="622" t="str">
        <f t="shared" si="0"/>
        <v>300(含)-500</v>
      </c>
      <c r="G2" s="622" t="str">
        <f t="shared" si="0"/>
        <v>500(含)-1000</v>
      </c>
      <c r="H2" s="622" t="str">
        <f t="shared" si="0"/>
        <v>1000(含)-1500</v>
      </c>
      <c r="I2" s="622" t="str">
        <f t="shared" si="0"/>
        <v>1500(含)-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7" t="str">
        <f>S3&amp;"(含)"&amp;"-"</f>
        <v>(含)-</v>
      </c>
      <c r="T2" s="623"/>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ht="14.25">
      <c r="A3" s="928"/>
      <c r="B3" s="625"/>
      <c r="C3" s="6">
        <v>0</v>
      </c>
      <c r="D3" s="6">
        <v>100</v>
      </c>
      <c r="E3" s="6">
        <v>200</v>
      </c>
      <c r="F3" s="6">
        <v>300</v>
      </c>
      <c r="G3" s="6">
        <v>500</v>
      </c>
      <c r="H3" s="524">
        <v>1000</v>
      </c>
      <c r="I3" s="524">
        <v>1500</v>
      </c>
      <c r="J3" s="1217"/>
      <c r="K3" s="1217"/>
      <c r="L3" s="1218"/>
      <c r="M3" s="1219"/>
      <c r="N3" s="1219"/>
      <c r="O3" s="1217"/>
      <c r="P3" s="1217"/>
      <c r="Q3" s="1217"/>
      <c r="R3" s="1217"/>
      <c r="S3" s="1220"/>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5" thickBot="1">
      <c r="A4" s="929"/>
      <c r="B4" s="930"/>
      <c r="C4" s="491">
        <v>100</v>
      </c>
      <c r="D4" s="467">
        <f>C4-1</f>
        <v>99</v>
      </c>
      <c r="E4" s="467">
        <f t="shared" ref="E4:I4" si="1">D4-1</f>
        <v>98</v>
      </c>
      <c r="F4" s="467">
        <f t="shared" si="1"/>
        <v>97</v>
      </c>
      <c r="G4" s="467">
        <f t="shared" si="1"/>
        <v>96</v>
      </c>
      <c r="H4" s="467">
        <f t="shared" si="1"/>
        <v>95</v>
      </c>
      <c r="I4" s="467">
        <f t="shared" si="1"/>
        <v>94</v>
      </c>
      <c r="J4" s="1221"/>
      <c r="K4" s="1221"/>
      <c r="L4" s="1221"/>
      <c r="M4" s="1222"/>
      <c r="N4" s="1222"/>
      <c r="O4" s="1221"/>
      <c r="P4" s="1221"/>
      <c r="Q4" s="1221"/>
      <c r="R4" s="1221"/>
      <c r="S4" s="1223"/>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14.25" thickTop="1">
      <c r="A5" s="921"/>
      <c r="B5" s="3159" t="s">
        <v>3526</v>
      </c>
      <c r="C5" s="3150" t="s">
        <v>3494</v>
      </c>
      <c r="D5" s="3150" t="s">
        <v>3495</v>
      </c>
      <c r="E5" s="3150" t="s">
        <v>3496</v>
      </c>
      <c r="F5" s="3149" t="s">
        <v>3497</v>
      </c>
      <c r="G5" s="1224"/>
      <c r="H5" s="1224"/>
      <c r="I5" s="1224"/>
      <c r="J5" s="1224"/>
      <c r="K5" s="1224"/>
      <c r="L5" s="1225"/>
      <c r="M5" s="1226"/>
      <c r="N5" s="1226"/>
      <c r="O5" s="1224"/>
      <c r="P5" s="1224"/>
      <c r="Q5" s="1224"/>
      <c r="R5" s="1224"/>
      <c r="S5" s="1227"/>
      <c r="T5" s="939">
        <f>'比较法-商业'!K42</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98</v>
      </c>
      <c r="E6" s="845">
        <f t="shared" ref="E6:S6" si="2">D6-$T5</f>
        <v>96</v>
      </c>
      <c r="F6" s="1228">
        <f t="shared" si="2"/>
        <v>94</v>
      </c>
      <c r="G6" s="1228">
        <f t="shared" si="2"/>
        <v>92</v>
      </c>
      <c r="H6" s="1228">
        <f t="shared" si="2"/>
        <v>90</v>
      </c>
      <c r="I6" s="1228">
        <f t="shared" si="2"/>
        <v>88</v>
      </c>
      <c r="J6" s="1228">
        <f t="shared" si="2"/>
        <v>86</v>
      </c>
      <c r="K6" s="1228">
        <f t="shared" si="2"/>
        <v>84</v>
      </c>
      <c r="L6" s="1228">
        <f t="shared" si="2"/>
        <v>82</v>
      </c>
      <c r="M6" s="1228">
        <f t="shared" si="2"/>
        <v>80</v>
      </c>
      <c r="N6" s="1228">
        <f t="shared" si="2"/>
        <v>78</v>
      </c>
      <c r="O6" s="1228">
        <f t="shared" si="2"/>
        <v>76</v>
      </c>
      <c r="P6" s="1228">
        <f t="shared" si="2"/>
        <v>74</v>
      </c>
      <c r="Q6" s="1228">
        <f t="shared" si="2"/>
        <v>72</v>
      </c>
      <c r="R6" s="1228">
        <f t="shared" si="2"/>
        <v>70</v>
      </c>
      <c r="S6" s="1228">
        <f t="shared" si="2"/>
        <v>68</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21"/>
      <c r="B7" s="3159"/>
      <c r="C7" s="3150"/>
      <c r="D7" s="3150"/>
      <c r="E7" s="3150"/>
      <c r="F7" s="3149"/>
      <c r="G7" s="1229"/>
      <c r="H7" s="1229"/>
      <c r="I7" s="1229"/>
      <c r="J7" s="1229"/>
      <c r="K7" s="1229"/>
      <c r="L7" s="1229"/>
      <c r="M7" s="1230"/>
      <c r="N7" s="1231"/>
      <c r="O7" s="1232"/>
      <c r="P7" s="1232"/>
      <c r="Q7" s="1233"/>
      <c r="R7" s="1234"/>
      <c r="S7" s="1235"/>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100</v>
      </c>
      <c r="E8" s="845">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1"/>
      <c r="B9" s="1247" t="s">
        <v>2087</v>
      </c>
      <c r="C9" s="847"/>
      <c r="D9" s="841"/>
      <c r="E9" s="841"/>
      <c r="F9" s="1229"/>
      <c r="G9" s="1229"/>
      <c r="H9" s="1229"/>
      <c r="I9" s="1229"/>
      <c r="J9" s="1229"/>
      <c r="K9" s="1229"/>
      <c r="L9" s="1236"/>
      <c r="M9" s="1230"/>
      <c r="N9" s="1231"/>
      <c r="O9" s="1232"/>
      <c r="P9" s="1232"/>
      <c r="Q9" s="1233"/>
      <c r="R9" s="1234"/>
      <c r="S9" s="1235"/>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1"/>
      <c r="B10" s="930"/>
      <c r="C10" s="940">
        <v>100</v>
      </c>
      <c r="D10" s="711">
        <f>C10-$T9</f>
        <v>100</v>
      </c>
      <c r="E10" s="711">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1"/>
      <c r="B11" s="1246" t="s">
        <v>2088</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1"/>
      <c r="B12" s="842"/>
      <c r="C12" s="848">
        <v>100</v>
      </c>
      <c r="D12" s="845">
        <f>C12-$T11</f>
        <v>100</v>
      </c>
      <c r="E12" s="845">
        <f t="shared" ref="E12:S12" si="5">D12-$T11</f>
        <v>100</v>
      </c>
      <c r="F12" s="845">
        <f t="shared" si="5"/>
        <v>100</v>
      </c>
      <c r="G12" s="845">
        <f t="shared" si="5"/>
        <v>100</v>
      </c>
      <c r="H12" s="845">
        <f t="shared" si="5"/>
        <v>100</v>
      </c>
      <c r="I12" s="845">
        <f t="shared" si="5"/>
        <v>100</v>
      </c>
      <c r="J12" s="845">
        <f t="shared" si="5"/>
        <v>100</v>
      </c>
      <c r="K12" s="845">
        <f t="shared" si="5"/>
        <v>100</v>
      </c>
      <c r="L12" s="845">
        <f t="shared" si="5"/>
        <v>100</v>
      </c>
      <c r="M12" s="845">
        <f t="shared" si="5"/>
        <v>100</v>
      </c>
      <c r="N12" s="845">
        <f t="shared" si="5"/>
        <v>100</v>
      </c>
      <c r="O12" s="845">
        <f t="shared" si="5"/>
        <v>100</v>
      </c>
      <c r="P12" s="845">
        <f t="shared" si="5"/>
        <v>100</v>
      </c>
      <c r="Q12" s="845">
        <f t="shared" si="5"/>
        <v>100</v>
      </c>
      <c r="R12" s="845">
        <f>Q12-$T11</f>
        <v>100</v>
      </c>
      <c r="S12" s="845">
        <f t="shared" si="5"/>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1"/>
      <c r="B13" s="1246" t="s">
        <v>2089</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1"/>
      <c r="B15" s="1246" t="s">
        <v>2090</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4" customFormat="1">
      <c r="A17" s="1983" t="s">
        <v>2091</v>
      </c>
      <c r="B17" s="1984" t="s">
        <v>2092</v>
      </c>
      <c r="C17" s="949" t="s">
        <v>3527</v>
      </c>
      <c r="D17" s="950" t="s">
        <v>3528</v>
      </c>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1"/>
      <c r="AS17" s="681"/>
    </row>
    <row r="18" spans="1:45" s="624" customFormat="1" ht="13.5" thickBot="1">
      <c r="A18" s="958"/>
      <c r="B18" s="959"/>
      <c r="C18" s="960">
        <v>100</v>
      </c>
      <c r="D18" s="961">
        <v>75</v>
      </c>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1"/>
      <c r="AS18" s="681"/>
    </row>
    <row r="19" spans="1:45">
      <c r="A19" s="121"/>
      <c r="B19" s="151"/>
      <c r="C19" s="151"/>
      <c r="D19" s="1985" t="s">
        <v>2093</v>
      </c>
      <c r="E19" s="1250"/>
      <c r="F19" s="1250"/>
      <c r="G19" s="1250"/>
      <c r="H19" s="993"/>
      <c r="I19" s="151"/>
      <c r="J19" s="151"/>
      <c r="K19" s="151"/>
      <c r="L19" s="151"/>
      <c r="M19" s="151"/>
      <c r="N19" s="151"/>
      <c r="O19" s="151"/>
      <c r="P19" s="151"/>
      <c r="Q19" s="151"/>
      <c r="R19" s="151"/>
      <c r="S19" s="121"/>
    </row>
    <row r="20" spans="1:45" ht="16.5" thickBot="1">
      <c r="A20" s="629" t="s">
        <v>2094</v>
      </c>
      <c r="B20" s="286">
        <f>IF(D20="——",S22,S22-F20)</f>
        <v>0</v>
      </c>
      <c r="C20" s="151"/>
      <c r="D20" s="1986" t="s">
        <v>43</v>
      </c>
      <c r="E20" s="1251"/>
      <c r="F20" s="925" t="e">
        <f ca="1">SUMIF(INDIRECT("'"&amp;H20&amp;"'"&amp;"!A:A"),"承租人权益价值",INDIRECT("'"&amp;H20&amp;"'"&amp;"!c:c"))</f>
        <v>#REF!</v>
      </c>
      <c r="G20" s="925" t="s">
        <v>2095</v>
      </c>
      <c r="H20" s="1987"/>
      <c r="I20" s="151"/>
      <c r="J20" s="151"/>
      <c r="K20" s="151"/>
      <c r="L20" s="151"/>
      <c r="M20" s="151"/>
      <c r="N20" s="151"/>
      <c r="O20" s="151"/>
      <c r="P20" s="151"/>
      <c r="Q20" s="151"/>
      <c r="R20" s="151"/>
      <c r="S20" s="121"/>
    </row>
    <row r="21" spans="1:45" ht="15.75">
      <c r="A21" s="629"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3349.52</v>
      </c>
      <c r="C22" s="3537" t="s">
        <v>27</v>
      </c>
      <c r="D22" s="3538"/>
      <c r="E22" s="3538"/>
      <c r="F22" s="3538"/>
      <c r="G22" s="3538"/>
      <c r="H22" s="3538"/>
      <c r="I22" s="3538"/>
      <c r="J22" s="3538"/>
      <c r="K22" s="3538"/>
      <c r="L22" s="3538"/>
      <c r="M22" s="3538"/>
      <c r="N22" s="3538"/>
      <c r="O22" s="3538"/>
      <c r="P22" s="3538"/>
      <c r="Q22" s="3539"/>
      <c r="R22" s="21">
        <f>ROUND(S22*10000/B22,0)</f>
        <v>0</v>
      </c>
      <c r="S22" s="21">
        <f>SUM(S24:S10000)</f>
        <v>0</v>
      </c>
    </row>
    <row r="23" spans="1:45" s="9" customFormat="1" ht="24">
      <c r="A23" s="8" t="s">
        <v>2098</v>
      </c>
      <c r="B23" s="8" t="s">
        <v>2099</v>
      </c>
      <c r="C23" s="8" t="s">
        <v>2100</v>
      </c>
      <c r="D23" s="8" t="str">
        <f>B5</f>
        <v>内部装修</v>
      </c>
      <c r="E23" s="8" t="s">
        <v>2100</v>
      </c>
      <c r="F23" s="8">
        <f>B7</f>
        <v>0</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61" t="str">
        <f>明细表!E8</f>
        <v>3</v>
      </c>
      <c r="B24" s="3162">
        <f>明细表!F8</f>
        <v>837.38</v>
      </c>
      <c r="C24" s="2566">
        <v>1</v>
      </c>
      <c r="D24" s="2567" t="s">
        <v>3495</v>
      </c>
      <c r="E24" s="2566">
        <v>1</v>
      </c>
      <c r="F24" s="2567"/>
      <c r="G24" s="2566">
        <v>1</v>
      </c>
      <c r="H24" s="2567"/>
      <c r="I24" s="2566">
        <v>1</v>
      </c>
      <c r="J24" s="2567"/>
      <c r="K24" s="2566">
        <v>1</v>
      </c>
      <c r="L24" s="2567"/>
      <c r="M24" s="2566">
        <v>1</v>
      </c>
      <c r="N24" s="2567"/>
      <c r="O24" s="2566">
        <v>1</v>
      </c>
      <c r="P24" s="2567" t="s">
        <v>3509</v>
      </c>
      <c r="Q24" s="2566">
        <v>1</v>
      </c>
      <c r="R24" s="3164">
        <f>'比较法-办公'!C49</f>
        <v>1.7</v>
      </c>
      <c r="S24" s="630">
        <f t="shared" ref="S24:S87" si="6">ROUND(R24*B24/10000,0)</f>
        <v>0</v>
      </c>
      <c r="T24" s="685" t="str">
        <f>明细表!D5</f>
        <v>16#增配商业</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63" t="str">
        <f>明细表!E9</f>
        <v>4</v>
      </c>
      <c r="B25" s="2229">
        <f>明细表!F9</f>
        <v>837.38</v>
      </c>
      <c r="C25" s="21">
        <f>IF(B25="",1,(LOOKUP(B25,$3:$3,$4:$4)-LOOKUP($B$24,$3:$3,$4:$4)+100)/100)</f>
        <v>1</v>
      </c>
      <c r="D25" s="631" t="s">
        <v>3497</v>
      </c>
      <c r="E25" s="21">
        <f>(SUMIF($5:$5,D25,$6:$6)-SUMIF($5:$5,$D$24,$6:$6)+100)/100</f>
        <v>0.96</v>
      </c>
      <c r="F25" s="631"/>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631" t="s">
        <v>3529</v>
      </c>
      <c r="Q25" s="21">
        <f>(SUMIF($17:$17,P25,$18:$18)-SUMIF($17:$17,$P$24,$18:$18)+100)/100</f>
        <v>0.75</v>
      </c>
      <c r="R25" s="3165">
        <f>IF(B25="",0,ROUND($R$24*C25*E25*G25*I25*K25*M25*O25*Q25,2))</f>
        <v>1.22</v>
      </c>
      <c r="S25" s="308">
        <f t="shared" si="6"/>
        <v>0</v>
      </c>
      <c r="T25" s="680" t="str">
        <f>T24</f>
        <v>16#增配商业</v>
      </c>
    </row>
    <row r="26" spans="1:45">
      <c r="A26" s="3163" t="str">
        <f>明细表!E10</f>
        <v>5</v>
      </c>
      <c r="B26" s="2229">
        <f>明细表!F10</f>
        <v>837.38</v>
      </c>
      <c r="C26" s="21">
        <f t="shared" ref="C26:C89" si="7">IF(B26="",1,(LOOKUP(B26,$3:$3,$4:$4)-LOOKUP($B$24,$3:$3,$4:$4)+100)/100)</f>
        <v>1</v>
      </c>
      <c r="D26" s="631" t="s">
        <v>3495</v>
      </c>
      <c r="E26" s="21">
        <f t="shared" ref="E26:E89" si="8">(SUMIF($5:$5,D26,$6:$6)-SUMIF($5:$5,$D$24,$6:$6)+100)/100</f>
        <v>1</v>
      </c>
      <c r="F26" s="631"/>
      <c r="G26" s="21">
        <f t="shared" ref="G26:G89" si="9">(SUMIF($7:$7,F26,$8:$8)-SUMIF($7:$7,$F$24,$8:$8)+100)/100</f>
        <v>1</v>
      </c>
      <c r="H26" s="631"/>
      <c r="I26" s="21">
        <f t="shared" ref="I26:I89" si="10">(SUMIF($9:$9,H26,$10:$10)-SUMIF($9:$9,$H$24,$10:$10)+100)/100</f>
        <v>1</v>
      </c>
      <c r="J26" s="631"/>
      <c r="K26" s="21">
        <f t="shared" ref="K26:K89" si="11">(SUMIF($11:$11,J26,$12:$12)-SUMIF($11:$11,$J$24,$12:$12)+100)/100</f>
        <v>1</v>
      </c>
      <c r="L26" s="631"/>
      <c r="M26" s="21">
        <f t="shared" ref="M26:M89" si="12">(SUMIF($13:$13,L26,$14:$14)-SUMIF($13:$13,$L$24,$14:$14)+100)/100</f>
        <v>1</v>
      </c>
      <c r="N26" s="631"/>
      <c r="O26" s="21">
        <f t="shared" ref="O26:O89" si="13">(SUMIF($15:$15,N26,$16:$16)-SUMIF($15:$15,$N$24,$16:$16)+100)/100</f>
        <v>1</v>
      </c>
      <c r="P26" s="2567" t="s">
        <v>3509</v>
      </c>
      <c r="Q26" s="21">
        <f t="shared" ref="Q26:Q89" si="14">(SUMIF($17:$17,P26,$18:$18)-SUMIF($17:$17,$P$24,$18:$18)+100)/100</f>
        <v>1</v>
      </c>
      <c r="R26" s="3165">
        <f t="shared" ref="R26:R89" si="15">IF(B26="",0,ROUND($R$24*C26*E26*G26*I26*K26*M26*O26*Q26,2))</f>
        <v>1.7</v>
      </c>
      <c r="S26" s="308">
        <f t="shared" si="6"/>
        <v>0</v>
      </c>
      <c r="T26" s="680" t="str">
        <f>明细表!D17</f>
        <v>17#增配商业</v>
      </c>
    </row>
    <row r="27" spans="1:45">
      <c r="A27" s="3163" t="str">
        <f>明细表!E11</f>
        <v>6</v>
      </c>
      <c r="B27" s="2229">
        <f>明细表!F11</f>
        <v>837.38</v>
      </c>
      <c r="C27" s="21">
        <f t="shared" si="7"/>
        <v>1</v>
      </c>
      <c r="D27" s="631" t="s">
        <v>3497</v>
      </c>
      <c r="E27" s="21">
        <f t="shared" si="8"/>
        <v>0.96</v>
      </c>
      <c r="F27" s="631"/>
      <c r="G27" s="21">
        <f t="shared" si="9"/>
        <v>1</v>
      </c>
      <c r="H27" s="631"/>
      <c r="I27" s="21">
        <f t="shared" si="10"/>
        <v>1</v>
      </c>
      <c r="J27" s="631"/>
      <c r="K27" s="21">
        <f t="shared" si="11"/>
        <v>1</v>
      </c>
      <c r="L27" s="631"/>
      <c r="M27" s="21">
        <f t="shared" si="12"/>
        <v>1</v>
      </c>
      <c r="N27" s="631"/>
      <c r="O27" s="21">
        <f t="shared" si="13"/>
        <v>1</v>
      </c>
      <c r="P27" s="631" t="s">
        <v>3529</v>
      </c>
      <c r="Q27" s="21">
        <f t="shared" si="14"/>
        <v>0.75</v>
      </c>
      <c r="R27" s="3165">
        <f t="shared" si="15"/>
        <v>1.22</v>
      </c>
      <c r="S27" s="308">
        <f t="shared" si="6"/>
        <v>0</v>
      </c>
      <c r="T27" s="680" t="str">
        <f>T26</f>
        <v>17#增配商业</v>
      </c>
    </row>
    <row r="28" spans="1:45">
      <c r="A28" s="3163"/>
      <c r="B28" s="2229"/>
      <c r="C28" s="21">
        <f t="shared" si="7"/>
        <v>1</v>
      </c>
      <c r="D28" s="631"/>
      <c r="E28" s="21">
        <f t="shared" si="8"/>
        <v>0.02</v>
      </c>
      <c r="F28" s="631"/>
      <c r="G28" s="21">
        <f t="shared" si="9"/>
        <v>1</v>
      </c>
      <c r="H28" s="631"/>
      <c r="I28" s="21">
        <f t="shared" si="10"/>
        <v>1</v>
      </c>
      <c r="J28" s="631"/>
      <c r="K28" s="21">
        <f t="shared" si="11"/>
        <v>1</v>
      </c>
      <c r="L28" s="631"/>
      <c r="M28" s="21">
        <f t="shared" si="12"/>
        <v>1</v>
      </c>
      <c r="N28" s="631"/>
      <c r="O28" s="21">
        <f t="shared" si="13"/>
        <v>1</v>
      </c>
      <c r="P28" s="631"/>
      <c r="Q28" s="21">
        <f t="shared" si="14"/>
        <v>0</v>
      </c>
      <c r="R28" s="3165">
        <f t="shared" si="15"/>
        <v>0</v>
      </c>
      <c r="S28" s="308">
        <f t="shared" si="6"/>
        <v>0</v>
      </c>
    </row>
    <row r="29" spans="1:45">
      <c r="A29" s="142"/>
      <c r="B29" s="52"/>
      <c r="C29" s="21">
        <f t="shared" si="7"/>
        <v>1</v>
      </c>
      <c r="D29" s="631"/>
      <c r="E29" s="21">
        <f t="shared" si="8"/>
        <v>0.02</v>
      </c>
      <c r="F29" s="631"/>
      <c r="G29" s="21">
        <f t="shared" si="9"/>
        <v>1</v>
      </c>
      <c r="H29" s="631"/>
      <c r="I29" s="21">
        <f t="shared" si="10"/>
        <v>1</v>
      </c>
      <c r="J29" s="631"/>
      <c r="K29" s="21">
        <f t="shared" si="11"/>
        <v>1</v>
      </c>
      <c r="L29" s="631"/>
      <c r="M29" s="21">
        <f t="shared" si="12"/>
        <v>1</v>
      </c>
      <c r="N29" s="631"/>
      <c r="O29" s="21">
        <f t="shared" si="13"/>
        <v>1</v>
      </c>
      <c r="P29" s="631"/>
      <c r="Q29" s="21">
        <f t="shared" si="14"/>
        <v>0</v>
      </c>
      <c r="R29" s="3165">
        <f t="shared" si="15"/>
        <v>0</v>
      </c>
      <c r="S29" s="308">
        <f t="shared" si="6"/>
        <v>0</v>
      </c>
    </row>
    <row r="30" spans="1:45">
      <c r="A30" s="142"/>
      <c r="B30" s="52"/>
      <c r="C30" s="21">
        <f t="shared" si="7"/>
        <v>1</v>
      </c>
      <c r="D30" s="631"/>
      <c r="E30" s="21">
        <f t="shared" si="8"/>
        <v>0.02</v>
      </c>
      <c r="F30" s="631"/>
      <c r="G30" s="21">
        <f t="shared" si="9"/>
        <v>1</v>
      </c>
      <c r="H30" s="631"/>
      <c r="I30" s="21">
        <f t="shared" si="10"/>
        <v>1</v>
      </c>
      <c r="J30" s="631"/>
      <c r="K30" s="21">
        <f t="shared" si="11"/>
        <v>1</v>
      </c>
      <c r="L30" s="631"/>
      <c r="M30" s="21">
        <f t="shared" si="12"/>
        <v>1</v>
      </c>
      <c r="N30" s="631"/>
      <c r="O30" s="21">
        <f t="shared" si="13"/>
        <v>1</v>
      </c>
      <c r="P30" s="631"/>
      <c r="Q30" s="21">
        <f t="shared" si="14"/>
        <v>0</v>
      </c>
      <c r="R30" s="3165">
        <f t="shared" si="15"/>
        <v>0</v>
      </c>
      <c r="S30" s="308">
        <f t="shared" si="6"/>
        <v>0</v>
      </c>
    </row>
    <row r="31" spans="1:45">
      <c r="A31" s="142"/>
      <c r="B31" s="52"/>
      <c r="C31" s="21">
        <f t="shared" si="7"/>
        <v>1</v>
      </c>
      <c r="D31" s="631"/>
      <c r="E31" s="21">
        <f t="shared" si="8"/>
        <v>0.02</v>
      </c>
      <c r="F31" s="631"/>
      <c r="G31" s="21">
        <f t="shared" si="9"/>
        <v>1</v>
      </c>
      <c r="H31" s="631"/>
      <c r="I31" s="21">
        <f t="shared" si="10"/>
        <v>1</v>
      </c>
      <c r="J31" s="631"/>
      <c r="K31" s="21">
        <f t="shared" si="11"/>
        <v>1</v>
      </c>
      <c r="L31" s="631"/>
      <c r="M31" s="21">
        <f t="shared" si="12"/>
        <v>1</v>
      </c>
      <c r="N31" s="631"/>
      <c r="O31" s="21">
        <f t="shared" si="13"/>
        <v>1</v>
      </c>
      <c r="P31" s="631"/>
      <c r="Q31" s="21">
        <f t="shared" si="14"/>
        <v>0</v>
      </c>
      <c r="R31" s="3165">
        <f t="shared" si="15"/>
        <v>0</v>
      </c>
      <c r="S31" s="308">
        <f t="shared" si="6"/>
        <v>0</v>
      </c>
    </row>
    <row r="32" spans="1:45">
      <c r="A32" s="142"/>
      <c r="B32" s="52"/>
      <c r="C32" s="21">
        <f t="shared" si="7"/>
        <v>1</v>
      </c>
      <c r="D32" s="631"/>
      <c r="E32" s="21">
        <f t="shared" si="8"/>
        <v>0.02</v>
      </c>
      <c r="F32" s="631"/>
      <c r="G32" s="21">
        <f t="shared" si="9"/>
        <v>1</v>
      </c>
      <c r="H32" s="631"/>
      <c r="I32" s="21">
        <f t="shared" si="10"/>
        <v>1</v>
      </c>
      <c r="J32" s="631"/>
      <c r="K32" s="21">
        <f t="shared" si="11"/>
        <v>1</v>
      </c>
      <c r="L32" s="631"/>
      <c r="M32" s="21">
        <f t="shared" si="12"/>
        <v>1</v>
      </c>
      <c r="N32" s="631"/>
      <c r="O32" s="21">
        <f t="shared" si="13"/>
        <v>1</v>
      </c>
      <c r="P32" s="631"/>
      <c r="Q32" s="21">
        <f t="shared" si="14"/>
        <v>0</v>
      </c>
      <c r="R32" s="3165">
        <f t="shared" si="15"/>
        <v>0</v>
      </c>
      <c r="S32" s="308">
        <f t="shared" si="6"/>
        <v>0</v>
      </c>
    </row>
    <row r="33" spans="1:19">
      <c r="A33" s="142"/>
      <c r="B33" s="52"/>
      <c r="C33" s="21">
        <f t="shared" si="7"/>
        <v>1</v>
      </c>
      <c r="D33" s="631"/>
      <c r="E33" s="21">
        <f t="shared" si="8"/>
        <v>0.02</v>
      </c>
      <c r="F33" s="631"/>
      <c r="G33" s="21">
        <f t="shared" si="9"/>
        <v>1</v>
      </c>
      <c r="H33" s="631"/>
      <c r="I33" s="21">
        <f t="shared" si="10"/>
        <v>1</v>
      </c>
      <c r="J33" s="631"/>
      <c r="K33" s="21">
        <f t="shared" si="11"/>
        <v>1</v>
      </c>
      <c r="L33" s="631"/>
      <c r="M33" s="21">
        <f t="shared" si="12"/>
        <v>1</v>
      </c>
      <c r="N33" s="631"/>
      <c r="O33" s="21">
        <f t="shared" si="13"/>
        <v>1</v>
      </c>
      <c r="P33" s="631"/>
      <c r="Q33" s="21">
        <f t="shared" si="14"/>
        <v>0</v>
      </c>
      <c r="R33" s="3165">
        <f t="shared" si="15"/>
        <v>0</v>
      </c>
      <c r="S33" s="308">
        <f t="shared" si="6"/>
        <v>0</v>
      </c>
    </row>
    <row r="34" spans="1:19">
      <c r="A34" s="142"/>
      <c r="B34" s="52"/>
      <c r="C34" s="21">
        <f t="shared" si="7"/>
        <v>1</v>
      </c>
      <c r="D34" s="631"/>
      <c r="E34" s="21">
        <f t="shared" si="8"/>
        <v>0.02</v>
      </c>
      <c r="F34" s="631"/>
      <c r="G34" s="21">
        <f t="shared" si="9"/>
        <v>1</v>
      </c>
      <c r="H34" s="631"/>
      <c r="I34" s="21">
        <f t="shared" si="10"/>
        <v>1</v>
      </c>
      <c r="J34" s="631"/>
      <c r="K34" s="21">
        <f t="shared" si="11"/>
        <v>1</v>
      </c>
      <c r="L34" s="631"/>
      <c r="M34" s="21">
        <f t="shared" si="12"/>
        <v>1</v>
      </c>
      <c r="N34" s="631"/>
      <c r="O34" s="21">
        <f t="shared" si="13"/>
        <v>1</v>
      </c>
      <c r="P34" s="631"/>
      <c r="Q34" s="21">
        <f t="shared" si="14"/>
        <v>0</v>
      </c>
      <c r="R34" s="3165">
        <f t="shared" si="15"/>
        <v>0</v>
      </c>
      <c r="S34" s="308">
        <f t="shared" si="6"/>
        <v>0</v>
      </c>
    </row>
    <row r="35" spans="1:19">
      <c r="A35" s="142"/>
      <c r="B35" s="52"/>
      <c r="C35" s="21">
        <f t="shared" si="7"/>
        <v>1</v>
      </c>
      <c r="D35" s="631"/>
      <c r="E35" s="21">
        <f t="shared" si="8"/>
        <v>0.02</v>
      </c>
      <c r="F35" s="631"/>
      <c r="G35" s="21">
        <f t="shared" si="9"/>
        <v>1</v>
      </c>
      <c r="H35" s="631"/>
      <c r="I35" s="21">
        <f t="shared" si="10"/>
        <v>1</v>
      </c>
      <c r="J35" s="631"/>
      <c r="K35" s="21">
        <f t="shared" si="11"/>
        <v>1</v>
      </c>
      <c r="L35" s="631"/>
      <c r="M35" s="21">
        <f t="shared" si="12"/>
        <v>1</v>
      </c>
      <c r="N35" s="631"/>
      <c r="O35" s="21">
        <f t="shared" si="13"/>
        <v>1</v>
      </c>
      <c r="P35" s="631"/>
      <c r="Q35" s="21">
        <f t="shared" si="14"/>
        <v>0</v>
      </c>
      <c r="R35" s="3165">
        <f t="shared" si="15"/>
        <v>0</v>
      </c>
      <c r="S35" s="308">
        <f t="shared" si="6"/>
        <v>0</v>
      </c>
    </row>
    <row r="36" spans="1:19">
      <c r="A36" s="142"/>
      <c r="B36" s="52"/>
      <c r="C36" s="21">
        <f t="shared" si="7"/>
        <v>1</v>
      </c>
      <c r="D36" s="631"/>
      <c r="E36" s="21">
        <f t="shared" si="8"/>
        <v>0.02</v>
      </c>
      <c r="F36" s="631"/>
      <c r="G36" s="21">
        <f t="shared" si="9"/>
        <v>1</v>
      </c>
      <c r="H36" s="631"/>
      <c r="I36" s="21">
        <f t="shared" si="10"/>
        <v>1</v>
      </c>
      <c r="J36" s="631"/>
      <c r="K36" s="21">
        <f t="shared" si="11"/>
        <v>1</v>
      </c>
      <c r="L36" s="631"/>
      <c r="M36" s="21">
        <f t="shared" si="12"/>
        <v>1</v>
      </c>
      <c r="N36" s="631"/>
      <c r="O36" s="21">
        <f t="shared" si="13"/>
        <v>1</v>
      </c>
      <c r="P36" s="631"/>
      <c r="Q36" s="21">
        <f t="shared" si="14"/>
        <v>0</v>
      </c>
      <c r="R36" s="3165">
        <f t="shared" si="15"/>
        <v>0</v>
      </c>
      <c r="S36" s="308">
        <f t="shared" si="6"/>
        <v>0</v>
      </c>
    </row>
    <row r="37" spans="1:19">
      <c r="A37" s="142"/>
      <c r="B37" s="52"/>
      <c r="C37" s="21">
        <f t="shared" si="7"/>
        <v>1</v>
      </c>
      <c r="D37" s="631"/>
      <c r="E37" s="21">
        <f t="shared" si="8"/>
        <v>0.02</v>
      </c>
      <c r="F37" s="631"/>
      <c r="G37" s="21">
        <f t="shared" si="9"/>
        <v>1</v>
      </c>
      <c r="H37" s="631"/>
      <c r="I37" s="21">
        <f t="shared" si="10"/>
        <v>1</v>
      </c>
      <c r="J37" s="631"/>
      <c r="K37" s="21">
        <f t="shared" si="11"/>
        <v>1</v>
      </c>
      <c r="L37" s="631"/>
      <c r="M37" s="21">
        <f t="shared" si="12"/>
        <v>1</v>
      </c>
      <c r="N37" s="631"/>
      <c r="O37" s="21">
        <f t="shared" si="13"/>
        <v>1</v>
      </c>
      <c r="P37" s="631"/>
      <c r="Q37" s="21">
        <f t="shared" si="14"/>
        <v>0</v>
      </c>
      <c r="R37" s="3165">
        <f t="shared" si="15"/>
        <v>0</v>
      </c>
      <c r="S37" s="308">
        <f t="shared" si="6"/>
        <v>0</v>
      </c>
    </row>
    <row r="38" spans="1:19">
      <c r="A38" s="142"/>
      <c r="B38" s="52"/>
      <c r="C38" s="21">
        <f t="shared" si="7"/>
        <v>1</v>
      </c>
      <c r="D38" s="631"/>
      <c r="E38" s="21">
        <f t="shared" si="8"/>
        <v>0.02</v>
      </c>
      <c r="F38" s="631"/>
      <c r="G38" s="21">
        <f t="shared" si="9"/>
        <v>1</v>
      </c>
      <c r="H38" s="631"/>
      <c r="I38" s="21">
        <f t="shared" si="10"/>
        <v>1</v>
      </c>
      <c r="J38" s="631"/>
      <c r="K38" s="21">
        <f t="shared" si="11"/>
        <v>1</v>
      </c>
      <c r="L38" s="631"/>
      <c r="M38" s="21">
        <f t="shared" si="12"/>
        <v>1</v>
      </c>
      <c r="N38" s="631"/>
      <c r="O38" s="21">
        <f t="shared" si="13"/>
        <v>1</v>
      </c>
      <c r="P38" s="631"/>
      <c r="Q38" s="21">
        <f t="shared" si="14"/>
        <v>0</v>
      </c>
      <c r="R38" s="3165">
        <f t="shared" si="15"/>
        <v>0</v>
      </c>
      <c r="S38" s="308">
        <f t="shared" si="6"/>
        <v>0</v>
      </c>
    </row>
    <row r="39" spans="1:19">
      <c r="A39" s="142"/>
      <c r="B39" s="52"/>
      <c r="C39" s="21">
        <f t="shared" si="7"/>
        <v>1</v>
      </c>
      <c r="D39" s="631"/>
      <c r="E39" s="21">
        <f t="shared" si="8"/>
        <v>0.02</v>
      </c>
      <c r="F39" s="631"/>
      <c r="G39" s="21">
        <f t="shared" si="9"/>
        <v>1</v>
      </c>
      <c r="H39" s="631"/>
      <c r="I39" s="21">
        <f t="shared" si="10"/>
        <v>1</v>
      </c>
      <c r="J39" s="631"/>
      <c r="K39" s="21">
        <f t="shared" si="11"/>
        <v>1</v>
      </c>
      <c r="L39" s="631"/>
      <c r="M39" s="21">
        <f t="shared" si="12"/>
        <v>1</v>
      </c>
      <c r="N39" s="631"/>
      <c r="O39" s="21">
        <f t="shared" si="13"/>
        <v>1</v>
      </c>
      <c r="P39" s="631"/>
      <c r="Q39" s="21">
        <f t="shared" si="14"/>
        <v>0</v>
      </c>
      <c r="R39" s="3165">
        <f t="shared" si="15"/>
        <v>0</v>
      </c>
      <c r="S39" s="308">
        <f t="shared" si="6"/>
        <v>0</v>
      </c>
    </row>
    <row r="40" spans="1:19">
      <c r="A40" s="142"/>
      <c r="B40" s="52"/>
      <c r="C40" s="21">
        <f t="shared" si="7"/>
        <v>1</v>
      </c>
      <c r="D40" s="631"/>
      <c r="E40" s="21">
        <f t="shared" si="8"/>
        <v>0.02</v>
      </c>
      <c r="F40" s="631"/>
      <c r="G40" s="21">
        <f t="shared" si="9"/>
        <v>1</v>
      </c>
      <c r="H40" s="631"/>
      <c r="I40" s="21">
        <f t="shared" si="10"/>
        <v>1</v>
      </c>
      <c r="J40" s="631"/>
      <c r="K40" s="21">
        <f t="shared" si="11"/>
        <v>1</v>
      </c>
      <c r="L40" s="631"/>
      <c r="M40" s="21">
        <f t="shared" si="12"/>
        <v>1</v>
      </c>
      <c r="N40" s="631"/>
      <c r="O40" s="21">
        <f t="shared" si="13"/>
        <v>1</v>
      </c>
      <c r="P40" s="631"/>
      <c r="Q40" s="21">
        <f t="shared" si="14"/>
        <v>0</v>
      </c>
      <c r="R40" s="3165">
        <f t="shared" si="15"/>
        <v>0</v>
      </c>
      <c r="S40" s="308">
        <f t="shared" si="6"/>
        <v>0</v>
      </c>
    </row>
    <row r="41" spans="1:19">
      <c r="A41" s="142"/>
      <c r="B41" s="52"/>
      <c r="C41" s="21">
        <f t="shared" si="7"/>
        <v>1</v>
      </c>
      <c r="D41" s="631"/>
      <c r="E41" s="21">
        <f t="shared" si="8"/>
        <v>0.02</v>
      </c>
      <c r="F41" s="631"/>
      <c r="G41" s="21">
        <f t="shared" si="9"/>
        <v>1</v>
      </c>
      <c r="H41" s="631"/>
      <c r="I41" s="21">
        <f t="shared" si="10"/>
        <v>1</v>
      </c>
      <c r="J41" s="631"/>
      <c r="K41" s="21">
        <f t="shared" si="11"/>
        <v>1</v>
      </c>
      <c r="L41" s="631"/>
      <c r="M41" s="21">
        <f t="shared" si="12"/>
        <v>1</v>
      </c>
      <c r="N41" s="631"/>
      <c r="O41" s="21">
        <f t="shared" si="13"/>
        <v>1</v>
      </c>
      <c r="P41" s="631"/>
      <c r="Q41" s="21">
        <f t="shared" si="14"/>
        <v>0</v>
      </c>
      <c r="R41" s="3165">
        <f t="shared" si="15"/>
        <v>0</v>
      </c>
      <c r="S41" s="308">
        <f t="shared" si="6"/>
        <v>0</v>
      </c>
    </row>
    <row r="42" spans="1:19">
      <c r="A42" s="142"/>
      <c r="B42" s="52"/>
      <c r="C42" s="21">
        <f t="shared" si="7"/>
        <v>1</v>
      </c>
      <c r="D42" s="631"/>
      <c r="E42" s="21">
        <f t="shared" si="8"/>
        <v>0.02</v>
      </c>
      <c r="F42" s="631"/>
      <c r="G42" s="21">
        <f t="shared" si="9"/>
        <v>1</v>
      </c>
      <c r="H42" s="631"/>
      <c r="I42" s="21">
        <f t="shared" si="10"/>
        <v>1</v>
      </c>
      <c r="J42" s="631"/>
      <c r="K42" s="21">
        <f t="shared" si="11"/>
        <v>1</v>
      </c>
      <c r="L42" s="631"/>
      <c r="M42" s="21">
        <f t="shared" si="12"/>
        <v>1</v>
      </c>
      <c r="N42" s="631"/>
      <c r="O42" s="21">
        <f t="shared" si="13"/>
        <v>1</v>
      </c>
      <c r="P42" s="631"/>
      <c r="Q42" s="21">
        <f t="shared" si="14"/>
        <v>0</v>
      </c>
      <c r="R42" s="3165">
        <f t="shared" si="15"/>
        <v>0</v>
      </c>
      <c r="S42" s="308">
        <f t="shared" si="6"/>
        <v>0</v>
      </c>
    </row>
    <row r="43" spans="1:19">
      <c r="A43" s="142"/>
      <c r="B43" s="52"/>
      <c r="C43" s="21">
        <f t="shared" si="7"/>
        <v>1</v>
      </c>
      <c r="D43" s="631"/>
      <c r="E43" s="21">
        <f t="shared" si="8"/>
        <v>0.02</v>
      </c>
      <c r="F43" s="631"/>
      <c r="G43" s="21">
        <f t="shared" si="9"/>
        <v>1</v>
      </c>
      <c r="H43" s="631"/>
      <c r="I43" s="21">
        <f t="shared" si="10"/>
        <v>1</v>
      </c>
      <c r="J43" s="631"/>
      <c r="K43" s="21">
        <f t="shared" si="11"/>
        <v>1</v>
      </c>
      <c r="L43" s="631"/>
      <c r="M43" s="21">
        <f t="shared" si="12"/>
        <v>1</v>
      </c>
      <c r="N43" s="631"/>
      <c r="O43" s="21">
        <f t="shared" si="13"/>
        <v>1</v>
      </c>
      <c r="P43" s="631"/>
      <c r="Q43" s="21">
        <f t="shared" si="14"/>
        <v>0</v>
      </c>
      <c r="R43" s="3165">
        <f t="shared" si="15"/>
        <v>0</v>
      </c>
      <c r="S43" s="308">
        <f t="shared" si="6"/>
        <v>0</v>
      </c>
    </row>
    <row r="44" spans="1:19">
      <c r="A44" s="142"/>
      <c r="B44" s="52"/>
      <c r="C44" s="21">
        <f t="shared" si="7"/>
        <v>1</v>
      </c>
      <c r="D44" s="631"/>
      <c r="E44" s="21">
        <f t="shared" si="8"/>
        <v>0.02</v>
      </c>
      <c r="F44" s="631"/>
      <c r="G44" s="21">
        <f t="shared" si="9"/>
        <v>1</v>
      </c>
      <c r="H44" s="631"/>
      <c r="I44" s="21">
        <f t="shared" si="10"/>
        <v>1</v>
      </c>
      <c r="J44" s="631"/>
      <c r="K44" s="21">
        <f t="shared" si="11"/>
        <v>1</v>
      </c>
      <c r="L44" s="631"/>
      <c r="M44" s="21">
        <f t="shared" si="12"/>
        <v>1</v>
      </c>
      <c r="N44" s="631"/>
      <c r="O44" s="21">
        <f t="shared" si="13"/>
        <v>1</v>
      </c>
      <c r="P44" s="631"/>
      <c r="Q44" s="21">
        <f t="shared" si="14"/>
        <v>0</v>
      </c>
      <c r="R44" s="3165">
        <f t="shared" si="15"/>
        <v>0</v>
      </c>
      <c r="S44" s="308">
        <f t="shared" si="6"/>
        <v>0</v>
      </c>
    </row>
    <row r="45" spans="1:19">
      <c r="A45" s="142"/>
      <c r="B45" s="52"/>
      <c r="C45" s="21">
        <f t="shared" si="7"/>
        <v>1</v>
      </c>
      <c r="D45" s="631"/>
      <c r="E45" s="21">
        <f t="shared" si="8"/>
        <v>0.02</v>
      </c>
      <c r="F45" s="631"/>
      <c r="G45" s="21">
        <f t="shared" si="9"/>
        <v>1</v>
      </c>
      <c r="H45" s="631"/>
      <c r="I45" s="21">
        <f t="shared" si="10"/>
        <v>1</v>
      </c>
      <c r="J45" s="631"/>
      <c r="K45" s="21">
        <f t="shared" si="11"/>
        <v>1</v>
      </c>
      <c r="L45" s="631"/>
      <c r="M45" s="21">
        <f t="shared" si="12"/>
        <v>1</v>
      </c>
      <c r="N45" s="631"/>
      <c r="O45" s="21">
        <f t="shared" si="13"/>
        <v>1</v>
      </c>
      <c r="P45" s="631"/>
      <c r="Q45" s="21">
        <f t="shared" si="14"/>
        <v>0</v>
      </c>
      <c r="R45" s="3165">
        <f t="shared" si="15"/>
        <v>0</v>
      </c>
      <c r="S45" s="308">
        <f t="shared" si="6"/>
        <v>0</v>
      </c>
    </row>
    <row r="46" spans="1:19">
      <c r="A46" s="142"/>
      <c r="B46" s="52"/>
      <c r="C46" s="21">
        <f t="shared" si="7"/>
        <v>1</v>
      </c>
      <c r="D46" s="631"/>
      <c r="E46" s="21">
        <f t="shared" si="8"/>
        <v>0.02</v>
      </c>
      <c r="F46" s="631"/>
      <c r="G46" s="21">
        <f t="shared" si="9"/>
        <v>1</v>
      </c>
      <c r="H46" s="631"/>
      <c r="I46" s="21">
        <f t="shared" si="10"/>
        <v>1</v>
      </c>
      <c r="J46" s="631"/>
      <c r="K46" s="21">
        <f t="shared" si="11"/>
        <v>1</v>
      </c>
      <c r="L46" s="631"/>
      <c r="M46" s="21">
        <f t="shared" si="12"/>
        <v>1</v>
      </c>
      <c r="N46" s="631"/>
      <c r="O46" s="21">
        <f t="shared" si="13"/>
        <v>1</v>
      </c>
      <c r="P46" s="631"/>
      <c r="Q46" s="21">
        <f t="shared" si="14"/>
        <v>0</v>
      </c>
      <c r="R46" s="3165">
        <f t="shared" si="15"/>
        <v>0</v>
      </c>
      <c r="S46" s="308">
        <f t="shared" si="6"/>
        <v>0</v>
      </c>
    </row>
    <row r="47" spans="1:19">
      <c r="A47" s="142"/>
      <c r="B47" s="52"/>
      <c r="C47" s="21">
        <f t="shared" si="7"/>
        <v>1</v>
      </c>
      <c r="D47" s="631"/>
      <c r="E47" s="21">
        <f t="shared" si="8"/>
        <v>0.02</v>
      </c>
      <c r="F47" s="631"/>
      <c r="G47" s="21">
        <f t="shared" si="9"/>
        <v>1</v>
      </c>
      <c r="H47" s="631"/>
      <c r="I47" s="21">
        <f t="shared" si="10"/>
        <v>1</v>
      </c>
      <c r="J47" s="631"/>
      <c r="K47" s="21">
        <f t="shared" si="11"/>
        <v>1</v>
      </c>
      <c r="L47" s="631"/>
      <c r="M47" s="21">
        <f t="shared" si="12"/>
        <v>1</v>
      </c>
      <c r="N47" s="631"/>
      <c r="O47" s="21">
        <f t="shared" si="13"/>
        <v>1</v>
      </c>
      <c r="P47" s="631"/>
      <c r="Q47" s="21">
        <f t="shared" si="14"/>
        <v>0</v>
      </c>
      <c r="R47" s="3165">
        <f t="shared" si="15"/>
        <v>0</v>
      </c>
      <c r="S47" s="308">
        <f t="shared" si="6"/>
        <v>0</v>
      </c>
    </row>
    <row r="48" spans="1:19">
      <c r="A48" s="142"/>
      <c r="B48" s="52"/>
      <c r="C48" s="21">
        <f t="shared" si="7"/>
        <v>1</v>
      </c>
      <c r="D48" s="631"/>
      <c r="E48" s="21">
        <f t="shared" si="8"/>
        <v>0.02</v>
      </c>
      <c r="F48" s="631"/>
      <c r="G48" s="21">
        <f t="shared" si="9"/>
        <v>1</v>
      </c>
      <c r="H48" s="631"/>
      <c r="I48" s="21">
        <f t="shared" si="10"/>
        <v>1</v>
      </c>
      <c r="J48" s="631"/>
      <c r="K48" s="21">
        <f t="shared" si="11"/>
        <v>1</v>
      </c>
      <c r="L48" s="631"/>
      <c r="M48" s="21">
        <f t="shared" si="12"/>
        <v>1</v>
      </c>
      <c r="N48" s="631"/>
      <c r="O48" s="21">
        <f t="shared" si="13"/>
        <v>1</v>
      </c>
      <c r="P48" s="631"/>
      <c r="Q48" s="21">
        <f t="shared" si="14"/>
        <v>0</v>
      </c>
      <c r="R48" s="3165">
        <f t="shared" si="15"/>
        <v>0</v>
      </c>
      <c r="S48" s="308">
        <f t="shared" si="6"/>
        <v>0</v>
      </c>
    </row>
    <row r="49" spans="1:19">
      <c r="A49" s="142"/>
      <c r="B49" s="52"/>
      <c r="C49" s="21">
        <f t="shared" si="7"/>
        <v>1</v>
      </c>
      <c r="D49" s="631"/>
      <c r="E49" s="21">
        <f t="shared" si="8"/>
        <v>0.02</v>
      </c>
      <c r="F49" s="631"/>
      <c r="G49" s="21">
        <f t="shared" si="9"/>
        <v>1</v>
      </c>
      <c r="H49" s="631"/>
      <c r="I49" s="21">
        <f t="shared" si="10"/>
        <v>1</v>
      </c>
      <c r="J49" s="631"/>
      <c r="K49" s="21">
        <f t="shared" si="11"/>
        <v>1</v>
      </c>
      <c r="L49" s="631"/>
      <c r="M49" s="21">
        <f t="shared" si="12"/>
        <v>1</v>
      </c>
      <c r="N49" s="631"/>
      <c r="O49" s="21">
        <f t="shared" si="13"/>
        <v>1</v>
      </c>
      <c r="P49" s="631"/>
      <c r="Q49" s="21">
        <f t="shared" si="14"/>
        <v>0</v>
      </c>
      <c r="R49" s="3165">
        <f t="shared" si="15"/>
        <v>0</v>
      </c>
      <c r="S49" s="308">
        <f t="shared" si="6"/>
        <v>0</v>
      </c>
    </row>
    <row r="50" spans="1:19">
      <c r="A50" s="142"/>
      <c r="B50" s="52"/>
      <c r="C50" s="21">
        <f t="shared" si="7"/>
        <v>1</v>
      </c>
      <c r="D50" s="631"/>
      <c r="E50" s="21">
        <f t="shared" si="8"/>
        <v>0.02</v>
      </c>
      <c r="F50" s="631"/>
      <c r="G50" s="21">
        <f t="shared" si="9"/>
        <v>1</v>
      </c>
      <c r="H50" s="631"/>
      <c r="I50" s="21">
        <f t="shared" si="10"/>
        <v>1</v>
      </c>
      <c r="J50" s="631"/>
      <c r="K50" s="21">
        <f t="shared" si="11"/>
        <v>1</v>
      </c>
      <c r="L50" s="631"/>
      <c r="M50" s="21">
        <f t="shared" si="12"/>
        <v>1</v>
      </c>
      <c r="N50" s="631"/>
      <c r="O50" s="21">
        <f t="shared" si="13"/>
        <v>1</v>
      </c>
      <c r="P50" s="631"/>
      <c r="Q50" s="21">
        <f t="shared" si="14"/>
        <v>0</v>
      </c>
      <c r="R50" s="3165">
        <f t="shared" si="15"/>
        <v>0</v>
      </c>
      <c r="S50" s="308">
        <f t="shared" si="6"/>
        <v>0</v>
      </c>
    </row>
    <row r="51" spans="1:19">
      <c r="A51" s="142"/>
      <c r="B51" s="52"/>
      <c r="C51" s="21">
        <f t="shared" si="7"/>
        <v>1</v>
      </c>
      <c r="D51" s="631"/>
      <c r="E51" s="21">
        <f t="shared" si="8"/>
        <v>0.02</v>
      </c>
      <c r="F51" s="631"/>
      <c r="G51" s="21">
        <f t="shared" si="9"/>
        <v>1</v>
      </c>
      <c r="H51" s="631"/>
      <c r="I51" s="21">
        <f t="shared" si="10"/>
        <v>1</v>
      </c>
      <c r="J51" s="631"/>
      <c r="K51" s="21">
        <f t="shared" si="11"/>
        <v>1</v>
      </c>
      <c r="L51" s="631"/>
      <c r="M51" s="21">
        <f t="shared" si="12"/>
        <v>1</v>
      </c>
      <c r="N51" s="631"/>
      <c r="O51" s="21">
        <f t="shared" si="13"/>
        <v>1</v>
      </c>
      <c r="P51" s="631"/>
      <c r="Q51" s="21">
        <f t="shared" si="14"/>
        <v>0</v>
      </c>
      <c r="R51" s="3165">
        <f t="shared" si="15"/>
        <v>0</v>
      </c>
      <c r="S51" s="308">
        <f t="shared" si="6"/>
        <v>0</v>
      </c>
    </row>
    <row r="52" spans="1:19">
      <c r="A52" s="142"/>
      <c r="B52" s="52"/>
      <c r="C52" s="21">
        <f t="shared" si="7"/>
        <v>1</v>
      </c>
      <c r="D52" s="631"/>
      <c r="E52" s="21">
        <f t="shared" si="8"/>
        <v>0.02</v>
      </c>
      <c r="F52" s="631"/>
      <c r="G52" s="21">
        <f t="shared" si="9"/>
        <v>1</v>
      </c>
      <c r="H52" s="631"/>
      <c r="I52" s="21">
        <f t="shared" si="10"/>
        <v>1</v>
      </c>
      <c r="J52" s="631"/>
      <c r="K52" s="21">
        <f t="shared" si="11"/>
        <v>1</v>
      </c>
      <c r="L52" s="631"/>
      <c r="M52" s="21">
        <f t="shared" si="12"/>
        <v>1</v>
      </c>
      <c r="N52" s="631"/>
      <c r="O52" s="21">
        <f t="shared" si="13"/>
        <v>1</v>
      </c>
      <c r="P52" s="631"/>
      <c r="Q52" s="21">
        <f t="shared" si="14"/>
        <v>0</v>
      </c>
      <c r="R52" s="3165">
        <f t="shared" si="15"/>
        <v>0</v>
      </c>
      <c r="S52" s="308">
        <f t="shared" si="6"/>
        <v>0</v>
      </c>
    </row>
    <row r="53" spans="1:19">
      <c r="A53" s="142"/>
      <c r="B53" s="52"/>
      <c r="C53" s="21">
        <f t="shared" si="7"/>
        <v>1</v>
      </c>
      <c r="D53" s="631"/>
      <c r="E53" s="21">
        <f t="shared" si="8"/>
        <v>0.02</v>
      </c>
      <c r="F53" s="631"/>
      <c r="G53" s="21">
        <f t="shared" si="9"/>
        <v>1</v>
      </c>
      <c r="H53" s="631"/>
      <c r="I53" s="21">
        <f t="shared" si="10"/>
        <v>1</v>
      </c>
      <c r="J53" s="631"/>
      <c r="K53" s="21">
        <f t="shared" si="11"/>
        <v>1</v>
      </c>
      <c r="L53" s="631"/>
      <c r="M53" s="21">
        <f t="shared" si="12"/>
        <v>1</v>
      </c>
      <c r="N53" s="631"/>
      <c r="O53" s="21">
        <f t="shared" si="13"/>
        <v>1</v>
      </c>
      <c r="P53" s="631"/>
      <c r="Q53" s="21">
        <f t="shared" si="14"/>
        <v>0</v>
      </c>
      <c r="R53" s="3165">
        <f t="shared" si="15"/>
        <v>0</v>
      </c>
      <c r="S53" s="308">
        <f t="shared" si="6"/>
        <v>0</v>
      </c>
    </row>
    <row r="54" spans="1:19">
      <c r="A54" s="142"/>
      <c r="B54" s="52"/>
      <c r="C54" s="21">
        <f t="shared" si="7"/>
        <v>1</v>
      </c>
      <c r="D54" s="631"/>
      <c r="E54" s="21">
        <f t="shared" si="8"/>
        <v>0.02</v>
      </c>
      <c r="F54" s="631"/>
      <c r="G54" s="21">
        <f t="shared" si="9"/>
        <v>1</v>
      </c>
      <c r="H54" s="631"/>
      <c r="I54" s="21">
        <f t="shared" si="10"/>
        <v>1</v>
      </c>
      <c r="J54" s="631"/>
      <c r="K54" s="21">
        <f t="shared" si="11"/>
        <v>1</v>
      </c>
      <c r="L54" s="631"/>
      <c r="M54" s="21">
        <f t="shared" si="12"/>
        <v>1</v>
      </c>
      <c r="N54" s="631"/>
      <c r="O54" s="21">
        <f t="shared" si="13"/>
        <v>1</v>
      </c>
      <c r="P54" s="631"/>
      <c r="Q54" s="21">
        <f t="shared" si="14"/>
        <v>0</v>
      </c>
      <c r="R54" s="3165">
        <f t="shared" si="15"/>
        <v>0</v>
      </c>
      <c r="S54" s="308">
        <f t="shared" si="6"/>
        <v>0</v>
      </c>
    </row>
    <row r="55" spans="1:19">
      <c r="A55" s="142"/>
      <c r="B55" s="52"/>
      <c r="C55" s="21">
        <f t="shared" si="7"/>
        <v>1</v>
      </c>
      <c r="D55" s="631"/>
      <c r="E55" s="21">
        <f t="shared" si="8"/>
        <v>0.02</v>
      </c>
      <c r="F55" s="631"/>
      <c r="G55" s="21">
        <f t="shared" si="9"/>
        <v>1</v>
      </c>
      <c r="H55" s="631"/>
      <c r="I55" s="21">
        <f t="shared" si="10"/>
        <v>1</v>
      </c>
      <c r="J55" s="631"/>
      <c r="K55" s="21">
        <f t="shared" si="11"/>
        <v>1</v>
      </c>
      <c r="L55" s="631"/>
      <c r="M55" s="21">
        <f t="shared" si="12"/>
        <v>1</v>
      </c>
      <c r="N55" s="631"/>
      <c r="O55" s="21">
        <f t="shared" si="13"/>
        <v>1</v>
      </c>
      <c r="P55" s="631"/>
      <c r="Q55" s="21">
        <f t="shared" si="14"/>
        <v>0</v>
      </c>
      <c r="R55" s="3165">
        <f t="shared" si="15"/>
        <v>0</v>
      </c>
      <c r="S55" s="308">
        <f t="shared" si="6"/>
        <v>0</v>
      </c>
    </row>
    <row r="56" spans="1:19">
      <c r="A56" s="142"/>
      <c r="B56" s="52"/>
      <c r="C56" s="21">
        <f t="shared" si="7"/>
        <v>1</v>
      </c>
      <c r="D56" s="631"/>
      <c r="E56" s="21">
        <f t="shared" si="8"/>
        <v>0.02</v>
      </c>
      <c r="F56" s="631"/>
      <c r="G56" s="21">
        <f t="shared" si="9"/>
        <v>1</v>
      </c>
      <c r="H56" s="631"/>
      <c r="I56" s="21">
        <f t="shared" si="10"/>
        <v>1</v>
      </c>
      <c r="J56" s="631"/>
      <c r="K56" s="21">
        <f t="shared" si="11"/>
        <v>1</v>
      </c>
      <c r="L56" s="631"/>
      <c r="M56" s="21">
        <f t="shared" si="12"/>
        <v>1</v>
      </c>
      <c r="N56" s="631"/>
      <c r="O56" s="21">
        <f t="shared" si="13"/>
        <v>1</v>
      </c>
      <c r="P56" s="631"/>
      <c r="Q56" s="21">
        <f t="shared" si="14"/>
        <v>0</v>
      </c>
      <c r="R56" s="3165">
        <f t="shared" si="15"/>
        <v>0</v>
      </c>
      <c r="S56" s="308">
        <f t="shared" si="6"/>
        <v>0</v>
      </c>
    </row>
    <row r="57" spans="1:19">
      <c r="A57" s="142"/>
      <c r="B57" s="52"/>
      <c r="C57" s="21">
        <f t="shared" si="7"/>
        <v>1</v>
      </c>
      <c r="D57" s="631"/>
      <c r="E57" s="21">
        <f t="shared" si="8"/>
        <v>0.02</v>
      </c>
      <c r="F57" s="631"/>
      <c r="G57" s="21">
        <f t="shared" si="9"/>
        <v>1</v>
      </c>
      <c r="H57" s="631"/>
      <c r="I57" s="21">
        <f t="shared" si="10"/>
        <v>1</v>
      </c>
      <c r="J57" s="631"/>
      <c r="K57" s="21">
        <f t="shared" si="11"/>
        <v>1</v>
      </c>
      <c r="L57" s="631"/>
      <c r="M57" s="21">
        <f t="shared" si="12"/>
        <v>1</v>
      </c>
      <c r="N57" s="631"/>
      <c r="O57" s="21">
        <f t="shared" si="13"/>
        <v>1</v>
      </c>
      <c r="P57" s="631"/>
      <c r="Q57" s="21">
        <f t="shared" si="14"/>
        <v>0</v>
      </c>
      <c r="R57" s="3165">
        <f t="shared" si="15"/>
        <v>0</v>
      </c>
      <c r="S57" s="308">
        <f t="shared" si="6"/>
        <v>0</v>
      </c>
    </row>
    <row r="58" spans="1:19">
      <c r="A58" s="142"/>
      <c r="B58" s="52"/>
      <c r="C58" s="21">
        <f t="shared" si="7"/>
        <v>1</v>
      </c>
      <c r="D58" s="631"/>
      <c r="E58" s="21">
        <f t="shared" si="8"/>
        <v>0.02</v>
      </c>
      <c r="F58" s="631"/>
      <c r="G58" s="21">
        <f t="shared" si="9"/>
        <v>1</v>
      </c>
      <c r="H58" s="631"/>
      <c r="I58" s="21">
        <f t="shared" si="10"/>
        <v>1</v>
      </c>
      <c r="J58" s="631"/>
      <c r="K58" s="21">
        <f t="shared" si="11"/>
        <v>1</v>
      </c>
      <c r="L58" s="631"/>
      <c r="M58" s="21">
        <f t="shared" si="12"/>
        <v>1</v>
      </c>
      <c r="N58" s="631"/>
      <c r="O58" s="21">
        <f t="shared" si="13"/>
        <v>1</v>
      </c>
      <c r="P58" s="631"/>
      <c r="Q58" s="21">
        <f t="shared" si="14"/>
        <v>0</v>
      </c>
      <c r="R58" s="3165">
        <f t="shared" si="15"/>
        <v>0</v>
      </c>
      <c r="S58" s="308">
        <f t="shared" si="6"/>
        <v>0</v>
      </c>
    </row>
    <row r="59" spans="1:19">
      <c r="A59" s="142"/>
      <c r="B59" s="52"/>
      <c r="C59" s="21">
        <f t="shared" si="7"/>
        <v>1</v>
      </c>
      <c r="D59" s="631"/>
      <c r="E59" s="21">
        <f t="shared" si="8"/>
        <v>0.02</v>
      </c>
      <c r="F59" s="631"/>
      <c r="G59" s="21">
        <f t="shared" si="9"/>
        <v>1</v>
      </c>
      <c r="H59" s="631"/>
      <c r="I59" s="21">
        <f t="shared" si="10"/>
        <v>1</v>
      </c>
      <c r="J59" s="631"/>
      <c r="K59" s="21">
        <f t="shared" si="11"/>
        <v>1</v>
      </c>
      <c r="L59" s="631"/>
      <c r="M59" s="21">
        <f t="shared" si="12"/>
        <v>1</v>
      </c>
      <c r="N59" s="631"/>
      <c r="O59" s="21">
        <f t="shared" si="13"/>
        <v>1</v>
      </c>
      <c r="P59" s="631"/>
      <c r="Q59" s="21">
        <f t="shared" si="14"/>
        <v>0</v>
      </c>
      <c r="R59" s="3165">
        <f t="shared" si="15"/>
        <v>0</v>
      </c>
      <c r="S59" s="308">
        <f t="shared" si="6"/>
        <v>0</v>
      </c>
    </row>
    <row r="60" spans="1:19">
      <c r="A60" s="142"/>
      <c r="B60" s="52"/>
      <c r="C60" s="21">
        <f t="shared" si="7"/>
        <v>1</v>
      </c>
      <c r="D60" s="631"/>
      <c r="E60" s="21">
        <f t="shared" si="8"/>
        <v>0.02</v>
      </c>
      <c r="F60" s="631"/>
      <c r="G60" s="21">
        <f t="shared" si="9"/>
        <v>1</v>
      </c>
      <c r="H60" s="631"/>
      <c r="I60" s="21">
        <f t="shared" si="10"/>
        <v>1</v>
      </c>
      <c r="J60" s="631"/>
      <c r="K60" s="21">
        <f t="shared" si="11"/>
        <v>1</v>
      </c>
      <c r="L60" s="631"/>
      <c r="M60" s="21">
        <f t="shared" si="12"/>
        <v>1</v>
      </c>
      <c r="N60" s="631"/>
      <c r="O60" s="21">
        <f t="shared" si="13"/>
        <v>1</v>
      </c>
      <c r="P60" s="631"/>
      <c r="Q60" s="21">
        <f t="shared" si="14"/>
        <v>0</v>
      </c>
      <c r="R60" s="3165">
        <f t="shared" si="15"/>
        <v>0</v>
      </c>
      <c r="S60" s="308">
        <f t="shared" si="6"/>
        <v>0</v>
      </c>
    </row>
    <row r="61" spans="1:19">
      <c r="A61" s="142"/>
      <c r="B61" s="52"/>
      <c r="C61" s="21">
        <f t="shared" si="7"/>
        <v>1</v>
      </c>
      <c r="D61" s="631"/>
      <c r="E61" s="21">
        <f t="shared" si="8"/>
        <v>0.02</v>
      </c>
      <c r="F61" s="631"/>
      <c r="G61" s="21">
        <f t="shared" si="9"/>
        <v>1</v>
      </c>
      <c r="H61" s="631"/>
      <c r="I61" s="21">
        <f t="shared" si="10"/>
        <v>1</v>
      </c>
      <c r="J61" s="631"/>
      <c r="K61" s="21">
        <f t="shared" si="11"/>
        <v>1</v>
      </c>
      <c r="L61" s="631"/>
      <c r="M61" s="21">
        <f t="shared" si="12"/>
        <v>1</v>
      </c>
      <c r="N61" s="631"/>
      <c r="O61" s="21">
        <f t="shared" si="13"/>
        <v>1</v>
      </c>
      <c r="P61" s="631"/>
      <c r="Q61" s="21">
        <f t="shared" si="14"/>
        <v>0</v>
      </c>
      <c r="R61" s="3165">
        <f t="shared" si="15"/>
        <v>0</v>
      </c>
      <c r="S61" s="308">
        <f t="shared" si="6"/>
        <v>0</v>
      </c>
    </row>
    <row r="62" spans="1:19">
      <c r="A62" s="142"/>
      <c r="B62" s="52"/>
      <c r="C62" s="21">
        <f t="shared" si="7"/>
        <v>1</v>
      </c>
      <c r="D62" s="631"/>
      <c r="E62" s="21">
        <f t="shared" si="8"/>
        <v>0.02</v>
      </c>
      <c r="F62" s="631"/>
      <c r="G62" s="21">
        <f t="shared" si="9"/>
        <v>1</v>
      </c>
      <c r="H62" s="631"/>
      <c r="I62" s="21">
        <f t="shared" si="10"/>
        <v>1</v>
      </c>
      <c r="J62" s="631"/>
      <c r="K62" s="21">
        <f t="shared" si="11"/>
        <v>1</v>
      </c>
      <c r="L62" s="631"/>
      <c r="M62" s="21">
        <f t="shared" si="12"/>
        <v>1</v>
      </c>
      <c r="N62" s="631"/>
      <c r="O62" s="21">
        <f t="shared" si="13"/>
        <v>1</v>
      </c>
      <c r="P62" s="631"/>
      <c r="Q62" s="21">
        <f t="shared" si="14"/>
        <v>0</v>
      </c>
      <c r="R62" s="3165">
        <f t="shared" si="15"/>
        <v>0</v>
      </c>
      <c r="S62" s="308">
        <f t="shared" si="6"/>
        <v>0</v>
      </c>
    </row>
    <row r="63" spans="1:19">
      <c r="A63" s="142"/>
      <c r="B63" s="52"/>
      <c r="C63" s="21">
        <f t="shared" si="7"/>
        <v>1</v>
      </c>
      <c r="D63" s="631"/>
      <c r="E63" s="21">
        <f t="shared" si="8"/>
        <v>0.02</v>
      </c>
      <c r="F63" s="631"/>
      <c r="G63" s="21">
        <f t="shared" si="9"/>
        <v>1</v>
      </c>
      <c r="H63" s="631"/>
      <c r="I63" s="21">
        <f t="shared" si="10"/>
        <v>1</v>
      </c>
      <c r="J63" s="631"/>
      <c r="K63" s="21">
        <f t="shared" si="11"/>
        <v>1</v>
      </c>
      <c r="L63" s="631"/>
      <c r="M63" s="21">
        <f t="shared" si="12"/>
        <v>1</v>
      </c>
      <c r="N63" s="631"/>
      <c r="O63" s="21">
        <f t="shared" si="13"/>
        <v>1</v>
      </c>
      <c r="P63" s="631"/>
      <c r="Q63" s="21">
        <f t="shared" si="14"/>
        <v>0</v>
      </c>
      <c r="R63" s="3165">
        <f t="shared" si="15"/>
        <v>0</v>
      </c>
      <c r="S63" s="308">
        <f t="shared" si="6"/>
        <v>0</v>
      </c>
    </row>
    <row r="64" spans="1:19">
      <c r="A64" s="142"/>
      <c r="B64" s="52"/>
      <c r="C64" s="21">
        <f t="shared" si="7"/>
        <v>1</v>
      </c>
      <c r="D64" s="631"/>
      <c r="E64" s="21">
        <f t="shared" si="8"/>
        <v>0.02</v>
      </c>
      <c r="F64" s="631"/>
      <c r="G64" s="21">
        <f t="shared" si="9"/>
        <v>1</v>
      </c>
      <c r="H64" s="631"/>
      <c r="I64" s="21">
        <f t="shared" si="10"/>
        <v>1</v>
      </c>
      <c r="J64" s="631"/>
      <c r="K64" s="21">
        <f t="shared" si="11"/>
        <v>1</v>
      </c>
      <c r="L64" s="631"/>
      <c r="M64" s="21">
        <f t="shared" si="12"/>
        <v>1</v>
      </c>
      <c r="N64" s="631"/>
      <c r="O64" s="21">
        <f t="shared" si="13"/>
        <v>1</v>
      </c>
      <c r="P64" s="631"/>
      <c r="Q64" s="21">
        <f t="shared" si="14"/>
        <v>0</v>
      </c>
      <c r="R64" s="3165">
        <f t="shared" si="15"/>
        <v>0</v>
      </c>
      <c r="S64" s="308">
        <f t="shared" si="6"/>
        <v>0</v>
      </c>
    </row>
    <row r="65" spans="1:19">
      <c r="A65" s="142"/>
      <c r="B65" s="52"/>
      <c r="C65" s="21">
        <f t="shared" si="7"/>
        <v>1</v>
      </c>
      <c r="D65" s="631"/>
      <c r="E65" s="21">
        <f t="shared" si="8"/>
        <v>0.02</v>
      </c>
      <c r="F65" s="631"/>
      <c r="G65" s="21">
        <f t="shared" si="9"/>
        <v>1</v>
      </c>
      <c r="H65" s="631"/>
      <c r="I65" s="21">
        <f t="shared" si="10"/>
        <v>1</v>
      </c>
      <c r="J65" s="631"/>
      <c r="K65" s="21">
        <f t="shared" si="11"/>
        <v>1</v>
      </c>
      <c r="L65" s="631"/>
      <c r="M65" s="21">
        <f t="shared" si="12"/>
        <v>1</v>
      </c>
      <c r="N65" s="631"/>
      <c r="O65" s="21">
        <f t="shared" si="13"/>
        <v>1</v>
      </c>
      <c r="P65" s="631"/>
      <c r="Q65" s="21">
        <f t="shared" si="14"/>
        <v>0</v>
      </c>
      <c r="R65" s="3165">
        <f t="shared" si="15"/>
        <v>0</v>
      </c>
      <c r="S65" s="308">
        <f t="shared" si="6"/>
        <v>0</v>
      </c>
    </row>
    <row r="66" spans="1:19">
      <c r="A66" s="142"/>
      <c r="B66" s="52"/>
      <c r="C66" s="21">
        <f t="shared" si="7"/>
        <v>1</v>
      </c>
      <c r="D66" s="631"/>
      <c r="E66" s="21">
        <f t="shared" si="8"/>
        <v>0.02</v>
      </c>
      <c r="F66" s="631"/>
      <c r="G66" s="21">
        <f t="shared" si="9"/>
        <v>1</v>
      </c>
      <c r="H66" s="631"/>
      <c r="I66" s="21">
        <f t="shared" si="10"/>
        <v>1</v>
      </c>
      <c r="J66" s="631"/>
      <c r="K66" s="21">
        <f t="shared" si="11"/>
        <v>1</v>
      </c>
      <c r="L66" s="631"/>
      <c r="M66" s="21">
        <f t="shared" si="12"/>
        <v>1</v>
      </c>
      <c r="N66" s="631"/>
      <c r="O66" s="21">
        <f t="shared" si="13"/>
        <v>1</v>
      </c>
      <c r="P66" s="631"/>
      <c r="Q66" s="21">
        <f t="shared" si="14"/>
        <v>0</v>
      </c>
      <c r="R66" s="3165">
        <f t="shared" si="15"/>
        <v>0</v>
      </c>
      <c r="S66" s="308">
        <f t="shared" si="6"/>
        <v>0</v>
      </c>
    </row>
    <row r="67" spans="1:19">
      <c r="A67" s="142"/>
      <c r="B67" s="52"/>
      <c r="C67" s="21">
        <f t="shared" si="7"/>
        <v>1</v>
      </c>
      <c r="D67" s="631"/>
      <c r="E67" s="21">
        <f t="shared" si="8"/>
        <v>0.02</v>
      </c>
      <c r="F67" s="631"/>
      <c r="G67" s="21">
        <f t="shared" si="9"/>
        <v>1</v>
      </c>
      <c r="H67" s="631"/>
      <c r="I67" s="21">
        <f t="shared" si="10"/>
        <v>1</v>
      </c>
      <c r="J67" s="631"/>
      <c r="K67" s="21">
        <f t="shared" si="11"/>
        <v>1</v>
      </c>
      <c r="L67" s="631"/>
      <c r="M67" s="21">
        <f t="shared" si="12"/>
        <v>1</v>
      </c>
      <c r="N67" s="631"/>
      <c r="O67" s="21">
        <f t="shared" si="13"/>
        <v>1</v>
      </c>
      <c r="P67" s="631"/>
      <c r="Q67" s="21">
        <f t="shared" si="14"/>
        <v>0</v>
      </c>
      <c r="R67" s="3165">
        <f t="shared" si="15"/>
        <v>0</v>
      </c>
      <c r="S67" s="308">
        <f t="shared" si="6"/>
        <v>0</v>
      </c>
    </row>
    <row r="68" spans="1:19">
      <c r="A68" s="142"/>
      <c r="B68" s="52"/>
      <c r="C68" s="21">
        <f t="shared" si="7"/>
        <v>1</v>
      </c>
      <c r="D68" s="631"/>
      <c r="E68" s="21">
        <f t="shared" si="8"/>
        <v>0.02</v>
      </c>
      <c r="F68" s="631"/>
      <c r="G68" s="21">
        <f t="shared" si="9"/>
        <v>1</v>
      </c>
      <c r="H68" s="631"/>
      <c r="I68" s="21">
        <f t="shared" si="10"/>
        <v>1</v>
      </c>
      <c r="J68" s="631"/>
      <c r="K68" s="21">
        <f t="shared" si="11"/>
        <v>1</v>
      </c>
      <c r="L68" s="631"/>
      <c r="M68" s="21">
        <f t="shared" si="12"/>
        <v>1</v>
      </c>
      <c r="N68" s="631"/>
      <c r="O68" s="21">
        <f t="shared" si="13"/>
        <v>1</v>
      </c>
      <c r="P68" s="631"/>
      <c r="Q68" s="21">
        <f t="shared" si="14"/>
        <v>0</v>
      </c>
      <c r="R68" s="3165">
        <f t="shared" si="15"/>
        <v>0</v>
      </c>
      <c r="S68" s="308">
        <f t="shared" si="6"/>
        <v>0</v>
      </c>
    </row>
    <row r="69" spans="1:19">
      <c r="A69" s="142"/>
      <c r="B69" s="52"/>
      <c r="C69" s="21">
        <f t="shared" si="7"/>
        <v>1</v>
      </c>
      <c r="D69" s="631"/>
      <c r="E69" s="21">
        <f t="shared" si="8"/>
        <v>0.02</v>
      </c>
      <c r="F69" s="631"/>
      <c r="G69" s="21">
        <f t="shared" si="9"/>
        <v>1</v>
      </c>
      <c r="H69" s="631"/>
      <c r="I69" s="21">
        <f t="shared" si="10"/>
        <v>1</v>
      </c>
      <c r="J69" s="631"/>
      <c r="K69" s="21">
        <f t="shared" si="11"/>
        <v>1</v>
      </c>
      <c r="L69" s="631"/>
      <c r="M69" s="21">
        <f t="shared" si="12"/>
        <v>1</v>
      </c>
      <c r="N69" s="631"/>
      <c r="O69" s="21">
        <f t="shared" si="13"/>
        <v>1</v>
      </c>
      <c r="P69" s="631"/>
      <c r="Q69" s="21">
        <f t="shared" si="14"/>
        <v>0</v>
      </c>
      <c r="R69" s="3165">
        <f t="shared" si="15"/>
        <v>0</v>
      </c>
      <c r="S69" s="308">
        <f t="shared" si="6"/>
        <v>0</v>
      </c>
    </row>
    <row r="70" spans="1:19">
      <c r="A70" s="142"/>
      <c r="B70" s="52"/>
      <c r="C70" s="21">
        <f t="shared" si="7"/>
        <v>1</v>
      </c>
      <c r="D70" s="631"/>
      <c r="E70" s="21">
        <f t="shared" si="8"/>
        <v>0.02</v>
      </c>
      <c r="F70" s="631"/>
      <c r="G70" s="21">
        <f t="shared" si="9"/>
        <v>1</v>
      </c>
      <c r="H70" s="631"/>
      <c r="I70" s="21">
        <f t="shared" si="10"/>
        <v>1</v>
      </c>
      <c r="J70" s="631"/>
      <c r="K70" s="21">
        <f t="shared" si="11"/>
        <v>1</v>
      </c>
      <c r="L70" s="631"/>
      <c r="M70" s="21">
        <f t="shared" si="12"/>
        <v>1</v>
      </c>
      <c r="N70" s="631"/>
      <c r="O70" s="21">
        <f t="shared" si="13"/>
        <v>1</v>
      </c>
      <c r="P70" s="631"/>
      <c r="Q70" s="21">
        <f t="shared" si="14"/>
        <v>0</v>
      </c>
      <c r="R70" s="3165">
        <f t="shared" si="15"/>
        <v>0</v>
      </c>
      <c r="S70" s="308">
        <f t="shared" si="6"/>
        <v>0</v>
      </c>
    </row>
    <row r="71" spans="1:19">
      <c r="A71" s="142"/>
      <c r="B71" s="52"/>
      <c r="C71" s="21">
        <f t="shared" si="7"/>
        <v>1</v>
      </c>
      <c r="D71" s="631"/>
      <c r="E71" s="21">
        <f t="shared" si="8"/>
        <v>0.02</v>
      </c>
      <c r="F71" s="631"/>
      <c r="G71" s="21">
        <f t="shared" si="9"/>
        <v>1</v>
      </c>
      <c r="H71" s="631"/>
      <c r="I71" s="21">
        <f t="shared" si="10"/>
        <v>1</v>
      </c>
      <c r="J71" s="631"/>
      <c r="K71" s="21">
        <f t="shared" si="11"/>
        <v>1</v>
      </c>
      <c r="L71" s="631"/>
      <c r="M71" s="21">
        <f t="shared" si="12"/>
        <v>1</v>
      </c>
      <c r="N71" s="631"/>
      <c r="O71" s="21">
        <f t="shared" si="13"/>
        <v>1</v>
      </c>
      <c r="P71" s="631"/>
      <c r="Q71" s="21">
        <f t="shared" si="14"/>
        <v>0</v>
      </c>
      <c r="R71" s="3165">
        <f t="shared" si="15"/>
        <v>0</v>
      </c>
      <c r="S71" s="308">
        <f t="shared" si="6"/>
        <v>0</v>
      </c>
    </row>
    <row r="72" spans="1:19">
      <c r="A72" s="142"/>
      <c r="B72" s="52"/>
      <c r="C72" s="21">
        <f t="shared" si="7"/>
        <v>1</v>
      </c>
      <c r="D72" s="631"/>
      <c r="E72" s="21">
        <f t="shared" si="8"/>
        <v>0.02</v>
      </c>
      <c r="F72" s="631"/>
      <c r="G72" s="21">
        <f t="shared" si="9"/>
        <v>1</v>
      </c>
      <c r="H72" s="631"/>
      <c r="I72" s="21">
        <f t="shared" si="10"/>
        <v>1</v>
      </c>
      <c r="J72" s="631"/>
      <c r="K72" s="21">
        <f t="shared" si="11"/>
        <v>1</v>
      </c>
      <c r="L72" s="631"/>
      <c r="M72" s="21">
        <f t="shared" si="12"/>
        <v>1</v>
      </c>
      <c r="N72" s="631"/>
      <c r="O72" s="21">
        <f t="shared" si="13"/>
        <v>1</v>
      </c>
      <c r="P72" s="631"/>
      <c r="Q72" s="21">
        <f t="shared" si="14"/>
        <v>0</v>
      </c>
      <c r="R72" s="3165">
        <f t="shared" si="15"/>
        <v>0</v>
      </c>
      <c r="S72" s="308">
        <f t="shared" si="6"/>
        <v>0</v>
      </c>
    </row>
    <row r="73" spans="1:19">
      <c r="A73" s="142"/>
      <c r="B73" s="52"/>
      <c r="C73" s="21">
        <f t="shared" si="7"/>
        <v>1</v>
      </c>
      <c r="D73" s="631"/>
      <c r="E73" s="21">
        <f t="shared" si="8"/>
        <v>0.02</v>
      </c>
      <c r="F73" s="631"/>
      <c r="G73" s="21">
        <f t="shared" si="9"/>
        <v>1</v>
      </c>
      <c r="H73" s="631"/>
      <c r="I73" s="21">
        <f t="shared" si="10"/>
        <v>1</v>
      </c>
      <c r="J73" s="631"/>
      <c r="K73" s="21">
        <f t="shared" si="11"/>
        <v>1</v>
      </c>
      <c r="L73" s="631"/>
      <c r="M73" s="21">
        <f t="shared" si="12"/>
        <v>1</v>
      </c>
      <c r="N73" s="631"/>
      <c r="O73" s="21">
        <f t="shared" si="13"/>
        <v>1</v>
      </c>
      <c r="P73" s="631"/>
      <c r="Q73" s="21">
        <f t="shared" si="14"/>
        <v>0</v>
      </c>
      <c r="R73" s="3165">
        <f t="shared" si="15"/>
        <v>0</v>
      </c>
      <c r="S73" s="308">
        <f t="shared" si="6"/>
        <v>0</v>
      </c>
    </row>
    <row r="74" spans="1:19">
      <c r="A74" s="142"/>
      <c r="B74" s="52"/>
      <c r="C74" s="21">
        <f t="shared" si="7"/>
        <v>1</v>
      </c>
      <c r="D74" s="631"/>
      <c r="E74" s="21">
        <f t="shared" si="8"/>
        <v>0.02</v>
      </c>
      <c r="F74" s="631"/>
      <c r="G74" s="21">
        <f t="shared" si="9"/>
        <v>1</v>
      </c>
      <c r="H74" s="631"/>
      <c r="I74" s="21">
        <f t="shared" si="10"/>
        <v>1</v>
      </c>
      <c r="J74" s="631"/>
      <c r="K74" s="21">
        <f t="shared" si="11"/>
        <v>1</v>
      </c>
      <c r="L74" s="631"/>
      <c r="M74" s="21">
        <f t="shared" si="12"/>
        <v>1</v>
      </c>
      <c r="N74" s="631"/>
      <c r="O74" s="21">
        <f t="shared" si="13"/>
        <v>1</v>
      </c>
      <c r="P74" s="631"/>
      <c r="Q74" s="21">
        <f t="shared" si="14"/>
        <v>0</v>
      </c>
      <c r="R74" s="3165">
        <f t="shared" si="15"/>
        <v>0</v>
      </c>
      <c r="S74" s="308">
        <f t="shared" si="6"/>
        <v>0</v>
      </c>
    </row>
    <row r="75" spans="1:19">
      <c r="A75" s="142"/>
      <c r="B75" s="52"/>
      <c r="C75" s="21">
        <f t="shared" si="7"/>
        <v>1</v>
      </c>
      <c r="D75" s="631"/>
      <c r="E75" s="21">
        <f t="shared" si="8"/>
        <v>0.02</v>
      </c>
      <c r="F75" s="631"/>
      <c r="G75" s="21">
        <f t="shared" si="9"/>
        <v>1</v>
      </c>
      <c r="H75" s="631"/>
      <c r="I75" s="21">
        <f t="shared" si="10"/>
        <v>1</v>
      </c>
      <c r="J75" s="631"/>
      <c r="K75" s="21">
        <f t="shared" si="11"/>
        <v>1</v>
      </c>
      <c r="L75" s="631"/>
      <c r="M75" s="21">
        <f t="shared" si="12"/>
        <v>1</v>
      </c>
      <c r="N75" s="631"/>
      <c r="O75" s="21">
        <f t="shared" si="13"/>
        <v>1</v>
      </c>
      <c r="P75" s="631"/>
      <c r="Q75" s="21">
        <f t="shared" si="14"/>
        <v>0</v>
      </c>
      <c r="R75" s="3165">
        <f t="shared" si="15"/>
        <v>0</v>
      </c>
      <c r="S75" s="308">
        <f t="shared" si="6"/>
        <v>0</v>
      </c>
    </row>
    <row r="76" spans="1:19">
      <c r="A76" s="142"/>
      <c r="B76" s="52"/>
      <c r="C76" s="21">
        <f t="shared" si="7"/>
        <v>1</v>
      </c>
      <c r="D76" s="631"/>
      <c r="E76" s="21">
        <f t="shared" si="8"/>
        <v>0.02</v>
      </c>
      <c r="F76" s="631"/>
      <c r="G76" s="21">
        <f t="shared" si="9"/>
        <v>1</v>
      </c>
      <c r="H76" s="631"/>
      <c r="I76" s="21">
        <f t="shared" si="10"/>
        <v>1</v>
      </c>
      <c r="J76" s="631"/>
      <c r="K76" s="21">
        <f t="shared" si="11"/>
        <v>1</v>
      </c>
      <c r="L76" s="631"/>
      <c r="M76" s="21">
        <f t="shared" si="12"/>
        <v>1</v>
      </c>
      <c r="N76" s="631"/>
      <c r="O76" s="21">
        <f t="shared" si="13"/>
        <v>1</v>
      </c>
      <c r="P76" s="631"/>
      <c r="Q76" s="21">
        <f t="shared" si="14"/>
        <v>0</v>
      </c>
      <c r="R76" s="3165">
        <f t="shared" si="15"/>
        <v>0</v>
      </c>
      <c r="S76" s="308">
        <f t="shared" si="6"/>
        <v>0</v>
      </c>
    </row>
    <row r="77" spans="1:19">
      <c r="A77" s="142"/>
      <c r="B77" s="52"/>
      <c r="C77" s="21">
        <f t="shared" si="7"/>
        <v>1</v>
      </c>
      <c r="D77" s="631"/>
      <c r="E77" s="21">
        <f t="shared" si="8"/>
        <v>0.02</v>
      </c>
      <c r="F77" s="631"/>
      <c r="G77" s="21">
        <f t="shared" si="9"/>
        <v>1</v>
      </c>
      <c r="H77" s="631"/>
      <c r="I77" s="21">
        <f t="shared" si="10"/>
        <v>1</v>
      </c>
      <c r="J77" s="631"/>
      <c r="K77" s="21">
        <f t="shared" si="11"/>
        <v>1</v>
      </c>
      <c r="L77" s="631"/>
      <c r="M77" s="21">
        <f t="shared" si="12"/>
        <v>1</v>
      </c>
      <c r="N77" s="631"/>
      <c r="O77" s="21">
        <f t="shared" si="13"/>
        <v>1</v>
      </c>
      <c r="P77" s="631"/>
      <c r="Q77" s="21">
        <f t="shared" si="14"/>
        <v>0</v>
      </c>
      <c r="R77" s="3165">
        <f t="shared" si="15"/>
        <v>0</v>
      </c>
      <c r="S77" s="308">
        <f t="shared" si="6"/>
        <v>0</v>
      </c>
    </row>
    <row r="78" spans="1:19">
      <c r="A78" s="142"/>
      <c r="B78" s="52"/>
      <c r="C78" s="21">
        <f t="shared" si="7"/>
        <v>1</v>
      </c>
      <c r="D78" s="631"/>
      <c r="E78" s="21">
        <f t="shared" si="8"/>
        <v>0.02</v>
      </c>
      <c r="F78" s="631"/>
      <c r="G78" s="21">
        <f t="shared" si="9"/>
        <v>1</v>
      </c>
      <c r="H78" s="631"/>
      <c r="I78" s="21">
        <f t="shared" si="10"/>
        <v>1</v>
      </c>
      <c r="J78" s="631"/>
      <c r="K78" s="21">
        <f t="shared" si="11"/>
        <v>1</v>
      </c>
      <c r="L78" s="631"/>
      <c r="M78" s="21">
        <f t="shared" si="12"/>
        <v>1</v>
      </c>
      <c r="N78" s="631"/>
      <c r="O78" s="21">
        <f t="shared" si="13"/>
        <v>1</v>
      </c>
      <c r="P78" s="631"/>
      <c r="Q78" s="21">
        <f t="shared" si="14"/>
        <v>0</v>
      </c>
      <c r="R78" s="3165">
        <f t="shared" si="15"/>
        <v>0</v>
      </c>
      <c r="S78" s="308">
        <f t="shared" si="6"/>
        <v>0</v>
      </c>
    </row>
    <row r="79" spans="1:19">
      <c r="A79" s="142"/>
      <c r="B79" s="52"/>
      <c r="C79" s="21">
        <f t="shared" si="7"/>
        <v>1</v>
      </c>
      <c r="D79" s="631"/>
      <c r="E79" s="21">
        <f t="shared" si="8"/>
        <v>0.02</v>
      </c>
      <c r="F79" s="631"/>
      <c r="G79" s="21">
        <f t="shared" si="9"/>
        <v>1</v>
      </c>
      <c r="H79" s="631"/>
      <c r="I79" s="21">
        <f t="shared" si="10"/>
        <v>1</v>
      </c>
      <c r="J79" s="631"/>
      <c r="K79" s="21">
        <f t="shared" si="11"/>
        <v>1</v>
      </c>
      <c r="L79" s="631"/>
      <c r="M79" s="21">
        <f t="shared" si="12"/>
        <v>1</v>
      </c>
      <c r="N79" s="631"/>
      <c r="O79" s="21">
        <f t="shared" si="13"/>
        <v>1</v>
      </c>
      <c r="P79" s="631"/>
      <c r="Q79" s="21">
        <f t="shared" si="14"/>
        <v>0</v>
      </c>
      <c r="R79" s="3165">
        <f t="shared" si="15"/>
        <v>0</v>
      </c>
      <c r="S79" s="308">
        <f t="shared" si="6"/>
        <v>0</v>
      </c>
    </row>
    <row r="80" spans="1:19">
      <c r="A80" s="142"/>
      <c r="B80" s="52"/>
      <c r="C80" s="21">
        <f t="shared" si="7"/>
        <v>1</v>
      </c>
      <c r="D80" s="631"/>
      <c r="E80" s="21">
        <f t="shared" si="8"/>
        <v>0.02</v>
      </c>
      <c r="F80" s="631"/>
      <c r="G80" s="21">
        <f t="shared" si="9"/>
        <v>1</v>
      </c>
      <c r="H80" s="631"/>
      <c r="I80" s="21">
        <f t="shared" si="10"/>
        <v>1</v>
      </c>
      <c r="J80" s="631"/>
      <c r="K80" s="21">
        <f t="shared" si="11"/>
        <v>1</v>
      </c>
      <c r="L80" s="631"/>
      <c r="M80" s="21">
        <f t="shared" si="12"/>
        <v>1</v>
      </c>
      <c r="N80" s="631"/>
      <c r="O80" s="21">
        <f t="shared" si="13"/>
        <v>1</v>
      </c>
      <c r="P80" s="631"/>
      <c r="Q80" s="21">
        <f t="shared" si="14"/>
        <v>0</v>
      </c>
      <c r="R80" s="3165">
        <f t="shared" si="15"/>
        <v>0</v>
      </c>
      <c r="S80" s="308">
        <f t="shared" si="6"/>
        <v>0</v>
      </c>
    </row>
    <row r="81" spans="1:19">
      <c r="A81" s="142"/>
      <c r="B81" s="52"/>
      <c r="C81" s="21">
        <f t="shared" si="7"/>
        <v>1</v>
      </c>
      <c r="D81" s="631"/>
      <c r="E81" s="21">
        <f t="shared" si="8"/>
        <v>0.02</v>
      </c>
      <c r="F81" s="631"/>
      <c r="G81" s="21">
        <f t="shared" si="9"/>
        <v>1</v>
      </c>
      <c r="H81" s="631"/>
      <c r="I81" s="21">
        <f t="shared" si="10"/>
        <v>1</v>
      </c>
      <c r="J81" s="631"/>
      <c r="K81" s="21">
        <f t="shared" si="11"/>
        <v>1</v>
      </c>
      <c r="L81" s="631"/>
      <c r="M81" s="21">
        <f t="shared" si="12"/>
        <v>1</v>
      </c>
      <c r="N81" s="631"/>
      <c r="O81" s="21">
        <f t="shared" si="13"/>
        <v>1</v>
      </c>
      <c r="P81" s="631"/>
      <c r="Q81" s="21">
        <f t="shared" si="14"/>
        <v>0</v>
      </c>
      <c r="R81" s="3165">
        <f t="shared" si="15"/>
        <v>0</v>
      </c>
      <c r="S81" s="308">
        <f t="shared" si="6"/>
        <v>0</v>
      </c>
    </row>
    <row r="82" spans="1:19">
      <c r="A82" s="142"/>
      <c r="B82" s="52"/>
      <c r="C82" s="21">
        <f t="shared" si="7"/>
        <v>1</v>
      </c>
      <c r="D82" s="631"/>
      <c r="E82" s="21">
        <f t="shared" si="8"/>
        <v>0.02</v>
      </c>
      <c r="F82" s="631"/>
      <c r="G82" s="21">
        <f t="shared" si="9"/>
        <v>1</v>
      </c>
      <c r="H82" s="631"/>
      <c r="I82" s="21">
        <f t="shared" si="10"/>
        <v>1</v>
      </c>
      <c r="J82" s="631"/>
      <c r="K82" s="21">
        <f t="shared" si="11"/>
        <v>1</v>
      </c>
      <c r="L82" s="631"/>
      <c r="M82" s="21">
        <f t="shared" si="12"/>
        <v>1</v>
      </c>
      <c r="N82" s="631"/>
      <c r="O82" s="21">
        <f t="shared" si="13"/>
        <v>1</v>
      </c>
      <c r="P82" s="631"/>
      <c r="Q82" s="21">
        <f t="shared" si="14"/>
        <v>0</v>
      </c>
      <c r="R82" s="3165">
        <f t="shared" si="15"/>
        <v>0</v>
      </c>
      <c r="S82" s="308">
        <f t="shared" si="6"/>
        <v>0</v>
      </c>
    </row>
    <row r="83" spans="1:19">
      <c r="A83" s="142"/>
      <c r="B83" s="52"/>
      <c r="C83" s="21">
        <f t="shared" si="7"/>
        <v>1</v>
      </c>
      <c r="D83" s="631"/>
      <c r="E83" s="21">
        <f t="shared" si="8"/>
        <v>0.02</v>
      </c>
      <c r="F83" s="631"/>
      <c r="G83" s="21">
        <f t="shared" si="9"/>
        <v>1</v>
      </c>
      <c r="H83" s="631"/>
      <c r="I83" s="21">
        <f t="shared" si="10"/>
        <v>1</v>
      </c>
      <c r="J83" s="631"/>
      <c r="K83" s="21">
        <f t="shared" si="11"/>
        <v>1</v>
      </c>
      <c r="L83" s="631"/>
      <c r="M83" s="21">
        <f t="shared" si="12"/>
        <v>1</v>
      </c>
      <c r="N83" s="631"/>
      <c r="O83" s="21">
        <f t="shared" si="13"/>
        <v>1</v>
      </c>
      <c r="P83" s="631"/>
      <c r="Q83" s="21">
        <f t="shared" si="14"/>
        <v>0</v>
      </c>
      <c r="R83" s="3165">
        <f t="shared" si="15"/>
        <v>0</v>
      </c>
      <c r="S83" s="308">
        <f t="shared" si="6"/>
        <v>0</v>
      </c>
    </row>
    <row r="84" spans="1:19">
      <c r="A84" s="142"/>
      <c r="B84" s="52"/>
      <c r="C84" s="21">
        <f t="shared" si="7"/>
        <v>1</v>
      </c>
      <c r="D84" s="631"/>
      <c r="E84" s="21">
        <f t="shared" si="8"/>
        <v>0.02</v>
      </c>
      <c r="F84" s="631"/>
      <c r="G84" s="21">
        <f t="shared" si="9"/>
        <v>1</v>
      </c>
      <c r="H84" s="631"/>
      <c r="I84" s="21">
        <f t="shared" si="10"/>
        <v>1</v>
      </c>
      <c r="J84" s="631"/>
      <c r="K84" s="21">
        <f t="shared" si="11"/>
        <v>1</v>
      </c>
      <c r="L84" s="631"/>
      <c r="M84" s="21">
        <f t="shared" si="12"/>
        <v>1</v>
      </c>
      <c r="N84" s="631"/>
      <c r="O84" s="21">
        <f t="shared" si="13"/>
        <v>1</v>
      </c>
      <c r="P84" s="631"/>
      <c r="Q84" s="21">
        <f t="shared" si="14"/>
        <v>0</v>
      </c>
      <c r="R84" s="3165">
        <f t="shared" si="15"/>
        <v>0</v>
      </c>
      <c r="S84" s="308">
        <f t="shared" si="6"/>
        <v>0</v>
      </c>
    </row>
    <row r="85" spans="1:19">
      <c r="A85" s="142"/>
      <c r="B85" s="52"/>
      <c r="C85" s="21">
        <f t="shared" si="7"/>
        <v>1</v>
      </c>
      <c r="D85" s="631"/>
      <c r="E85" s="21">
        <f t="shared" si="8"/>
        <v>0.02</v>
      </c>
      <c r="F85" s="631"/>
      <c r="G85" s="21">
        <f t="shared" si="9"/>
        <v>1</v>
      </c>
      <c r="H85" s="631"/>
      <c r="I85" s="21">
        <f t="shared" si="10"/>
        <v>1</v>
      </c>
      <c r="J85" s="631"/>
      <c r="K85" s="21">
        <f t="shared" si="11"/>
        <v>1</v>
      </c>
      <c r="L85" s="631"/>
      <c r="M85" s="21">
        <f t="shared" si="12"/>
        <v>1</v>
      </c>
      <c r="N85" s="631"/>
      <c r="O85" s="21">
        <f t="shared" si="13"/>
        <v>1</v>
      </c>
      <c r="P85" s="631"/>
      <c r="Q85" s="21">
        <f t="shared" si="14"/>
        <v>0</v>
      </c>
      <c r="R85" s="3165">
        <f t="shared" si="15"/>
        <v>0</v>
      </c>
      <c r="S85" s="308">
        <f t="shared" si="6"/>
        <v>0</v>
      </c>
    </row>
    <row r="86" spans="1:19">
      <c r="A86" s="142"/>
      <c r="B86" s="52"/>
      <c r="C86" s="21">
        <f t="shared" si="7"/>
        <v>1</v>
      </c>
      <c r="D86" s="631"/>
      <c r="E86" s="21">
        <f t="shared" si="8"/>
        <v>0.02</v>
      </c>
      <c r="F86" s="631"/>
      <c r="G86" s="21">
        <f t="shared" si="9"/>
        <v>1</v>
      </c>
      <c r="H86" s="631"/>
      <c r="I86" s="21">
        <f t="shared" si="10"/>
        <v>1</v>
      </c>
      <c r="J86" s="631"/>
      <c r="K86" s="21">
        <f t="shared" si="11"/>
        <v>1</v>
      </c>
      <c r="L86" s="631"/>
      <c r="M86" s="21">
        <f t="shared" si="12"/>
        <v>1</v>
      </c>
      <c r="N86" s="631"/>
      <c r="O86" s="21">
        <f t="shared" si="13"/>
        <v>1</v>
      </c>
      <c r="P86" s="631"/>
      <c r="Q86" s="21">
        <f t="shared" si="14"/>
        <v>0</v>
      </c>
      <c r="R86" s="3165">
        <f t="shared" si="15"/>
        <v>0</v>
      </c>
      <c r="S86" s="308">
        <f t="shared" si="6"/>
        <v>0</v>
      </c>
    </row>
    <row r="87" spans="1:19">
      <c r="A87" s="142"/>
      <c r="B87" s="52"/>
      <c r="C87" s="21">
        <f t="shared" si="7"/>
        <v>1</v>
      </c>
      <c r="D87" s="631"/>
      <c r="E87" s="21">
        <f t="shared" si="8"/>
        <v>0.02</v>
      </c>
      <c r="F87" s="631"/>
      <c r="G87" s="21">
        <f t="shared" si="9"/>
        <v>1</v>
      </c>
      <c r="H87" s="631"/>
      <c r="I87" s="21">
        <f t="shared" si="10"/>
        <v>1</v>
      </c>
      <c r="J87" s="631"/>
      <c r="K87" s="21">
        <f t="shared" si="11"/>
        <v>1</v>
      </c>
      <c r="L87" s="631"/>
      <c r="M87" s="21">
        <f t="shared" si="12"/>
        <v>1</v>
      </c>
      <c r="N87" s="631"/>
      <c r="O87" s="21">
        <f t="shared" si="13"/>
        <v>1</v>
      </c>
      <c r="P87" s="631"/>
      <c r="Q87" s="21">
        <f t="shared" si="14"/>
        <v>0</v>
      </c>
      <c r="R87" s="3165">
        <f t="shared" si="15"/>
        <v>0</v>
      </c>
      <c r="S87" s="308">
        <f t="shared" si="6"/>
        <v>0</v>
      </c>
    </row>
    <row r="88" spans="1:19">
      <c r="A88" s="142"/>
      <c r="B88" s="52"/>
      <c r="C88" s="21">
        <f t="shared" si="7"/>
        <v>1</v>
      </c>
      <c r="D88" s="631"/>
      <c r="E88" s="21">
        <f t="shared" si="8"/>
        <v>0.02</v>
      </c>
      <c r="F88" s="631"/>
      <c r="G88" s="21">
        <f t="shared" si="9"/>
        <v>1</v>
      </c>
      <c r="H88" s="631"/>
      <c r="I88" s="21">
        <f t="shared" si="10"/>
        <v>1</v>
      </c>
      <c r="J88" s="631"/>
      <c r="K88" s="21">
        <f t="shared" si="11"/>
        <v>1</v>
      </c>
      <c r="L88" s="631"/>
      <c r="M88" s="21">
        <f t="shared" si="12"/>
        <v>1</v>
      </c>
      <c r="N88" s="631"/>
      <c r="O88" s="21">
        <f t="shared" si="13"/>
        <v>1</v>
      </c>
      <c r="P88" s="631"/>
      <c r="Q88" s="21">
        <f t="shared" si="14"/>
        <v>0</v>
      </c>
      <c r="R88" s="3165">
        <f t="shared" si="15"/>
        <v>0</v>
      </c>
      <c r="S88" s="308">
        <f t="shared" ref="S88:S151" si="16">ROUND(R88*B88/10000,0)</f>
        <v>0</v>
      </c>
    </row>
    <row r="89" spans="1:19">
      <c r="A89" s="142"/>
      <c r="B89" s="52"/>
      <c r="C89" s="21">
        <f t="shared" si="7"/>
        <v>1</v>
      </c>
      <c r="D89" s="631"/>
      <c r="E89" s="21">
        <f t="shared" si="8"/>
        <v>0.02</v>
      </c>
      <c r="F89" s="631"/>
      <c r="G89" s="21">
        <f t="shared" si="9"/>
        <v>1</v>
      </c>
      <c r="H89" s="631"/>
      <c r="I89" s="21">
        <f t="shared" si="10"/>
        <v>1</v>
      </c>
      <c r="J89" s="631"/>
      <c r="K89" s="21">
        <f t="shared" si="11"/>
        <v>1</v>
      </c>
      <c r="L89" s="631"/>
      <c r="M89" s="21">
        <f t="shared" si="12"/>
        <v>1</v>
      </c>
      <c r="N89" s="631"/>
      <c r="O89" s="21">
        <f t="shared" si="13"/>
        <v>1</v>
      </c>
      <c r="P89" s="631"/>
      <c r="Q89" s="21">
        <f t="shared" si="14"/>
        <v>0</v>
      </c>
      <c r="R89" s="3165">
        <f t="shared" si="15"/>
        <v>0</v>
      </c>
      <c r="S89" s="308">
        <f t="shared" si="16"/>
        <v>0</v>
      </c>
    </row>
    <row r="90" spans="1:19">
      <c r="A90" s="142"/>
      <c r="B90" s="52"/>
      <c r="C90" s="21">
        <f t="shared" ref="C90:C153" si="17">IF(B90="",1,(LOOKUP(B90,$3:$3,$4:$4)-LOOKUP($B$24,$3:$3,$4:$4)+100)/100)</f>
        <v>1</v>
      </c>
      <c r="D90" s="631"/>
      <c r="E90" s="21">
        <f t="shared" ref="E90:E153" si="18">(SUMIF($5:$5,D90,$6:$6)-SUMIF($5:$5,$D$24,$6:$6)+100)/100</f>
        <v>0.02</v>
      </c>
      <c r="F90" s="631"/>
      <c r="G90" s="21">
        <f t="shared" ref="G90:G153" si="19">(SUMIF($7:$7,F90,$8:$8)-SUMIF($7:$7,$F$24,$8:$8)+100)/100</f>
        <v>1</v>
      </c>
      <c r="H90" s="631"/>
      <c r="I90" s="21">
        <f t="shared" ref="I90:I153" si="20">(SUMIF($9:$9,H90,$10:$10)-SUMIF($9:$9,$H$24,$10:$10)+100)/100</f>
        <v>1</v>
      </c>
      <c r="J90" s="631"/>
      <c r="K90" s="21">
        <f t="shared" ref="K90:K153" si="21">(SUMIF($11:$11,J90,$12:$12)-SUMIF($11:$11,$J$24,$12:$12)+100)/100</f>
        <v>1</v>
      </c>
      <c r="L90" s="631"/>
      <c r="M90" s="21">
        <f t="shared" ref="M90:M153" si="22">(SUMIF($13:$13,L90,$14:$14)-SUMIF($13:$13,$L$24,$14:$14)+100)/100</f>
        <v>1</v>
      </c>
      <c r="N90" s="631"/>
      <c r="O90" s="21">
        <f t="shared" ref="O90:O153" si="23">(SUMIF($15:$15,N90,$16:$16)-SUMIF($15:$15,$N$24,$16:$16)+100)/100</f>
        <v>1</v>
      </c>
      <c r="P90" s="631"/>
      <c r="Q90" s="21">
        <f t="shared" ref="Q90:Q153" si="24">(SUMIF($17:$17,P90,$18:$18)-SUMIF($17:$17,$P$24,$18:$18)+100)/100</f>
        <v>0</v>
      </c>
      <c r="R90" s="3165">
        <f t="shared" ref="R90:R101" si="25">IF(B90="",0,ROUND($R$24*C90*E90*G90*I90*K90*M90*O90*Q90,2))</f>
        <v>0</v>
      </c>
      <c r="S90" s="308">
        <f t="shared" si="16"/>
        <v>0</v>
      </c>
    </row>
    <row r="91" spans="1:19">
      <c r="A91" s="142"/>
      <c r="B91" s="52"/>
      <c r="C91" s="21">
        <f t="shared" si="17"/>
        <v>1</v>
      </c>
      <c r="D91" s="631"/>
      <c r="E91" s="21">
        <f t="shared" si="18"/>
        <v>0.02</v>
      </c>
      <c r="F91" s="631"/>
      <c r="G91" s="21">
        <f t="shared" si="19"/>
        <v>1</v>
      </c>
      <c r="H91" s="631"/>
      <c r="I91" s="21">
        <f t="shared" si="20"/>
        <v>1</v>
      </c>
      <c r="J91" s="631"/>
      <c r="K91" s="21">
        <f t="shared" si="21"/>
        <v>1</v>
      </c>
      <c r="L91" s="631"/>
      <c r="M91" s="21">
        <f t="shared" si="22"/>
        <v>1</v>
      </c>
      <c r="N91" s="631"/>
      <c r="O91" s="21">
        <f t="shared" si="23"/>
        <v>1</v>
      </c>
      <c r="P91" s="631"/>
      <c r="Q91" s="21">
        <f t="shared" si="24"/>
        <v>0</v>
      </c>
      <c r="R91" s="3165">
        <f t="shared" si="25"/>
        <v>0</v>
      </c>
      <c r="S91" s="308">
        <f t="shared" si="16"/>
        <v>0</v>
      </c>
    </row>
    <row r="92" spans="1:19">
      <c r="A92" s="142"/>
      <c r="B92" s="52"/>
      <c r="C92" s="21">
        <f t="shared" si="17"/>
        <v>1</v>
      </c>
      <c r="D92" s="631"/>
      <c r="E92" s="21">
        <f t="shared" si="18"/>
        <v>0.02</v>
      </c>
      <c r="F92" s="631"/>
      <c r="G92" s="21">
        <f t="shared" si="19"/>
        <v>1</v>
      </c>
      <c r="H92" s="631"/>
      <c r="I92" s="21">
        <f t="shared" si="20"/>
        <v>1</v>
      </c>
      <c r="J92" s="631"/>
      <c r="K92" s="21">
        <f t="shared" si="21"/>
        <v>1</v>
      </c>
      <c r="L92" s="631"/>
      <c r="M92" s="21">
        <f t="shared" si="22"/>
        <v>1</v>
      </c>
      <c r="N92" s="631"/>
      <c r="O92" s="21">
        <f t="shared" si="23"/>
        <v>1</v>
      </c>
      <c r="P92" s="631"/>
      <c r="Q92" s="21">
        <f t="shared" si="24"/>
        <v>0</v>
      </c>
      <c r="R92" s="3165">
        <f t="shared" si="25"/>
        <v>0</v>
      </c>
      <c r="S92" s="308">
        <f t="shared" si="16"/>
        <v>0</v>
      </c>
    </row>
    <row r="93" spans="1:19">
      <c r="A93" s="142"/>
      <c r="B93" s="52"/>
      <c r="C93" s="21">
        <f t="shared" si="17"/>
        <v>1</v>
      </c>
      <c r="D93" s="631"/>
      <c r="E93" s="21">
        <f t="shared" si="18"/>
        <v>0.02</v>
      </c>
      <c r="F93" s="631"/>
      <c r="G93" s="21">
        <f t="shared" si="19"/>
        <v>1</v>
      </c>
      <c r="H93" s="631"/>
      <c r="I93" s="21">
        <f t="shared" si="20"/>
        <v>1</v>
      </c>
      <c r="J93" s="631"/>
      <c r="K93" s="21">
        <f t="shared" si="21"/>
        <v>1</v>
      </c>
      <c r="L93" s="631"/>
      <c r="M93" s="21">
        <f t="shared" si="22"/>
        <v>1</v>
      </c>
      <c r="N93" s="631"/>
      <c r="O93" s="21">
        <f t="shared" si="23"/>
        <v>1</v>
      </c>
      <c r="P93" s="631"/>
      <c r="Q93" s="21">
        <f t="shared" si="24"/>
        <v>0</v>
      </c>
      <c r="R93" s="3165">
        <f t="shared" si="25"/>
        <v>0</v>
      </c>
      <c r="S93" s="308">
        <f t="shared" si="16"/>
        <v>0</v>
      </c>
    </row>
    <row r="94" spans="1:19">
      <c r="A94" s="142"/>
      <c r="B94" s="52"/>
      <c r="C94" s="21">
        <f t="shared" si="17"/>
        <v>1</v>
      </c>
      <c r="D94" s="631"/>
      <c r="E94" s="21">
        <f t="shared" si="18"/>
        <v>0.02</v>
      </c>
      <c r="F94" s="631"/>
      <c r="G94" s="21">
        <f t="shared" si="19"/>
        <v>1</v>
      </c>
      <c r="H94" s="631"/>
      <c r="I94" s="21">
        <f t="shared" si="20"/>
        <v>1</v>
      </c>
      <c r="J94" s="631"/>
      <c r="K94" s="21">
        <f t="shared" si="21"/>
        <v>1</v>
      </c>
      <c r="L94" s="631"/>
      <c r="M94" s="21">
        <f t="shared" si="22"/>
        <v>1</v>
      </c>
      <c r="N94" s="631"/>
      <c r="O94" s="21">
        <f t="shared" si="23"/>
        <v>1</v>
      </c>
      <c r="P94" s="631"/>
      <c r="Q94" s="21">
        <f t="shared" si="24"/>
        <v>0</v>
      </c>
      <c r="R94" s="3165">
        <f t="shared" si="25"/>
        <v>0</v>
      </c>
      <c r="S94" s="308">
        <f t="shared" si="16"/>
        <v>0</v>
      </c>
    </row>
    <row r="95" spans="1:19">
      <c r="A95" s="142"/>
      <c r="B95" s="52"/>
      <c r="C95" s="21">
        <f t="shared" si="17"/>
        <v>1</v>
      </c>
      <c r="D95" s="631"/>
      <c r="E95" s="21">
        <f t="shared" si="18"/>
        <v>0.02</v>
      </c>
      <c r="F95" s="631"/>
      <c r="G95" s="21">
        <f t="shared" si="19"/>
        <v>1</v>
      </c>
      <c r="H95" s="631"/>
      <c r="I95" s="21">
        <f t="shared" si="20"/>
        <v>1</v>
      </c>
      <c r="J95" s="631"/>
      <c r="K95" s="21">
        <f t="shared" si="21"/>
        <v>1</v>
      </c>
      <c r="L95" s="631"/>
      <c r="M95" s="21">
        <f t="shared" si="22"/>
        <v>1</v>
      </c>
      <c r="N95" s="631"/>
      <c r="O95" s="21">
        <f t="shared" si="23"/>
        <v>1</v>
      </c>
      <c r="P95" s="631"/>
      <c r="Q95" s="21">
        <f t="shared" si="24"/>
        <v>0</v>
      </c>
      <c r="R95" s="3165">
        <f t="shared" si="25"/>
        <v>0</v>
      </c>
      <c r="S95" s="308">
        <f t="shared" si="16"/>
        <v>0</v>
      </c>
    </row>
    <row r="96" spans="1:19">
      <c r="A96" s="142"/>
      <c r="B96" s="52"/>
      <c r="C96" s="21">
        <f t="shared" si="17"/>
        <v>1</v>
      </c>
      <c r="D96" s="631"/>
      <c r="E96" s="21">
        <f t="shared" si="18"/>
        <v>0.02</v>
      </c>
      <c r="F96" s="631"/>
      <c r="G96" s="21">
        <f t="shared" si="19"/>
        <v>1</v>
      </c>
      <c r="H96" s="631"/>
      <c r="I96" s="21">
        <f t="shared" si="20"/>
        <v>1</v>
      </c>
      <c r="J96" s="631"/>
      <c r="K96" s="21">
        <f t="shared" si="21"/>
        <v>1</v>
      </c>
      <c r="L96" s="631"/>
      <c r="M96" s="21">
        <f t="shared" si="22"/>
        <v>1</v>
      </c>
      <c r="N96" s="631"/>
      <c r="O96" s="21">
        <f t="shared" si="23"/>
        <v>1</v>
      </c>
      <c r="P96" s="631"/>
      <c r="Q96" s="21">
        <f t="shared" si="24"/>
        <v>0</v>
      </c>
      <c r="R96" s="3165">
        <f t="shared" si="25"/>
        <v>0</v>
      </c>
      <c r="S96" s="308">
        <f t="shared" si="16"/>
        <v>0</v>
      </c>
    </row>
    <row r="97" spans="1:19">
      <c r="A97" s="142"/>
      <c r="B97" s="52"/>
      <c r="C97" s="21">
        <f t="shared" si="17"/>
        <v>1</v>
      </c>
      <c r="D97" s="631"/>
      <c r="E97" s="21">
        <f t="shared" si="18"/>
        <v>0.02</v>
      </c>
      <c r="F97" s="631"/>
      <c r="G97" s="21">
        <f t="shared" si="19"/>
        <v>1</v>
      </c>
      <c r="H97" s="631"/>
      <c r="I97" s="21">
        <f t="shared" si="20"/>
        <v>1</v>
      </c>
      <c r="J97" s="631"/>
      <c r="K97" s="21">
        <f t="shared" si="21"/>
        <v>1</v>
      </c>
      <c r="L97" s="631"/>
      <c r="M97" s="21">
        <f t="shared" si="22"/>
        <v>1</v>
      </c>
      <c r="N97" s="631"/>
      <c r="O97" s="21">
        <f t="shared" si="23"/>
        <v>1</v>
      </c>
      <c r="P97" s="631"/>
      <c r="Q97" s="21">
        <f t="shared" si="24"/>
        <v>0</v>
      </c>
      <c r="R97" s="3165">
        <f t="shared" si="25"/>
        <v>0</v>
      </c>
      <c r="S97" s="308">
        <f t="shared" si="16"/>
        <v>0</v>
      </c>
    </row>
    <row r="98" spans="1:19">
      <c r="A98" s="142"/>
      <c r="B98" s="52"/>
      <c r="C98" s="21">
        <f t="shared" si="17"/>
        <v>1</v>
      </c>
      <c r="D98" s="631"/>
      <c r="E98" s="21">
        <f t="shared" si="18"/>
        <v>0.02</v>
      </c>
      <c r="F98" s="631"/>
      <c r="G98" s="21">
        <f t="shared" si="19"/>
        <v>1</v>
      </c>
      <c r="H98" s="631"/>
      <c r="I98" s="21">
        <f t="shared" si="20"/>
        <v>1</v>
      </c>
      <c r="J98" s="631"/>
      <c r="K98" s="21">
        <f t="shared" si="21"/>
        <v>1</v>
      </c>
      <c r="L98" s="631"/>
      <c r="M98" s="21">
        <f t="shared" si="22"/>
        <v>1</v>
      </c>
      <c r="N98" s="631"/>
      <c r="O98" s="21">
        <f t="shared" si="23"/>
        <v>1</v>
      </c>
      <c r="P98" s="631"/>
      <c r="Q98" s="21">
        <f t="shared" si="24"/>
        <v>0</v>
      </c>
      <c r="R98" s="3165">
        <f t="shared" si="25"/>
        <v>0</v>
      </c>
      <c r="S98" s="308">
        <f t="shared" si="16"/>
        <v>0</v>
      </c>
    </row>
    <row r="99" spans="1:19">
      <c r="A99" s="142"/>
      <c r="B99" s="52"/>
      <c r="C99" s="21">
        <f t="shared" si="17"/>
        <v>1</v>
      </c>
      <c r="D99" s="631"/>
      <c r="E99" s="21">
        <f t="shared" si="18"/>
        <v>0.02</v>
      </c>
      <c r="F99" s="631"/>
      <c r="G99" s="21">
        <f t="shared" si="19"/>
        <v>1</v>
      </c>
      <c r="H99" s="631"/>
      <c r="I99" s="21">
        <f t="shared" si="20"/>
        <v>1</v>
      </c>
      <c r="J99" s="631"/>
      <c r="K99" s="21">
        <f t="shared" si="21"/>
        <v>1</v>
      </c>
      <c r="L99" s="631"/>
      <c r="M99" s="21">
        <f t="shared" si="22"/>
        <v>1</v>
      </c>
      <c r="N99" s="631"/>
      <c r="O99" s="21">
        <f t="shared" si="23"/>
        <v>1</v>
      </c>
      <c r="P99" s="631"/>
      <c r="Q99" s="21">
        <f t="shared" si="24"/>
        <v>0</v>
      </c>
      <c r="R99" s="3165">
        <f t="shared" si="25"/>
        <v>0</v>
      </c>
      <c r="S99" s="308">
        <f t="shared" si="16"/>
        <v>0</v>
      </c>
    </row>
    <row r="100" spans="1:19">
      <c r="A100" s="142"/>
      <c r="B100" s="52"/>
      <c r="C100" s="21">
        <f t="shared" si="17"/>
        <v>1</v>
      </c>
      <c r="D100" s="631"/>
      <c r="E100" s="21">
        <f t="shared" si="18"/>
        <v>0.02</v>
      </c>
      <c r="F100" s="631"/>
      <c r="G100" s="21">
        <f t="shared" si="19"/>
        <v>1</v>
      </c>
      <c r="H100" s="631"/>
      <c r="I100" s="21">
        <f t="shared" si="20"/>
        <v>1</v>
      </c>
      <c r="J100" s="631"/>
      <c r="K100" s="21">
        <f t="shared" si="21"/>
        <v>1</v>
      </c>
      <c r="L100" s="631"/>
      <c r="M100" s="21">
        <f t="shared" si="22"/>
        <v>1</v>
      </c>
      <c r="N100" s="631"/>
      <c r="O100" s="21">
        <f t="shared" si="23"/>
        <v>1</v>
      </c>
      <c r="P100" s="631"/>
      <c r="Q100" s="21">
        <f t="shared" si="24"/>
        <v>0</v>
      </c>
      <c r="R100" s="3165">
        <f t="shared" si="25"/>
        <v>0</v>
      </c>
      <c r="S100" s="308">
        <f t="shared" si="16"/>
        <v>0</v>
      </c>
    </row>
    <row r="101" spans="1:19">
      <c r="A101" s="142"/>
      <c r="B101" s="52"/>
      <c r="C101" s="21">
        <f t="shared" si="17"/>
        <v>1</v>
      </c>
      <c r="D101" s="631"/>
      <c r="E101" s="21">
        <f t="shared" si="18"/>
        <v>0.02</v>
      </c>
      <c r="F101" s="631"/>
      <c r="G101" s="21">
        <f t="shared" si="19"/>
        <v>1</v>
      </c>
      <c r="H101" s="631"/>
      <c r="I101" s="21">
        <f t="shared" si="20"/>
        <v>1</v>
      </c>
      <c r="J101" s="631"/>
      <c r="K101" s="21">
        <f t="shared" si="21"/>
        <v>1</v>
      </c>
      <c r="L101" s="631"/>
      <c r="M101" s="21">
        <f t="shared" si="22"/>
        <v>1</v>
      </c>
      <c r="N101" s="631"/>
      <c r="O101" s="21">
        <f t="shared" si="23"/>
        <v>1</v>
      </c>
      <c r="P101" s="631"/>
      <c r="Q101" s="21">
        <f t="shared" si="24"/>
        <v>0</v>
      </c>
      <c r="R101" s="3165">
        <f t="shared" si="25"/>
        <v>0</v>
      </c>
      <c r="S101" s="308">
        <f t="shared" si="16"/>
        <v>0</v>
      </c>
    </row>
    <row r="102" spans="1:19">
      <c r="A102" s="142"/>
      <c r="B102" s="52"/>
      <c r="C102" s="21">
        <f t="shared" si="17"/>
        <v>1</v>
      </c>
      <c r="D102" s="631"/>
      <c r="E102" s="21">
        <f t="shared" si="18"/>
        <v>0.02</v>
      </c>
      <c r="F102" s="631"/>
      <c r="G102" s="21">
        <f t="shared" si="19"/>
        <v>1</v>
      </c>
      <c r="H102" s="631"/>
      <c r="I102" s="21">
        <f t="shared" si="20"/>
        <v>1</v>
      </c>
      <c r="J102" s="631"/>
      <c r="K102" s="21">
        <f t="shared" si="21"/>
        <v>1</v>
      </c>
      <c r="L102" s="631"/>
      <c r="M102" s="21">
        <f t="shared" si="22"/>
        <v>1</v>
      </c>
      <c r="N102" s="631"/>
      <c r="O102" s="21">
        <f t="shared" si="23"/>
        <v>1</v>
      </c>
      <c r="P102" s="631"/>
      <c r="Q102" s="21">
        <f t="shared" si="24"/>
        <v>0</v>
      </c>
      <c r="R102" s="21">
        <f t="shared" ref="R102:R165" si="26">IF(B102="",0,ROUND($R$24*C102*E102*G102*I102*K102*M102*O102*Q102,0))</f>
        <v>0</v>
      </c>
      <c r="S102" s="308">
        <f t="shared" si="16"/>
        <v>0</v>
      </c>
    </row>
    <row r="103" spans="1:19">
      <c r="A103" s="142"/>
      <c r="B103" s="52"/>
      <c r="C103" s="21">
        <f t="shared" si="17"/>
        <v>1</v>
      </c>
      <c r="D103" s="631"/>
      <c r="E103" s="21">
        <f t="shared" si="18"/>
        <v>0.02</v>
      </c>
      <c r="F103" s="631"/>
      <c r="G103" s="21">
        <f t="shared" si="19"/>
        <v>1</v>
      </c>
      <c r="H103" s="631"/>
      <c r="I103" s="21">
        <f t="shared" si="20"/>
        <v>1</v>
      </c>
      <c r="J103" s="631"/>
      <c r="K103" s="21">
        <f t="shared" si="21"/>
        <v>1</v>
      </c>
      <c r="L103" s="631"/>
      <c r="M103" s="21">
        <f t="shared" si="22"/>
        <v>1</v>
      </c>
      <c r="N103" s="631"/>
      <c r="O103" s="21">
        <f t="shared" si="23"/>
        <v>1</v>
      </c>
      <c r="P103" s="631"/>
      <c r="Q103" s="21">
        <f t="shared" si="24"/>
        <v>0</v>
      </c>
      <c r="R103" s="21">
        <f t="shared" si="26"/>
        <v>0</v>
      </c>
      <c r="S103" s="308">
        <f t="shared" si="16"/>
        <v>0</v>
      </c>
    </row>
    <row r="104" spans="1:19">
      <c r="A104" s="142"/>
      <c r="B104" s="52"/>
      <c r="C104" s="21">
        <f t="shared" si="17"/>
        <v>1</v>
      </c>
      <c r="D104" s="631"/>
      <c r="E104" s="21">
        <f t="shared" si="18"/>
        <v>0.02</v>
      </c>
      <c r="F104" s="631"/>
      <c r="G104" s="21">
        <f t="shared" si="19"/>
        <v>1</v>
      </c>
      <c r="H104" s="631"/>
      <c r="I104" s="21">
        <f t="shared" si="20"/>
        <v>1</v>
      </c>
      <c r="J104" s="631"/>
      <c r="K104" s="21">
        <f t="shared" si="21"/>
        <v>1</v>
      </c>
      <c r="L104" s="631"/>
      <c r="M104" s="21">
        <f t="shared" si="22"/>
        <v>1</v>
      </c>
      <c r="N104" s="631"/>
      <c r="O104" s="21">
        <f t="shared" si="23"/>
        <v>1</v>
      </c>
      <c r="P104" s="631"/>
      <c r="Q104" s="21">
        <f t="shared" si="24"/>
        <v>0</v>
      </c>
      <c r="R104" s="21">
        <f t="shared" si="26"/>
        <v>0</v>
      </c>
      <c r="S104" s="308">
        <f t="shared" si="16"/>
        <v>0</v>
      </c>
    </row>
    <row r="105" spans="1:19">
      <c r="A105" s="142"/>
      <c r="B105" s="52"/>
      <c r="C105" s="21">
        <f t="shared" si="17"/>
        <v>1</v>
      </c>
      <c r="D105" s="631"/>
      <c r="E105" s="21">
        <f t="shared" si="18"/>
        <v>0.02</v>
      </c>
      <c r="F105" s="631"/>
      <c r="G105" s="21">
        <f t="shared" si="19"/>
        <v>1</v>
      </c>
      <c r="H105" s="631"/>
      <c r="I105" s="21">
        <f t="shared" si="20"/>
        <v>1</v>
      </c>
      <c r="J105" s="631"/>
      <c r="K105" s="21">
        <f t="shared" si="21"/>
        <v>1</v>
      </c>
      <c r="L105" s="631"/>
      <c r="M105" s="21">
        <f t="shared" si="22"/>
        <v>1</v>
      </c>
      <c r="N105" s="631"/>
      <c r="O105" s="21">
        <f t="shared" si="23"/>
        <v>1</v>
      </c>
      <c r="P105" s="631"/>
      <c r="Q105" s="21">
        <f t="shared" si="24"/>
        <v>0</v>
      </c>
      <c r="R105" s="21">
        <f t="shared" si="26"/>
        <v>0</v>
      </c>
      <c r="S105" s="308">
        <f t="shared" si="16"/>
        <v>0</v>
      </c>
    </row>
    <row r="106" spans="1:19">
      <c r="A106" s="142"/>
      <c r="B106" s="52"/>
      <c r="C106" s="21">
        <f t="shared" si="17"/>
        <v>1</v>
      </c>
      <c r="D106" s="631"/>
      <c r="E106" s="21">
        <f t="shared" si="18"/>
        <v>0.02</v>
      </c>
      <c r="F106" s="631"/>
      <c r="G106" s="21">
        <f t="shared" si="19"/>
        <v>1</v>
      </c>
      <c r="H106" s="631"/>
      <c r="I106" s="21">
        <f t="shared" si="20"/>
        <v>1</v>
      </c>
      <c r="J106" s="631"/>
      <c r="K106" s="21">
        <f t="shared" si="21"/>
        <v>1</v>
      </c>
      <c r="L106" s="631"/>
      <c r="M106" s="21">
        <f t="shared" si="22"/>
        <v>1</v>
      </c>
      <c r="N106" s="631"/>
      <c r="O106" s="21">
        <f t="shared" si="23"/>
        <v>1</v>
      </c>
      <c r="P106" s="631"/>
      <c r="Q106" s="21">
        <f t="shared" si="24"/>
        <v>0</v>
      </c>
      <c r="R106" s="21">
        <f t="shared" si="26"/>
        <v>0</v>
      </c>
      <c r="S106" s="308">
        <f t="shared" si="16"/>
        <v>0</v>
      </c>
    </row>
    <row r="107" spans="1:19">
      <c r="A107" s="142"/>
      <c r="B107" s="52"/>
      <c r="C107" s="21">
        <f t="shared" si="17"/>
        <v>1</v>
      </c>
      <c r="D107" s="631"/>
      <c r="E107" s="21">
        <f t="shared" si="18"/>
        <v>0.02</v>
      </c>
      <c r="F107" s="631"/>
      <c r="G107" s="21">
        <f t="shared" si="19"/>
        <v>1</v>
      </c>
      <c r="H107" s="631"/>
      <c r="I107" s="21">
        <f t="shared" si="20"/>
        <v>1</v>
      </c>
      <c r="J107" s="631"/>
      <c r="K107" s="21">
        <f t="shared" si="21"/>
        <v>1</v>
      </c>
      <c r="L107" s="631"/>
      <c r="M107" s="21">
        <f t="shared" si="22"/>
        <v>1</v>
      </c>
      <c r="N107" s="631"/>
      <c r="O107" s="21">
        <f t="shared" si="23"/>
        <v>1</v>
      </c>
      <c r="P107" s="631"/>
      <c r="Q107" s="21">
        <f t="shared" si="24"/>
        <v>0</v>
      </c>
      <c r="R107" s="21">
        <f t="shared" si="26"/>
        <v>0</v>
      </c>
      <c r="S107" s="308">
        <f t="shared" si="16"/>
        <v>0</v>
      </c>
    </row>
    <row r="108" spans="1:19">
      <c r="A108" s="142"/>
      <c r="B108" s="52"/>
      <c r="C108" s="21">
        <f t="shared" si="17"/>
        <v>1</v>
      </c>
      <c r="D108" s="631"/>
      <c r="E108" s="21">
        <f t="shared" si="18"/>
        <v>0.02</v>
      </c>
      <c r="F108" s="631"/>
      <c r="G108" s="21">
        <f t="shared" si="19"/>
        <v>1</v>
      </c>
      <c r="H108" s="631"/>
      <c r="I108" s="21">
        <f t="shared" si="20"/>
        <v>1</v>
      </c>
      <c r="J108" s="631"/>
      <c r="K108" s="21">
        <f t="shared" si="21"/>
        <v>1</v>
      </c>
      <c r="L108" s="631"/>
      <c r="M108" s="21">
        <f t="shared" si="22"/>
        <v>1</v>
      </c>
      <c r="N108" s="631"/>
      <c r="O108" s="21">
        <f t="shared" si="23"/>
        <v>1</v>
      </c>
      <c r="P108" s="631"/>
      <c r="Q108" s="21">
        <f t="shared" si="24"/>
        <v>0</v>
      </c>
      <c r="R108" s="21">
        <f t="shared" si="26"/>
        <v>0</v>
      </c>
      <c r="S108" s="308">
        <f t="shared" si="16"/>
        <v>0</v>
      </c>
    </row>
    <row r="109" spans="1:19">
      <c r="A109" s="142"/>
      <c r="B109" s="52"/>
      <c r="C109" s="21">
        <f t="shared" si="17"/>
        <v>1</v>
      </c>
      <c r="D109" s="631"/>
      <c r="E109" s="21">
        <f t="shared" si="18"/>
        <v>0.02</v>
      </c>
      <c r="F109" s="631"/>
      <c r="G109" s="21">
        <f t="shared" si="19"/>
        <v>1</v>
      </c>
      <c r="H109" s="631"/>
      <c r="I109" s="21">
        <f t="shared" si="20"/>
        <v>1</v>
      </c>
      <c r="J109" s="631"/>
      <c r="K109" s="21">
        <f t="shared" si="21"/>
        <v>1</v>
      </c>
      <c r="L109" s="631"/>
      <c r="M109" s="21">
        <f t="shared" si="22"/>
        <v>1</v>
      </c>
      <c r="N109" s="631"/>
      <c r="O109" s="21">
        <f t="shared" si="23"/>
        <v>1</v>
      </c>
      <c r="P109" s="631"/>
      <c r="Q109" s="21">
        <f t="shared" si="24"/>
        <v>0</v>
      </c>
      <c r="R109" s="21">
        <f t="shared" si="26"/>
        <v>0</v>
      </c>
      <c r="S109" s="308">
        <f t="shared" si="16"/>
        <v>0</v>
      </c>
    </row>
    <row r="110" spans="1:19">
      <c r="A110" s="142"/>
      <c r="B110" s="52"/>
      <c r="C110" s="21">
        <f t="shared" si="17"/>
        <v>1</v>
      </c>
      <c r="D110" s="631"/>
      <c r="E110" s="21">
        <f t="shared" si="18"/>
        <v>0.02</v>
      </c>
      <c r="F110" s="631"/>
      <c r="G110" s="21">
        <f t="shared" si="19"/>
        <v>1</v>
      </c>
      <c r="H110" s="631"/>
      <c r="I110" s="21">
        <f t="shared" si="20"/>
        <v>1</v>
      </c>
      <c r="J110" s="631"/>
      <c r="K110" s="21">
        <f t="shared" si="21"/>
        <v>1</v>
      </c>
      <c r="L110" s="631"/>
      <c r="M110" s="21">
        <f t="shared" si="22"/>
        <v>1</v>
      </c>
      <c r="N110" s="631"/>
      <c r="O110" s="21">
        <f t="shared" si="23"/>
        <v>1</v>
      </c>
      <c r="P110" s="631"/>
      <c r="Q110" s="21">
        <f t="shared" si="24"/>
        <v>0</v>
      </c>
      <c r="R110" s="21">
        <f t="shared" si="26"/>
        <v>0</v>
      </c>
      <c r="S110" s="308">
        <f t="shared" si="16"/>
        <v>0</v>
      </c>
    </row>
    <row r="111" spans="1:19">
      <c r="A111" s="142"/>
      <c r="B111" s="52"/>
      <c r="C111" s="21">
        <f t="shared" si="17"/>
        <v>1</v>
      </c>
      <c r="D111" s="631"/>
      <c r="E111" s="21">
        <f t="shared" si="18"/>
        <v>0.02</v>
      </c>
      <c r="F111" s="631"/>
      <c r="G111" s="21">
        <f t="shared" si="19"/>
        <v>1</v>
      </c>
      <c r="H111" s="631"/>
      <c r="I111" s="21">
        <f t="shared" si="20"/>
        <v>1</v>
      </c>
      <c r="J111" s="631"/>
      <c r="K111" s="21">
        <f t="shared" si="21"/>
        <v>1</v>
      </c>
      <c r="L111" s="631"/>
      <c r="M111" s="21">
        <f t="shared" si="22"/>
        <v>1</v>
      </c>
      <c r="N111" s="631"/>
      <c r="O111" s="21">
        <f t="shared" si="23"/>
        <v>1</v>
      </c>
      <c r="P111" s="631"/>
      <c r="Q111" s="21">
        <f t="shared" si="24"/>
        <v>0</v>
      </c>
      <c r="R111" s="21">
        <f t="shared" si="26"/>
        <v>0</v>
      </c>
      <c r="S111" s="308">
        <f t="shared" si="16"/>
        <v>0</v>
      </c>
    </row>
    <row r="112" spans="1:19">
      <c r="A112" s="142"/>
      <c r="B112" s="52"/>
      <c r="C112" s="21">
        <f t="shared" si="17"/>
        <v>1</v>
      </c>
      <c r="D112" s="631"/>
      <c r="E112" s="21">
        <f t="shared" si="18"/>
        <v>0.02</v>
      </c>
      <c r="F112" s="631"/>
      <c r="G112" s="21">
        <f t="shared" si="19"/>
        <v>1</v>
      </c>
      <c r="H112" s="631"/>
      <c r="I112" s="21">
        <f t="shared" si="20"/>
        <v>1</v>
      </c>
      <c r="J112" s="631"/>
      <c r="K112" s="21">
        <f t="shared" si="21"/>
        <v>1</v>
      </c>
      <c r="L112" s="631"/>
      <c r="M112" s="21">
        <f t="shared" si="22"/>
        <v>1</v>
      </c>
      <c r="N112" s="631"/>
      <c r="O112" s="21">
        <f t="shared" si="23"/>
        <v>1</v>
      </c>
      <c r="P112" s="631"/>
      <c r="Q112" s="21">
        <f t="shared" si="24"/>
        <v>0</v>
      </c>
      <c r="R112" s="21">
        <f t="shared" si="26"/>
        <v>0</v>
      </c>
      <c r="S112" s="308">
        <f t="shared" si="16"/>
        <v>0</v>
      </c>
    </row>
    <row r="113" spans="1:19">
      <c r="A113" s="142"/>
      <c r="B113" s="52"/>
      <c r="C113" s="21">
        <f t="shared" si="17"/>
        <v>1</v>
      </c>
      <c r="D113" s="631"/>
      <c r="E113" s="21">
        <f t="shared" si="18"/>
        <v>0.02</v>
      </c>
      <c r="F113" s="631"/>
      <c r="G113" s="21">
        <f t="shared" si="19"/>
        <v>1</v>
      </c>
      <c r="H113" s="631"/>
      <c r="I113" s="21">
        <f t="shared" si="20"/>
        <v>1</v>
      </c>
      <c r="J113" s="631"/>
      <c r="K113" s="21">
        <f t="shared" si="21"/>
        <v>1</v>
      </c>
      <c r="L113" s="631"/>
      <c r="M113" s="21">
        <f t="shared" si="22"/>
        <v>1</v>
      </c>
      <c r="N113" s="631"/>
      <c r="O113" s="21">
        <f t="shared" si="23"/>
        <v>1</v>
      </c>
      <c r="P113" s="631"/>
      <c r="Q113" s="21">
        <f t="shared" si="24"/>
        <v>0</v>
      </c>
      <c r="R113" s="21">
        <f t="shared" si="26"/>
        <v>0</v>
      </c>
      <c r="S113" s="308">
        <f t="shared" si="16"/>
        <v>0</v>
      </c>
    </row>
    <row r="114" spans="1:19">
      <c r="A114" s="142"/>
      <c r="B114" s="52"/>
      <c r="C114" s="21">
        <f t="shared" si="17"/>
        <v>1</v>
      </c>
      <c r="D114" s="631"/>
      <c r="E114" s="21">
        <f t="shared" si="18"/>
        <v>0.02</v>
      </c>
      <c r="F114" s="631"/>
      <c r="G114" s="21">
        <f t="shared" si="19"/>
        <v>1</v>
      </c>
      <c r="H114" s="631"/>
      <c r="I114" s="21">
        <f t="shared" si="20"/>
        <v>1</v>
      </c>
      <c r="J114" s="631"/>
      <c r="K114" s="21">
        <f t="shared" si="21"/>
        <v>1</v>
      </c>
      <c r="L114" s="631"/>
      <c r="M114" s="21">
        <f t="shared" si="22"/>
        <v>1</v>
      </c>
      <c r="N114" s="631"/>
      <c r="O114" s="21">
        <f t="shared" si="23"/>
        <v>1</v>
      </c>
      <c r="P114" s="631"/>
      <c r="Q114" s="21">
        <f t="shared" si="24"/>
        <v>0</v>
      </c>
      <c r="R114" s="21">
        <f t="shared" si="26"/>
        <v>0</v>
      </c>
      <c r="S114" s="308">
        <f t="shared" si="16"/>
        <v>0</v>
      </c>
    </row>
    <row r="115" spans="1:19">
      <c r="A115" s="142"/>
      <c r="B115" s="52"/>
      <c r="C115" s="21">
        <f t="shared" si="17"/>
        <v>1</v>
      </c>
      <c r="D115" s="631"/>
      <c r="E115" s="21">
        <f t="shared" si="18"/>
        <v>0.02</v>
      </c>
      <c r="F115" s="631"/>
      <c r="G115" s="21">
        <f t="shared" si="19"/>
        <v>1</v>
      </c>
      <c r="H115" s="631"/>
      <c r="I115" s="21">
        <f t="shared" si="20"/>
        <v>1</v>
      </c>
      <c r="J115" s="631"/>
      <c r="K115" s="21">
        <f t="shared" si="21"/>
        <v>1</v>
      </c>
      <c r="L115" s="631"/>
      <c r="M115" s="21">
        <f t="shared" si="22"/>
        <v>1</v>
      </c>
      <c r="N115" s="631"/>
      <c r="O115" s="21">
        <f t="shared" si="23"/>
        <v>1</v>
      </c>
      <c r="P115" s="631"/>
      <c r="Q115" s="21">
        <f t="shared" si="24"/>
        <v>0</v>
      </c>
      <c r="R115" s="21">
        <f t="shared" si="26"/>
        <v>0</v>
      </c>
      <c r="S115" s="308">
        <f t="shared" si="16"/>
        <v>0</v>
      </c>
    </row>
    <row r="116" spans="1:19">
      <c r="A116" s="142"/>
      <c r="B116" s="52"/>
      <c r="C116" s="21">
        <f t="shared" si="17"/>
        <v>1</v>
      </c>
      <c r="D116" s="631"/>
      <c r="E116" s="21">
        <f t="shared" si="18"/>
        <v>0.02</v>
      </c>
      <c r="F116" s="631"/>
      <c r="G116" s="21">
        <f t="shared" si="19"/>
        <v>1</v>
      </c>
      <c r="H116" s="631"/>
      <c r="I116" s="21">
        <f t="shared" si="20"/>
        <v>1</v>
      </c>
      <c r="J116" s="631"/>
      <c r="K116" s="21">
        <f t="shared" si="21"/>
        <v>1</v>
      </c>
      <c r="L116" s="631"/>
      <c r="M116" s="21">
        <f t="shared" si="22"/>
        <v>1</v>
      </c>
      <c r="N116" s="631"/>
      <c r="O116" s="21">
        <f t="shared" si="23"/>
        <v>1</v>
      </c>
      <c r="P116" s="631"/>
      <c r="Q116" s="21">
        <f t="shared" si="24"/>
        <v>0</v>
      </c>
      <c r="R116" s="21">
        <f t="shared" si="26"/>
        <v>0</v>
      </c>
      <c r="S116" s="308">
        <f t="shared" si="16"/>
        <v>0</v>
      </c>
    </row>
    <row r="117" spans="1:19">
      <c r="A117" s="142"/>
      <c r="B117" s="52"/>
      <c r="C117" s="21">
        <f t="shared" si="17"/>
        <v>1</v>
      </c>
      <c r="D117" s="631"/>
      <c r="E117" s="21">
        <f t="shared" si="18"/>
        <v>0.02</v>
      </c>
      <c r="F117" s="631"/>
      <c r="G117" s="21">
        <f t="shared" si="19"/>
        <v>1</v>
      </c>
      <c r="H117" s="631"/>
      <c r="I117" s="21">
        <f t="shared" si="20"/>
        <v>1</v>
      </c>
      <c r="J117" s="631"/>
      <c r="K117" s="21">
        <f t="shared" si="21"/>
        <v>1</v>
      </c>
      <c r="L117" s="631"/>
      <c r="M117" s="21">
        <f t="shared" si="22"/>
        <v>1</v>
      </c>
      <c r="N117" s="631"/>
      <c r="O117" s="21">
        <f t="shared" si="23"/>
        <v>1</v>
      </c>
      <c r="P117" s="631"/>
      <c r="Q117" s="21">
        <f t="shared" si="24"/>
        <v>0</v>
      </c>
      <c r="R117" s="21">
        <f t="shared" si="26"/>
        <v>0</v>
      </c>
      <c r="S117" s="308">
        <f t="shared" si="16"/>
        <v>0</v>
      </c>
    </row>
    <row r="118" spans="1:19">
      <c r="A118" s="142"/>
      <c r="B118" s="52"/>
      <c r="C118" s="21">
        <f t="shared" si="17"/>
        <v>1</v>
      </c>
      <c r="D118" s="631"/>
      <c r="E118" s="21">
        <f t="shared" si="18"/>
        <v>0.02</v>
      </c>
      <c r="F118" s="631"/>
      <c r="G118" s="21">
        <f t="shared" si="19"/>
        <v>1</v>
      </c>
      <c r="H118" s="631"/>
      <c r="I118" s="21">
        <f t="shared" si="20"/>
        <v>1</v>
      </c>
      <c r="J118" s="631"/>
      <c r="K118" s="21">
        <f t="shared" si="21"/>
        <v>1</v>
      </c>
      <c r="L118" s="631"/>
      <c r="M118" s="21">
        <f t="shared" si="22"/>
        <v>1</v>
      </c>
      <c r="N118" s="631"/>
      <c r="O118" s="21">
        <f t="shared" si="23"/>
        <v>1</v>
      </c>
      <c r="P118" s="631"/>
      <c r="Q118" s="21">
        <f t="shared" si="24"/>
        <v>0</v>
      </c>
      <c r="R118" s="21">
        <f t="shared" si="26"/>
        <v>0</v>
      </c>
      <c r="S118" s="308">
        <f t="shared" si="16"/>
        <v>0</v>
      </c>
    </row>
    <row r="119" spans="1:19">
      <c r="A119" s="142"/>
      <c r="B119" s="52"/>
      <c r="C119" s="21">
        <f t="shared" si="17"/>
        <v>1</v>
      </c>
      <c r="D119" s="631"/>
      <c r="E119" s="21">
        <f t="shared" si="18"/>
        <v>0.02</v>
      </c>
      <c r="F119" s="631"/>
      <c r="G119" s="21">
        <f t="shared" si="19"/>
        <v>1</v>
      </c>
      <c r="H119" s="631"/>
      <c r="I119" s="21">
        <f t="shared" si="20"/>
        <v>1</v>
      </c>
      <c r="J119" s="631"/>
      <c r="K119" s="21">
        <f t="shared" si="21"/>
        <v>1</v>
      </c>
      <c r="L119" s="631"/>
      <c r="M119" s="21">
        <f t="shared" si="22"/>
        <v>1</v>
      </c>
      <c r="N119" s="631"/>
      <c r="O119" s="21">
        <f t="shared" si="23"/>
        <v>1</v>
      </c>
      <c r="P119" s="631"/>
      <c r="Q119" s="21">
        <f t="shared" si="24"/>
        <v>0</v>
      </c>
      <c r="R119" s="21">
        <f t="shared" si="26"/>
        <v>0</v>
      </c>
      <c r="S119" s="308">
        <f t="shared" si="16"/>
        <v>0</v>
      </c>
    </row>
    <row r="120" spans="1:19">
      <c r="A120" s="142"/>
      <c r="B120" s="52"/>
      <c r="C120" s="21">
        <f t="shared" si="17"/>
        <v>1</v>
      </c>
      <c r="D120" s="631"/>
      <c r="E120" s="21">
        <f t="shared" si="18"/>
        <v>0.02</v>
      </c>
      <c r="F120" s="631"/>
      <c r="G120" s="21">
        <f t="shared" si="19"/>
        <v>1</v>
      </c>
      <c r="H120" s="631"/>
      <c r="I120" s="21">
        <f t="shared" si="20"/>
        <v>1</v>
      </c>
      <c r="J120" s="631"/>
      <c r="K120" s="21">
        <f t="shared" si="21"/>
        <v>1</v>
      </c>
      <c r="L120" s="631"/>
      <c r="M120" s="21">
        <f t="shared" si="22"/>
        <v>1</v>
      </c>
      <c r="N120" s="631"/>
      <c r="O120" s="21">
        <f t="shared" si="23"/>
        <v>1</v>
      </c>
      <c r="P120" s="631"/>
      <c r="Q120" s="21">
        <f t="shared" si="24"/>
        <v>0</v>
      </c>
      <c r="R120" s="21">
        <f t="shared" si="26"/>
        <v>0</v>
      </c>
      <c r="S120" s="308">
        <f t="shared" si="16"/>
        <v>0</v>
      </c>
    </row>
    <row r="121" spans="1:19">
      <c r="A121" s="142"/>
      <c r="B121" s="52"/>
      <c r="C121" s="21">
        <f t="shared" si="17"/>
        <v>1</v>
      </c>
      <c r="D121" s="631"/>
      <c r="E121" s="21">
        <f t="shared" si="18"/>
        <v>0.02</v>
      </c>
      <c r="F121" s="631"/>
      <c r="G121" s="21">
        <f t="shared" si="19"/>
        <v>1</v>
      </c>
      <c r="H121" s="631"/>
      <c r="I121" s="21">
        <f t="shared" si="20"/>
        <v>1</v>
      </c>
      <c r="J121" s="631"/>
      <c r="K121" s="21">
        <f t="shared" si="21"/>
        <v>1</v>
      </c>
      <c r="L121" s="631"/>
      <c r="M121" s="21">
        <f t="shared" si="22"/>
        <v>1</v>
      </c>
      <c r="N121" s="631"/>
      <c r="O121" s="21">
        <f t="shared" si="23"/>
        <v>1</v>
      </c>
      <c r="P121" s="631"/>
      <c r="Q121" s="21">
        <f t="shared" si="24"/>
        <v>0</v>
      </c>
      <c r="R121" s="21">
        <f t="shared" si="26"/>
        <v>0</v>
      </c>
      <c r="S121" s="308">
        <f t="shared" si="16"/>
        <v>0</v>
      </c>
    </row>
    <row r="122" spans="1:19">
      <c r="A122" s="142"/>
      <c r="B122" s="52"/>
      <c r="C122" s="21">
        <f t="shared" si="17"/>
        <v>1</v>
      </c>
      <c r="D122" s="631"/>
      <c r="E122" s="21">
        <f t="shared" si="18"/>
        <v>0.02</v>
      </c>
      <c r="F122" s="631"/>
      <c r="G122" s="21">
        <f t="shared" si="19"/>
        <v>1</v>
      </c>
      <c r="H122" s="631"/>
      <c r="I122" s="21">
        <f t="shared" si="20"/>
        <v>1</v>
      </c>
      <c r="J122" s="631"/>
      <c r="K122" s="21">
        <f t="shared" si="21"/>
        <v>1</v>
      </c>
      <c r="L122" s="631"/>
      <c r="M122" s="21">
        <f t="shared" si="22"/>
        <v>1</v>
      </c>
      <c r="N122" s="631"/>
      <c r="O122" s="21">
        <f t="shared" si="23"/>
        <v>1</v>
      </c>
      <c r="P122" s="631"/>
      <c r="Q122" s="21">
        <f t="shared" si="24"/>
        <v>0</v>
      </c>
      <c r="R122" s="21">
        <f t="shared" si="26"/>
        <v>0</v>
      </c>
      <c r="S122" s="308">
        <f t="shared" si="16"/>
        <v>0</v>
      </c>
    </row>
    <row r="123" spans="1:19">
      <c r="A123" s="142"/>
      <c r="B123" s="52"/>
      <c r="C123" s="21">
        <f t="shared" si="17"/>
        <v>1</v>
      </c>
      <c r="D123" s="631"/>
      <c r="E123" s="21">
        <f t="shared" si="18"/>
        <v>0.02</v>
      </c>
      <c r="F123" s="631"/>
      <c r="G123" s="21">
        <f t="shared" si="19"/>
        <v>1</v>
      </c>
      <c r="H123" s="631"/>
      <c r="I123" s="21">
        <f t="shared" si="20"/>
        <v>1</v>
      </c>
      <c r="J123" s="631"/>
      <c r="K123" s="21">
        <f t="shared" si="21"/>
        <v>1</v>
      </c>
      <c r="L123" s="631"/>
      <c r="M123" s="21">
        <f t="shared" si="22"/>
        <v>1</v>
      </c>
      <c r="N123" s="631"/>
      <c r="O123" s="21">
        <f t="shared" si="23"/>
        <v>1</v>
      </c>
      <c r="P123" s="631"/>
      <c r="Q123" s="21">
        <f t="shared" si="24"/>
        <v>0</v>
      </c>
      <c r="R123" s="21">
        <f t="shared" si="26"/>
        <v>0</v>
      </c>
      <c r="S123" s="308">
        <f t="shared" si="16"/>
        <v>0</v>
      </c>
    </row>
    <row r="124" spans="1:19">
      <c r="A124" s="142"/>
      <c r="B124" s="52"/>
      <c r="C124" s="21">
        <f t="shared" si="17"/>
        <v>1</v>
      </c>
      <c r="D124" s="631"/>
      <c r="E124" s="21">
        <f t="shared" si="18"/>
        <v>0.02</v>
      </c>
      <c r="F124" s="631"/>
      <c r="G124" s="21">
        <f t="shared" si="19"/>
        <v>1</v>
      </c>
      <c r="H124" s="631"/>
      <c r="I124" s="21">
        <f t="shared" si="20"/>
        <v>1</v>
      </c>
      <c r="J124" s="631"/>
      <c r="K124" s="21">
        <f t="shared" si="21"/>
        <v>1</v>
      </c>
      <c r="L124" s="631"/>
      <c r="M124" s="21">
        <f t="shared" si="22"/>
        <v>1</v>
      </c>
      <c r="N124" s="631"/>
      <c r="O124" s="21">
        <f t="shared" si="23"/>
        <v>1</v>
      </c>
      <c r="P124" s="631"/>
      <c r="Q124" s="21">
        <f t="shared" si="24"/>
        <v>0</v>
      </c>
      <c r="R124" s="21">
        <f t="shared" si="26"/>
        <v>0</v>
      </c>
      <c r="S124" s="308">
        <f t="shared" si="16"/>
        <v>0</v>
      </c>
    </row>
    <row r="125" spans="1:19">
      <c r="A125" s="142"/>
      <c r="B125" s="52"/>
      <c r="C125" s="21">
        <f t="shared" si="17"/>
        <v>1</v>
      </c>
      <c r="D125" s="631"/>
      <c r="E125" s="21">
        <f t="shared" si="18"/>
        <v>0.02</v>
      </c>
      <c r="F125" s="631"/>
      <c r="G125" s="21">
        <f t="shared" si="19"/>
        <v>1</v>
      </c>
      <c r="H125" s="631"/>
      <c r="I125" s="21">
        <f t="shared" si="20"/>
        <v>1</v>
      </c>
      <c r="J125" s="631"/>
      <c r="K125" s="21">
        <f t="shared" si="21"/>
        <v>1</v>
      </c>
      <c r="L125" s="631"/>
      <c r="M125" s="21">
        <f t="shared" si="22"/>
        <v>1</v>
      </c>
      <c r="N125" s="631"/>
      <c r="O125" s="21">
        <f t="shared" si="23"/>
        <v>1</v>
      </c>
      <c r="P125" s="631"/>
      <c r="Q125" s="21">
        <f t="shared" si="24"/>
        <v>0</v>
      </c>
      <c r="R125" s="21">
        <f t="shared" si="26"/>
        <v>0</v>
      </c>
      <c r="S125" s="308">
        <f t="shared" si="16"/>
        <v>0</v>
      </c>
    </row>
    <row r="126" spans="1:19">
      <c r="A126" s="142"/>
      <c r="B126" s="52"/>
      <c r="C126" s="21">
        <f t="shared" si="17"/>
        <v>1</v>
      </c>
      <c r="D126" s="631"/>
      <c r="E126" s="21">
        <f t="shared" si="18"/>
        <v>0.02</v>
      </c>
      <c r="F126" s="631"/>
      <c r="G126" s="21">
        <f t="shared" si="19"/>
        <v>1</v>
      </c>
      <c r="H126" s="631"/>
      <c r="I126" s="21">
        <f t="shared" si="20"/>
        <v>1</v>
      </c>
      <c r="J126" s="631"/>
      <c r="K126" s="21">
        <f t="shared" si="21"/>
        <v>1</v>
      </c>
      <c r="L126" s="631"/>
      <c r="M126" s="21">
        <f t="shared" si="22"/>
        <v>1</v>
      </c>
      <c r="N126" s="631"/>
      <c r="O126" s="21">
        <f t="shared" si="23"/>
        <v>1</v>
      </c>
      <c r="P126" s="631"/>
      <c r="Q126" s="21">
        <f t="shared" si="24"/>
        <v>0</v>
      </c>
      <c r="R126" s="21">
        <f t="shared" si="26"/>
        <v>0</v>
      </c>
      <c r="S126" s="308">
        <f t="shared" si="16"/>
        <v>0</v>
      </c>
    </row>
    <row r="127" spans="1:19">
      <c r="A127" s="142"/>
      <c r="B127" s="52"/>
      <c r="C127" s="21">
        <f t="shared" si="17"/>
        <v>1</v>
      </c>
      <c r="D127" s="631"/>
      <c r="E127" s="21">
        <f t="shared" si="18"/>
        <v>0.02</v>
      </c>
      <c r="F127" s="631"/>
      <c r="G127" s="21">
        <f t="shared" si="19"/>
        <v>1</v>
      </c>
      <c r="H127" s="631"/>
      <c r="I127" s="21">
        <f t="shared" si="20"/>
        <v>1</v>
      </c>
      <c r="J127" s="631"/>
      <c r="K127" s="21">
        <f t="shared" si="21"/>
        <v>1</v>
      </c>
      <c r="L127" s="631"/>
      <c r="M127" s="21">
        <f t="shared" si="22"/>
        <v>1</v>
      </c>
      <c r="N127" s="631"/>
      <c r="O127" s="21">
        <f t="shared" si="23"/>
        <v>1</v>
      </c>
      <c r="P127" s="631"/>
      <c r="Q127" s="21">
        <f t="shared" si="24"/>
        <v>0</v>
      </c>
      <c r="R127" s="21">
        <f t="shared" si="26"/>
        <v>0</v>
      </c>
      <c r="S127" s="308">
        <f t="shared" si="16"/>
        <v>0</v>
      </c>
    </row>
    <row r="128" spans="1:19">
      <c r="A128" s="142"/>
      <c r="B128" s="52"/>
      <c r="C128" s="21">
        <f t="shared" si="17"/>
        <v>1</v>
      </c>
      <c r="D128" s="631"/>
      <c r="E128" s="21">
        <f t="shared" si="18"/>
        <v>0.02</v>
      </c>
      <c r="F128" s="631"/>
      <c r="G128" s="21">
        <f t="shared" si="19"/>
        <v>1</v>
      </c>
      <c r="H128" s="631"/>
      <c r="I128" s="21">
        <f t="shared" si="20"/>
        <v>1</v>
      </c>
      <c r="J128" s="631"/>
      <c r="K128" s="21">
        <f t="shared" si="21"/>
        <v>1</v>
      </c>
      <c r="L128" s="631"/>
      <c r="M128" s="21">
        <f t="shared" si="22"/>
        <v>1</v>
      </c>
      <c r="N128" s="631"/>
      <c r="O128" s="21">
        <f t="shared" si="23"/>
        <v>1</v>
      </c>
      <c r="P128" s="631"/>
      <c r="Q128" s="21">
        <f t="shared" si="24"/>
        <v>0</v>
      </c>
      <c r="R128" s="21">
        <f t="shared" si="26"/>
        <v>0</v>
      </c>
      <c r="S128" s="308">
        <f t="shared" si="16"/>
        <v>0</v>
      </c>
    </row>
    <row r="129" spans="1:19">
      <c r="A129" s="142"/>
      <c r="B129" s="52"/>
      <c r="C129" s="21">
        <f t="shared" si="17"/>
        <v>1</v>
      </c>
      <c r="D129" s="631"/>
      <c r="E129" s="21">
        <f t="shared" si="18"/>
        <v>0.02</v>
      </c>
      <c r="F129" s="631"/>
      <c r="G129" s="21">
        <f t="shared" si="19"/>
        <v>1</v>
      </c>
      <c r="H129" s="631"/>
      <c r="I129" s="21">
        <f t="shared" si="20"/>
        <v>1</v>
      </c>
      <c r="J129" s="631"/>
      <c r="K129" s="21">
        <f t="shared" si="21"/>
        <v>1</v>
      </c>
      <c r="L129" s="631"/>
      <c r="M129" s="21">
        <f t="shared" si="22"/>
        <v>1</v>
      </c>
      <c r="N129" s="631"/>
      <c r="O129" s="21">
        <f t="shared" si="23"/>
        <v>1</v>
      </c>
      <c r="P129" s="631"/>
      <c r="Q129" s="21">
        <f t="shared" si="24"/>
        <v>0</v>
      </c>
      <c r="R129" s="21">
        <f t="shared" si="26"/>
        <v>0</v>
      </c>
      <c r="S129" s="308">
        <f t="shared" si="16"/>
        <v>0</v>
      </c>
    </row>
    <row r="130" spans="1:19">
      <c r="A130" s="142"/>
      <c r="B130" s="52"/>
      <c r="C130" s="21">
        <f t="shared" si="17"/>
        <v>1</v>
      </c>
      <c r="D130" s="631"/>
      <c r="E130" s="21">
        <f t="shared" si="18"/>
        <v>0.02</v>
      </c>
      <c r="F130" s="631"/>
      <c r="G130" s="21">
        <f t="shared" si="19"/>
        <v>1</v>
      </c>
      <c r="H130" s="631"/>
      <c r="I130" s="21">
        <f t="shared" si="20"/>
        <v>1</v>
      </c>
      <c r="J130" s="631"/>
      <c r="K130" s="21">
        <f t="shared" si="21"/>
        <v>1</v>
      </c>
      <c r="L130" s="631"/>
      <c r="M130" s="21">
        <f t="shared" si="22"/>
        <v>1</v>
      </c>
      <c r="N130" s="631"/>
      <c r="O130" s="21">
        <f t="shared" si="23"/>
        <v>1</v>
      </c>
      <c r="P130" s="631"/>
      <c r="Q130" s="21">
        <f t="shared" si="24"/>
        <v>0</v>
      </c>
      <c r="R130" s="21">
        <f t="shared" si="26"/>
        <v>0</v>
      </c>
      <c r="S130" s="308">
        <f t="shared" si="16"/>
        <v>0</v>
      </c>
    </row>
    <row r="131" spans="1:19">
      <c r="A131" s="142"/>
      <c r="B131" s="52"/>
      <c r="C131" s="21">
        <f t="shared" si="17"/>
        <v>1</v>
      </c>
      <c r="D131" s="631"/>
      <c r="E131" s="21">
        <f t="shared" si="18"/>
        <v>0.02</v>
      </c>
      <c r="F131" s="631"/>
      <c r="G131" s="21">
        <f t="shared" si="19"/>
        <v>1</v>
      </c>
      <c r="H131" s="631"/>
      <c r="I131" s="21">
        <f t="shared" si="20"/>
        <v>1</v>
      </c>
      <c r="J131" s="631"/>
      <c r="K131" s="21">
        <f t="shared" si="21"/>
        <v>1</v>
      </c>
      <c r="L131" s="631"/>
      <c r="M131" s="21">
        <f t="shared" si="22"/>
        <v>1</v>
      </c>
      <c r="N131" s="631"/>
      <c r="O131" s="21">
        <f t="shared" si="23"/>
        <v>1</v>
      </c>
      <c r="P131" s="631"/>
      <c r="Q131" s="21">
        <f t="shared" si="24"/>
        <v>0</v>
      </c>
      <c r="R131" s="21">
        <f t="shared" si="26"/>
        <v>0</v>
      </c>
      <c r="S131" s="308">
        <f t="shared" si="16"/>
        <v>0</v>
      </c>
    </row>
    <row r="132" spans="1:19">
      <c r="A132" s="142"/>
      <c r="B132" s="52"/>
      <c r="C132" s="21">
        <f t="shared" si="17"/>
        <v>1</v>
      </c>
      <c r="D132" s="631"/>
      <c r="E132" s="21">
        <f t="shared" si="18"/>
        <v>0.02</v>
      </c>
      <c r="F132" s="631"/>
      <c r="G132" s="21">
        <f t="shared" si="19"/>
        <v>1</v>
      </c>
      <c r="H132" s="631"/>
      <c r="I132" s="21">
        <f t="shared" si="20"/>
        <v>1</v>
      </c>
      <c r="J132" s="631"/>
      <c r="K132" s="21">
        <f t="shared" si="21"/>
        <v>1</v>
      </c>
      <c r="L132" s="631"/>
      <c r="M132" s="21">
        <f t="shared" si="22"/>
        <v>1</v>
      </c>
      <c r="N132" s="631"/>
      <c r="O132" s="21">
        <f t="shared" si="23"/>
        <v>1</v>
      </c>
      <c r="P132" s="631"/>
      <c r="Q132" s="21">
        <f t="shared" si="24"/>
        <v>0</v>
      </c>
      <c r="R132" s="21">
        <f t="shared" si="26"/>
        <v>0</v>
      </c>
      <c r="S132" s="308">
        <f t="shared" si="16"/>
        <v>0</v>
      </c>
    </row>
    <row r="133" spans="1:19">
      <c r="A133" s="142"/>
      <c r="B133" s="52"/>
      <c r="C133" s="21">
        <f t="shared" si="17"/>
        <v>1</v>
      </c>
      <c r="D133" s="631"/>
      <c r="E133" s="21">
        <f t="shared" si="18"/>
        <v>0.02</v>
      </c>
      <c r="F133" s="631"/>
      <c r="G133" s="21">
        <f t="shared" si="19"/>
        <v>1</v>
      </c>
      <c r="H133" s="631"/>
      <c r="I133" s="21">
        <f t="shared" si="20"/>
        <v>1</v>
      </c>
      <c r="J133" s="631"/>
      <c r="K133" s="21">
        <f t="shared" si="21"/>
        <v>1</v>
      </c>
      <c r="L133" s="631"/>
      <c r="M133" s="21">
        <f t="shared" si="22"/>
        <v>1</v>
      </c>
      <c r="N133" s="631"/>
      <c r="O133" s="21">
        <f t="shared" si="23"/>
        <v>1</v>
      </c>
      <c r="P133" s="631"/>
      <c r="Q133" s="21">
        <f t="shared" si="24"/>
        <v>0</v>
      </c>
      <c r="R133" s="21">
        <f t="shared" si="26"/>
        <v>0</v>
      </c>
      <c r="S133" s="308">
        <f t="shared" si="16"/>
        <v>0</v>
      </c>
    </row>
    <row r="134" spans="1:19">
      <c r="A134" s="142"/>
      <c r="B134" s="52"/>
      <c r="C134" s="21">
        <f t="shared" si="17"/>
        <v>1</v>
      </c>
      <c r="D134" s="631"/>
      <c r="E134" s="21">
        <f t="shared" si="18"/>
        <v>0.02</v>
      </c>
      <c r="F134" s="631"/>
      <c r="G134" s="21">
        <f t="shared" si="19"/>
        <v>1</v>
      </c>
      <c r="H134" s="631"/>
      <c r="I134" s="21">
        <f t="shared" si="20"/>
        <v>1</v>
      </c>
      <c r="J134" s="631"/>
      <c r="K134" s="21">
        <f t="shared" si="21"/>
        <v>1</v>
      </c>
      <c r="L134" s="631"/>
      <c r="M134" s="21">
        <f t="shared" si="22"/>
        <v>1</v>
      </c>
      <c r="N134" s="631"/>
      <c r="O134" s="21">
        <f t="shared" si="23"/>
        <v>1</v>
      </c>
      <c r="P134" s="631"/>
      <c r="Q134" s="21">
        <f t="shared" si="24"/>
        <v>0</v>
      </c>
      <c r="R134" s="21">
        <f t="shared" si="26"/>
        <v>0</v>
      </c>
      <c r="S134" s="308">
        <f t="shared" si="16"/>
        <v>0</v>
      </c>
    </row>
    <row r="135" spans="1:19">
      <c r="A135" s="142"/>
      <c r="B135" s="52"/>
      <c r="C135" s="21">
        <f t="shared" si="17"/>
        <v>1</v>
      </c>
      <c r="D135" s="631"/>
      <c r="E135" s="21">
        <f t="shared" si="18"/>
        <v>0.02</v>
      </c>
      <c r="F135" s="631"/>
      <c r="G135" s="21">
        <f t="shared" si="19"/>
        <v>1</v>
      </c>
      <c r="H135" s="631"/>
      <c r="I135" s="21">
        <f t="shared" si="20"/>
        <v>1</v>
      </c>
      <c r="J135" s="631"/>
      <c r="K135" s="21">
        <f t="shared" si="21"/>
        <v>1</v>
      </c>
      <c r="L135" s="631"/>
      <c r="M135" s="21">
        <f t="shared" si="22"/>
        <v>1</v>
      </c>
      <c r="N135" s="631"/>
      <c r="O135" s="21">
        <f t="shared" si="23"/>
        <v>1</v>
      </c>
      <c r="P135" s="631"/>
      <c r="Q135" s="21">
        <f t="shared" si="24"/>
        <v>0</v>
      </c>
      <c r="R135" s="21">
        <f t="shared" si="26"/>
        <v>0</v>
      </c>
      <c r="S135" s="308">
        <f t="shared" si="16"/>
        <v>0</v>
      </c>
    </row>
    <row r="136" spans="1:19">
      <c r="A136" s="142"/>
      <c r="B136" s="52"/>
      <c r="C136" s="21">
        <f t="shared" si="17"/>
        <v>1</v>
      </c>
      <c r="D136" s="631"/>
      <c r="E136" s="21">
        <f t="shared" si="18"/>
        <v>0.02</v>
      </c>
      <c r="F136" s="631"/>
      <c r="G136" s="21">
        <f t="shared" si="19"/>
        <v>1</v>
      </c>
      <c r="H136" s="631"/>
      <c r="I136" s="21">
        <f t="shared" si="20"/>
        <v>1</v>
      </c>
      <c r="J136" s="631"/>
      <c r="K136" s="21">
        <f t="shared" si="21"/>
        <v>1</v>
      </c>
      <c r="L136" s="631"/>
      <c r="M136" s="21">
        <f t="shared" si="22"/>
        <v>1</v>
      </c>
      <c r="N136" s="631"/>
      <c r="O136" s="21">
        <f t="shared" si="23"/>
        <v>1</v>
      </c>
      <c r="P136" s="631"/>
      <c r="Q136" s="21">
        <f t="shared" si="24"/>
        <v>0</v>
      </c>
      <c r="R136" s="21">
        <f t="shared" si="26"/>
        <v>0</v>
      </c>
      <c r="S136" s="308">
        <f t="shared" si="16"/>
        <v>0</v>
      </c>
    </row>
    <row r="137" spans="1:19">
      <c r="A137" s="142"/>
      <c r="B137" s="52"/>
      <c r="C137" s="21">
        <f t="shared" si="17"/>
        <v>1</v>
      </c>
      <c r="D137" s="631"/>
      <c r="E137" s="21">
        <f t="shared" si="18"/>
        <v>0.02</v>
      </c>
      <c r="F137" s="631"/>
      <c r="G137" s="21">
        <f t="shared" si="19"/>
        <v>1</v>
      </c>
      <c r="H137" s="631"/>
      <c r="I137" s="21">
        <f t="shared" si="20"/>
        <v>1</v>
      </c>
      <c r="J137" s="631"/>
      <c r="K137" s="21">
        <f t="shared" si="21"/>
        <v>1</v>
      </c>
      <c r="L137" s="631"/>
      <c r="M137" s="21">
        <f t="shared" si="22"/>
        <v>1</v>
      </c>
      <c r="N137" s="631"/>
      <c r="O137" s="21">
        <f t="shared" si="23"/>
        <v>1</v>
      </c>
      <c r="P137" s="631"/>
      <c r="Q137" s="21">
        <f t="shared" si="24"/>
        <v>0</v>
      </c>
      <c r="R137" s="21">
        <f t="shared" si="26"/>
        <v>0</v>
      </c>
      <c r="S137" s="308">
        <f t="shared" si="16"/>
        <v>0</v>
      </c>
    </row>
    <row r="138" spans="1:19">
      <c r="A138" s="142"/>
      <c r="B138" s="52"/>
      <c r="C138" s="21">
        <f t="shared" si="17"/>
        <v>1</v>
      </c>
      <c r="D138" s="631"/>
      <c r="E138" s="21">
        <f t="shared" si="18"/>
        <v>0.02</v>
      </c>
      <c r="F138" s="631"/>
      <c r="G138" s="21">
        <f t="shared" si="19"/>
        <v>1</v>
      </c>
      <c r="H138" s="631"/>
      <c r="I138" s="21">
        <f t="shared" si="20"/>
        <v>1</v>
      </c>
      <c r="J138" s="631"/>
      <c r="K138" s="21">
        <f t="shared" si="21"/>
        <v>1</v>
      </c>
      <c r="L138" s="631"/>
      <c r="M138" s="21">
        <f t="shared" si="22"/>
        <v>1</v>
      </c>
      <c r="N138" s="631"/>
      <c r="O138" s="21">
        <f t="shared" si="23"/>
        <v>1</v>
      </c>
      <c r="P138" s="631"/>
      <c r="Q138" s="21">
        <f t="shared" si="24"/>
        <v>0</v>
      </c>
      <c r="R138" s="21">
        <f t="shared" si="26"/>
        <v>0</v>
      </c>
      <c r="S138" s="308">
        <f t="shared" si="16"/>
        <v>0</v>
      </c>
    </row>
    <row r="139" spans="1:19">
      <c r="A139" s="142"/>
      <c r="B139" s="52"/>
      <c r="C139" s="21">
        <f t="shared" si="17"/>
        <v>1</v>
      </c>
      <c r="D139" s="631"/>
      <c r="E139" s="21">
        <f t="shared" si="18"/>
        <v>0.02</v>
      </c>
      <c r="F139" s="631"/>
      <c r="G139" s="21">
        <f t="shared" si="19"/>
        <v>1</v>
      </c>
      <c r="H139" s="631"/>
      <c r="I139" s="21">
        <f t="shared" si="20"/>
        <v>1</v>
      </c>
      <c r="J139" s="631"/>
      <c r="K139" s="21">
        <f t="shared" si="21"/>
        <v>1</v>
      </c>
      <c r="L139" s="631"/>
      <c r="M139" s="21">
        <f t="shared" si="22"/>
        <v>1</v>
      </c>
      <c r="N139" s="631"/>
      <c r="O139" s="21">
        <f t="shared" si="23"/>
        <v>1</v>
      </c>
      <c r="P139" s="631"/>
      <c r="Q139" s="21">
        <f t="shared" si="24"/>
        <v>0</v>
      </c>
      <c r="R139" s="21">
        <f t="shared" si="26"/>
        <v>0</v>
      </c>
      <c r="S139" s="308">
        <f t="shared" si="16"/>
        <v>0</v>
      </c>
    </row>
    <row r="140" spans="1:19">
      <c r="A140" s="142"/>
      <c r="B140" s="52"/>
      <c r="C140" s="21">
        <f t="shared" si="17"/>
        <v>1</v>
      </c>
      <c r="D140" s="631"/>
      <c r="E140" s="21">
        <f t="shared" si="18"/>
        <v>0.02</v>
      </c>
      <c r="F140" s="631"/>
      <c r="G140" s="21">
        <f t="shared" si="19"/>
        <v>1</v>
      </c>
      <c r="H140" s="631"/>
      <c r="I140" s="21">
        <f t="shared" si="20"/>
        <v>1</v>
      </c>
      <c r="J140" s="631"/>
      <c r="K140" s="21">
        <f t="shared" si="21"/>
        <v>1</v>
      </c>
      <c r="L140" s="631"/>
      <c r="M140" s="21">
        <f t="shared" si="22"/>
        <v>1</v>
      </c>
      <c r="N140" s="631"/>
      <c r="O140" s="21">
        <f t="shared" si="23"/>
        <v>1</v>
      </c>
      <c r="P140" s="631"/>
      <c r="Q140" s="21">
        <f t="shared" si="24"/>
        <v>0</v>
      </c>
      <c r="R140" s="21">
        <f t="shared" si="26"/>
        <v>0</v>
      </c>
      <c r="S140" s="308">
        <f t="shared" si="16"/>
        <v>0</v>
      </c>
    </row>
    <row r="141" spans="1:19">
      <c r="A141" s="142"/>
      <c r="B141" s="52"/>
      <c r="C141" s="21">
        <f t="shared" si="17"/>
        <v>1</v>
      </c>
      <c r="D141" s="631"/>
      <c r="E141" s="21">
        <f t="shared" si="18"/>
        <v>0.02</v>
      </c>
      <c r="F141" s="631"/>
      <c r="G141" s="21">
        <f t="shared" si="19"/>
        <v>1</v>
      </c>
      <c r="H141" s="631"/>
      <c r="I141" s="21">
        <f t="shared" si="20"/>
        <v>1</v>
      </c>
      <c r="J141" s="631"/>
      <c r="K141" s="21">
        <f t="shared" si="21"/>
        <v>1</v>
      </c>
      <c r="L141" s="631"/>
      <c r="M141" s="21">
        <f t="shared" si="22"/>
        <v>1</v>
      </c>
      <c r="N141" s="631"/>
      <c r="O141" s="21">
        <f t="shared" si="23"/>
        <v>1</v>
      </c>
      <c r="P141" s="631"/>
      <c r="Q141" s="21">
        <f t="shared" si="24"/>
        <v>0</v>
      </c>
      <c r="R141" s="21">
        <f t="shared" si="26"/>
        <v>0</v>
      </c>
      <c r="S141" s="308">
        <f t="shared" si="16"/>
        <v>0</v>
      </c>
    </row>
    <row r="142" spans="1:19">
      <c r="A142" s="142"/>
      <c r="B142" s="52"/>
      <c r="C142" s="21">
        <f t="shared" si="17"/>
        <v>1</v>
      </c>
      <c r="D142" s="631"/>
      <c r="E142" s="21">
        <f t="shared" si="18"/>
        <v>0.02</v>
      </c>
      <c r="F142" s="631"/>
      <c r="G142" s="21">
        <f t="shared" si="19"/>
        <v>1</v>
      </c>
      <c r="H142" s="631"/>
      <c r="I142" s="21">
        <f t="shared" si="20"/>
        <v>1</v>
      </c>
      <c r="J142" s="631"/>
      <c r="K142" s="21">
        <f t="shared" si="21"/>
        <v>1</v>
      </c>
      <c r="L142" s="631"/>
      <c r="M142" s="21">
        <f t="shared" si="22"/>
        <v>1</v>
      </c>
      <c r="N142" s="631"/>
      <c r="O142" s="21">
        <f t="shared" si="23"/>
        <v>1</v>
      </c>
      <c r="P142" s="631"/>
      <c r="Q142" s="21">
        <f t="shared" si="24"/>
        <v>0</v>
      </c>
      <c r="R142" s="21">
        <f t="shared" si="26"/>
        <v>0</v>
      </c>
      <c r="S142" s="308">
        <f t="shared" si="16"/>
        <v>0</v>
      </c>
    </row>
    <row r="143" spans="1:19">
      <c r="A143" s="142"/>
      <c r="B143" s="52"/>
      <c r="C143" s="21">
        <f t="shared" si="17"/>
        <v>1</v>
      </c>
      <c r="D143" s="631"/>
      <c r="E143" s="21">
        <f t="shared" si="18"/>
        <v>0.02</v>
      </c>
      <c r="F143" s="631"/>
      <c r="G143" s="21">
        <f t="shared" si="19"/>
        <v>1</v>
      </c>
      <c r="H143" s="631"/>
      <c r="I143" s="21">
        <f t="shared" si="20"/>
        <v>1</v>
      </c>
      <c r="J143" s="631"/>
      <c r="K143" s="21">
        <f t="shared" si="21"/>
        <v>1</v>
      </c>
      <c r="L143" s="631"/>
      <c r="M143" s="21">
        <f t="shared" si="22"/>
        <v>1</v>
      </c>
      <c r="N143" s="631"/>
      <c r="O143" s="21">
        <f t="shared" si="23"/>
        <v>1</v>
      </c>
      <c r="P143" s="631"/>
      <c r="Q143" s="21">
        <f t="shared" si="24"/>
        <v>0</v>
      </c>
      <c r="R143" s="21">
        <f t="shared" si="26"/>
        <v>0</v>
      </c>
      <c r="S143" s="308">
        <f t="shared" si="16"/>
        <v>0</v>
      </c>
    </row>
    <row r="144" spans="1:19">
      <c r="A144" s="142"/>
      <c r="B144" s="52"/>
      <c r="C144" s="21">
        <f t="shared" si="17"/>
        <v>1</v>
      </c>
      <c r="D144" s="631"/>
      <c r="E144" s="21">
        <f t="shared" si="18"/>
        <v>0.02</v>
      </c>
      <c r="F144" s="631"/>
      <c r="G144" s="21">
        <f t="shared" si="19"/>
        <v>1</v>
      </c>
      <c r="H144" s="631"/>
      <c r="I144" s="21">
        <f t="shared" si="20"/>
        <v>1</v>
      </c>
      <c r="J144" s="631"/>
      <c r="K144" s="21">
        <f t="shared" si="21"/>
        <v>1</v>
      </c>
      <c r="L144" s="631"/>
      <c r="M144" s="21">
        <f t="shared" si="22"/>
        <v>1</v>
      </c>
      <c r="N144" s="631"/>
      <c r="O144" s="21">
        <f t="shared" si="23"/>
        <v>1</v>
      </c>
      <c r="P144" s="631"/>
      <c r="Q144" s="21">
        <f t="shared" si="24"/>
        <v>0</v>
      </c>
      <c r="R144" s="21">
        <f t="shared" si="26"/>
        <v>0</v>
      </c>
      <c r="S144" s="308">
        <f t="shared" si="16"/>
        <v>0</v>
      </c>
    </row>
    <row r="145" spans="1:19">
      <c r="A145" s="142"/>
      <c r="B145" s="52"/>
      <c r="C145" s="21">
        <f t="shared" si="17"/>
        <v>1</v>
      </c>
      <c r="D145" s="631"/>
      <c r="E145" s="21">
        <f t="shared" si="18"/>
        <v>0.02</v>
      </c>
      <c r="F145" s="631"/>
      <c r="G145" s="21">
        <f t="shared" si="19"/>
        <v>1</v>
      </c>
      <c r="H145" s="631"/>
      <c r="I145" s="21">
        <f t="shared" si="20"/>
        <v>1</v>
      </c>
      <c r="J145" s="631"/>
      <c r="K145" s="21">
        <f t="shared" si="21"/>
        <v>1</v>
      </c>
      <c r="L145" s="631"/>
      <c r="M145" s="21">
        <f t="shared" si="22"/>
        <v>1</v>
      </c>
      <c r="N145" s="631"/>
      <c r="O145" s="21">
        <f t="shared" si="23"/>
        <v>1</v>
      </c>
      <c r="P145" s="631"/>
      <c r="Q145" s="21">
        <f t="shared" si="24"/>
        <v>0</v>
      </c>
      <c r="R145" s="21">
        <f t="shared" si="26"/>
        <v>0</v>
      </c>
      <c r="S145" s="308">
        <f t="shared" si="16"/>
        <v>0</v>
      </c>
    </row>
    <row r="146" spans="1:19">
      <c r="A146" s="142"/>
      <c r="B146" s="52"/>
      <c r="C146" s="21">
        <f t="shared" si="17"/>
        <v>1</v>
      </c>
      <c r="D146" s="631"/>
      <c r="E146" s="21">
        <f t="shared" si="18"/>
        <v>0.02</v>
      </c>
      <c r="F146" s="631"/>
      <c r="G146" s="21">
        <f t="shared" si="19"/>
        <v>1</v>
      </c>
      <c r="H146" s="631"/>
      <c r="I146" s="21">
        <f t="shared" si="20"/>
        <v>1</v>
      </c>
      <c r="J146" s="631"/>
      <c r="K146" s="21">
        <f t="shared" si="21"/>
        <v>1</v>
      </c>
      <c r="L146" s="631"/>
      <c r="M146" s="21">
        <f t="shared" si="22"/>
        <v>1</v>
      </c>
      <c r="N146" s="631"/>
      <c r="O146" s="21">
        <f t="shared" si="23"/>
        <v>1</v>
      </c>
      <c r="P146" s="631"/>
      <c r="Q146" s="21">
        <f t="shared" si="24"/>
        <v>0</v>
      </c>
      <c r="R146" s="21">
        <f t="shared" si="26"/>
        <v>0</v>
      </c>
      <c r="S146" s="308">
        <f t="shared" si="16"/>
        <v>0</v>
      </c>
    </row>
    <row r="147" spans="1:19">
      <c r="A147" s="142"/>
      <c r="B147" s="52"/>
      <c r="C147" s="21">
        <f t="shared" si="17"/>
        <v>1</v>
      </c>
      <c r="D147" s="631"/>
      <c r="E147" s="21">
        <f t="shared" si="18"/>
        <v>0.02</v>
      </c>
      <c r="F147" s="631"/>
      <c r="G147" s="21">
        <f t="shared" si="19"/>
        <v>1</v>
      </c>
      <c r="H147" s="631"/>
      <c r="I147" s="21">
        <f t="shared" si="20"/>
        <v>1</v>
      </c>
      <c r="J147" s="631"/>
      <c r="K147" s="21">
        <f t="shared" si="21"/>
        <v>1</v>
      </c>
      <c r="L147" s="631"/>
      <c r="M147" s="21">
        <f t="shared" si="22"/>
        <v>1</v>
      </c>
      <c r="N147" s="631"/>
      <c r="O147" s="21">
        <f t="shared" si="23"/>
        <v>1</v>
      </c>
      <c r="P147" s="631"/>
      <c r="Q147" s="21">
        <f t="shared" si="24"/>
        <v>0</v>
      </c>
      <c r="R147" s="21">
        <f t="shared" si="26"/>
        <v>0</v>
      </c>
      <c r="S147" s="308">
        <f t="shared" si="16"/>
        <v>0</v>
      </c>
    </row>
    <row r="148" spans="1:19">
      <c r="A148" s="142"/>
      <c r="B148" s="52"/>
      <c r="C148" s="21">
        <f t="shared" si="17"/>
        <v>1</v>
      </c>
      <c r="D148" s="631"/>
      <c r="E148" s="21">
        <f t="shared" si="18"/>
        <v>0.02</v>
      </c>
      <c r="F148" s="631"/>
      <c r="G148" s="21">
        <f t="shared" si="19"/>
        <v>1</v>
      </c>
      <c r="H148" s="631"/>
      <c r="I148" s="21">
        <f t="shared" si="20"/>
        <v>1</v>
      </c>
      <c r="J148" s="631"/>
      <c r="K148" s="21">
        <f t="shared" si="21"/>
        <v>1</v>
      </c>
      <c r="L148" s="631"/>
      <c r="M148" s="21">
        <f t="shared" si="22"/>
        <v>1</v>
      </c>
      <c r="N148" s="631"/>
      <c r="O148" s="21">
        <f t="shared" si="23"/>
        <v>1</v>
      </c>
      <c r="P148" s="631"/>
      <c r="Q148" s="21">
        <f t="shared" si="24"/>
        <v>0</v>
      </c>
      <c r="R148" s="21">
        <f t="shared" si="26"/>
        <v>0</v>
      </c>
      <c r="S148" s="308">
        <f t="shared" si="16"/>
        <v>0</v>
      </c>
    </row>
    <row r="149" spans="1:19">
      <c r="A149" s="142"/>
      <c r="B149" s="52"/>
      <c r="C149" s="21">
        <f t="shared" si="17"/>
        <v>1</v>
      </c>
      <c r="D149" s="631"/>
      <c r="E149" s="21">
        <f t="shared" si="18"/>
        <v>0.02</v>
      </c>
      <c r="F149" s="631"/>
      <c r="G149" s="21">
        <f t="shared" si="19"/>
        <v>1</v>
      </c>
      <c r="H149" s="631"/>
      <c r="I149" s="21">
        <f t="shared" si="20"/>
        <v>1</v>
      </c>
      <c r="J149" s="631"/>
      <c r="K149" s="21">
        <f t="shared" si="21"/>
        <v>1</v>
      </c>
      <c r="L149" s="631"/>
      <c r="M149" s="21">
        <f t="shared" si="22"/>
        <v>1</v>
      </c>
      <c r="N149" s="631"/>
      <c r="O149" s="21">
        <f t="shared" si="23"/>
        <v>1</v>
      </c>
      <c r="P149" s="631"/>
      <c r="Q149" s="21">
        <f t="shared" si="24"/>
        <v>0</v>
      </c>
      <c r="R149" s="21">
        <f t="shared" si="26"/>
        <v>0</v>
      </c>
      <c r="S149" s="308">
        <f t="shared" si="16"/>
        <v>0</v>
      </c>
    </row>
    <row r="150" spans="1:19">
      <c r="A150" s="142"/>
      <c r="B150" s="52"/>
      <c r="C150" s="21">
        <f t="shared" si="17"/>
        <v>1</v>
      </c>
      <c r="D150" s="631"/>
      <c r="E150" s="21">
        <f t="shared" si="18"/>
        <v>0.02</v>
      </c>
      <c r="F150" s="631"/>
      <c r="G150" s="21">
        <f t="shared" si="19"/>
        <v>1</v>
      </c>
      <c r="H150" s="631"/>
      <c r="I150" s="21">
        <f t="shared" si="20"/>
        <v>1</v>
      </c>
      <c r="J150" s="631"/>
      <c r="K150" s="21">
        <f t="shared" si="21"/>
        <v>1</v>
      </c>
      <c r="L150" s="631"/>
      <c r="M150" s="21">
        <f t="shared" si="22"/>
        <v>1</v>
      </c>
      <c r="N150" s="631"/>
      <c r="O150" s="21">
        <f t="shared" si="23"/>
        <v>1</v>
      </c>
      <c r="P150" s="631"/>
      <c r="Q150" s="21">
        <f t="shared" si="24"/>
        <v>0</v>
      </c>
      <c r="R150" s="21">
        <f t="shared" si="26"/>
        <v>0</v>
      </c>
      <c r="S150" s="308">
        <f t="shared" si="16"/>
        <v>0</v>
      </c>
    </row>
    <row r="151" spans="1:19">
      <c r="A151" s="142"/>
      <c r="B151" s="52"/>
      <c r="C151" s="21">
        <f t="shared" si="17"/>
        <v>1</v>
      </c>
      <c r="D151" s="631"/>
      <c r="E151" s="21">
        <f t="shared" si="18"/>
        <v>0.02</v>
      </c>
      <c r="F151" s="631"/>
      <c r="G151" s="21">
        <f t="shared" si="19"/>
        <v>1</v>
      </c>
      <c r="H151" s="631"/>
      <c r="I151" s="21">
        <f t="shared" si="20"/>
        <v>1</v>
      </c>
      <c r="J151" s="631"/>
      <c r="K151" s="21">
        <f t="shared" si="21"/>
        <v>1</v>
      </c>
      <c r="L151" s="631"/>
      <c r="M151" s="21">
        <f t="shared" si="22"/>
        <v>1</v>
      </c>
      <c r="N151" s="631"/>
      <c r="O151" s="21">
        <f t="shared" si="23"/>
        <v>1</v>
      </c>
      <c r="P151" s="631"/>
      <c r="Q151" s="21">
        <f t="shared" si="24"/>
        <v>0</v>
      </c>
      <c r="R151" s="21">
        <f t="shared" si="26"/>
        <v>0</v>
      </c>
      <c r="S151" s="308">
        <f t="shared" si="16"/>
        <v>0</v>
      </c>
    </row>
    <row r="152" spans="1:19">
      <c r="A152" s="142"/>
      <c r="B152" s="52"/>
      <c r="C152" s="21">
        <f t="shared" si="17"/>
        <v>1</v>
      </c>
      <c r="D152" s="631"/>
      <c r="E152" s="21">
        <f t="shared" si="18"/>
        <v>0.02</v>
      </c>
      <c r="F152" s="631"/>
      <c r="G152" s="21">
        <f t="shared" si="19"/>
        <v>1</v>
      </c>
      <c r="H152" s="631"/>
      <c r="I152" s="21">
        <f t="shared" si="20"/>
        <v>1</v>
      </c>
      <c r="J152" s="631"/>
      <c r="K152" s="21">
        <f t="shared" si="21"/>
        <v>1</v>
      </c>
      <c r="L152" s="631"/>
      <c r="M152" s="21">
        <f t="shared" si="22"/>
        <v>1</v>
      </c>
      <c r="N152" s="631"/>
      <c r="O152" s="21">
        <f t="shared" si="23"/>
        <v>1</v>
      </c>
      <c r="P152" s="631"/>
      <c r="Q152" s="21">
        <f t="shared" si="24"/>
        <v>0</v>
      </c>
      <c r="R152" s="21">
        <f t="shared" si="26"/>
        <v>0</v>
      </c>
      <c r="S152" s="308">
        <f t="shared" ref="S152:S215" si="27">ROUND(R152*B152/10000,0)</f>
        <v>0</v>
      </c>
    </row>
    <row r="153" spans="1:19">
      <c r="A153" s="142"/>
      <c r="B153" s="52"/>
      <c r="C153" s="21">
        <f t="shared" si="17"/>
        <v>1</v>
      </c>
      <c r="D153" s="631"/>
      <c r="E153" s="21">
        <f t="shared" si="18"/>
        <v>0.02</v>
      </c>
      <c r="F153" s="631"/>
      <c r="G153" s="21">
        <f t="shared" si="19"/>
        <v>1</v>
      </c>
      <c r="H153" s="631"/>
      <c r="I153" s="21">
        <f t="shared" si="20"/>
        <v>1</v>
      </c>
      <c r="J153" s="631"/>
      <c r="K153" s="21">
        <f t="shared" si="21"/>
        <v>1</v>
      </c>
      <c r="L153" s="631"/>
      <c r="M153" s="21">
        <f t="shared" si="22"/>
        <v>1</v>
      </c>
      <c r="N153" s="631"/>
      <c r="O153" s="21">
        <f t="shared" si="23"/>
        <v>1</v>
      </c>
      <c r="P153" s="631"/>
      <c r="Q153" s="21">
        <f t="shared" si="24"/>
        <v>0</v>
      </c>
      <c r="R153" s="21">
        <f t="shared" si="26"/>
        <v>0</v>
      </c>
      <c r="S153" s="308">
        <f t="shared" si="27"/>
        <v>0</v>
      </c>
    </row>
    <row r="154" spans="1:19">
      <c r="A154" s="142"/>
      <c r="B154" s="52"/>
      <c r="C154" s="21">
        <f t="shared" ref="C154:C217" si="28">IF(B154="",1,(LOOKUP(B154,$3:$3,$4:$4)-LOOKUP($B$24,$3:$3,$4:$4)+100)/100)</f>
        <v>1</v>
      </c>
      <c r="D154" s="631"/>
      <c r="E154" s="21">
        <f t="shared" ref="E154:E217" si="29">(SUMIF($5:$5,D154,$6:$6)-SUMIF($5:$5,$D$24,$6:$6)+100)/100</f>
        <v>0.02</v>
      </c>
      <c r="F154" s="631"/>
      <c r="G154" s="21">
        <f t="shared" ref="G154:G217" si="30">(SUMIF($7:$7,F154,$8:$8)-SUMIF($7:$7,$F$24,$8:$8)+100)/100</f>
        <v>1</v>
      </c>
      <c r="H154" s="631"/>
      <c r="I154" s="21">
        <f t="shared" ref="I154:I217" si="31">(SUMIF($9:$9,H154,$10:$10)-SUMIF($9:$9,$H$24,$10:$10)+100)/100</f>
        <v>1</v>
      </c>
      <c r="J154" s="631"/>
      <c r="K154" s="21">
        <f t="shared" ref="K154:K217" si="32">(SUMIF($11:$11,J154,$12:$12)-SUMIF($11:$11,$J$24,$12:$12)+100)/100</f>
        <v>1</v>
      </c>
      <c r="L154" s="631"/>
      <c r="M154" s="21">
        <f t="shared" ref="M154:M217" si="33">(SUMIF($13:$13,L154,$14:$14)-SUMIF($13:$13,$L$24,$14:$14)+100)/100</f>
        <v>1</v>
      </c>
      <c r="N154" s="631"/>
      <c r="O154" s="21">
        <f t="shared" ref="O154:O217" si="34">(SUMIF($15:$15,N154,$16:$16)-SUMIF($15:$15,$N$24,$16:$16)+100)/100</f>
        <v>1</v>
      </c>
      <c r="P154" s="631"/>
      <c r="Q154" s="21">
        <f t="shared" ref="Q154:Q217" si="35">(SUMIF($17:$17,P154,$18:$18)-SUMIF($17:$17,$P$24,$18:$18)+100)/100</f>
        <v>0</v>
      </c>
      <c r="R154" s="21">
        <f t="shared" si="26"/>
        <v>0</v>
      </c>
      <c r="S154" s="308">
        <f t="shared" si="27"/>
        <v>0</v>
      </c>
    </row>
    <row r="155" spans="1:19">
      <c r="A155" s="142"/>
      <c r="B155" s="52"/>
      <c r="C155" s="21">
        <f t="shared" si="28"/>
        <v>1</v>
      </c>
      <c r="D155" s="631"/>
      <c r="E155" s="21">
        <f t="shared" si="29"/>
        <v>0.02</v>
      </c>
      <c r="F155" s="631"/>
      <c r="G155" s="21">
        <f t="shared" si="30"/>
        <v>1</v>
      </c>
      <c r="H155" s="631"/>
      <c r="I155" s="21">
        <f t="shared" si="31"/>
        <v>1</v>
      </c>
      <c r="J155" s="631"/>
      <c r="K155" s="21">
        <f t="shared" si="32"/>
        <v>1</v>
      </c>
      <c r="L155" s="631"/>
      <c r="M155" s="21">
        <f t="shared" si="33"/>
        <v>1</v>
      </c>
      <c r="N155" s="631"/>
      <c r="O155" s="21">
        <f t="shared" si="34"/>
        <v>1</v>
      </c>
      <c r="P155" s="631"/>
      <c r="Q155" s="21">
        <f t="shared" si="35"/>
        <v>0</v>
      </c>
      <c r="R155" s="21">
        <f t="shared" si="26"/>
        <v>0</v>
      </c>
      <c r="S155" s="308">
        <f t="shared" si="27"/>
        <v>0</v>
      </c>
    </row>
    <row r="156" spans="1:19">
      <c r="A156" s="142"/>
      <c r="B156" s="52"/>
      <c r="C156" s="21">
        <f t="shared" si="28"/>
        <v>1</v>
      </c>
      <c r="D156" s="631"/>
      <c r="E156" s="21">
        <f t="shared" si="29"/>
        <v>0.02</v>
      </c>
      <c r="F156" s="631"/>
      <c r="G156" s="21">
        <f t="shared" si="30"/>
        <v>1</v>
      </c>
      <c r="H156" s="631"/>
      <c r="I156" s="21">
        <f t="shared" si="31"/>
        <v>1</v>
      </c>
      <c r="J156" s="631"/>
      <c r="K156" s="21">
        <f t="shared" si="32"/>
        <v>1</v>
      </c>
      <c r="L156" s="631"/>
      <c r="M156" s="21">
        <f t="shared" si="33"/>
        <v>1</v>
      </c>
      <c r="N156" s="631"/>
      <c r="O156" s="21">
        <f t="shared" si="34"/>
        <v>1</v>
      </c>
      <c r="P156" s="631"/>
      <c r="Q156" s="21">
        <f t="shared" si="35"/>
        <v>0</v>
      </c>
      <c r="R156" s="21">
        <f t="shared" si="26"/>
        <v>0</v>
      </c>
      <c r="S156" s="308">
        <f t="shared" si="27"/>
        <v>0</v>
      </c>
    </row>
    <row r="157" spans="1:19">
      <c r="A157" s="142"/>
      <c r="B157" s="52"/>
      <c r="C157" s="21">
        <f t="shared" si="28"/>
        <v>1</v>
      </c>
      <c r="D157" s="631"/>
      <c r="E157" s="21">
        <f t="shared" si="29"/>
        <v>0.02</v>
      </c>
      <c r="F157" s="631"/>
      <c r="G157" s="21">
        <f t="shared" si="30"/>
        <v>1</v>
      </c>
      <c r="H157" s="631"/>
      <c r="I157" s="21">
        <f t="shared" si="31"/>
        <v>1</v>
      </c>
      <c r="J157" s="631"/>
      <c r="K157" s="21">
        <f t="shared" si="32"/>
        <v>1</v>
      </c>
      <c r="L157" s="631"/>
      <c r="M157" s="21">
        <f t="shared" si="33"/>
        <v>1</v>
      </c>
      <c r="N157" s="631"/>
      <c r="O157" s="21">
        <f t="shared" si="34"/>
        <v>1</v>
      </c>
      <c r="P157" s="631"/>
      <c r="Q157" s="21">
        <f t="shared" si="35"/>
        <v>0</v>
      </c>
      <c r="R157" s="21">
        <f t="shared" si="26"/>
        <v>0</v>
      </c>
      <c r="S157" s="308">
        <f t="shared" si="27"/>
        <v>0</v>
      </c>
    </row>
    <row r="158" spans="1:19">
      <c r="A158" s="142"/>
      <c r="B158" s="52"/>
      <c r="C158" s="21">
        <f t="shared" si="28"/>
        <v>1</v>
      </c>
      <c r="D158" s="631"/>
      <c r="E158" s="21">
        <f t="shared" si="29"/>
        <v>0.02</v>
      </c>
      <c r="F158" s="631"/>
      <c r="G158" s="21">
        <f t="shared" si="30"/>
        <v>1</v>
      </c>
      <c r="H158" s="631"/>
      <c r="I158" s="21">
        <f t="shared" si="31"/>
        <v>1</v>
      </c>
      <c r="J158" s="631"/>
      <c r="K158" s="21">
        <f t="shared" si="32"/>
        <v>1</v>
      </c>
      <c r="L158" s="631"/>
      <c r="M158" s="21">
        <f t="shared" si="33"/>
        <v>1</v>
      </c>
      <c r="N158" s="631"/>
      <c r="O158" s="21">
        <f t="shared" si="34"/>
        <v>1</v>
      </c>
      <c r="P158" s="631"/>
      <c r="Q158" s="21">
        <f t="shared" si="35"/>
        <v>0</v>
      </c>
      <c r="R158" s="21">
        <f t="shared" si="26"/>
        <v>0</v>
      </c>
      <c r="S158" s="308">
        <f t="shared" si="27"/>
        <v>0</v>
      </c>
    </row>
    <row r="159" spans="1:19">
      <c r="A159" s="142"/>
      <c r="B159" s="52"/>
      <c r="C159" s="21">
        <f t="shared" si="28"/>
        <v>1</v>
      </c>
      <c r="D159" s="631"/>
      <c r="E159" s="21">
        <f t="shared" si="29"/>
        <v>0.02</v>
      </c>
      <c r="F159" s="631"/>
      <c r="G159" s="21">
        <f t="shared" si="30"/>
        <v>1</v>
      </c>
      <c r="H159" s="631"/>
      <c r="I159" s="21">
        <f t="shared" si="31"/>
        <v>1</v>
      </c>
      <c r="J159" s="631"/>
      <c r="K159" s="21">
        <f t="shared" si="32"/>
        <v>1</v>
      </c>
      <c r="L159" s="631"/>
      <c r="M159" s="21">
        <f t="shared" si="33"/>
        <v>1</v>
      </c>
      <c r="N159" s="631"/>
      <c r="O159" s="21">
        <f t="shared" si="34"/>
        <v>1</v>
      </c>
      <c r="P159" s="631"/>
      <c r="Q159" s="21">
        <f t="shared" si="35"/>
        <v>0</v>
      </c>
      <c r="R159" s="21">
        <f t="shared" si="26"/>
        <v>0</v>
      </c>
      <c r="S159" s="308">
        <f t="shared" si="27"/>
        <v>0</v>
      </c>
    </row>
    <row r="160" spans="1:19">
      <c r="A160" s="142"/>
      <c r="B160" s="52"/>
      <c r="C160" s="21">
        <f t="shared" si="28"/>
        <v>1</v>
      </c>
      <c r="D160" s="631"/>
      <c r="E160" s="21">
        <f t="shared" si="29"/>
        <v>0.02</v>
      </c>
      <c r="F160" s="631"/>
      <c r="G160" s="21">
        <f t="shared" si="30"/>
        <v>1</v>
      </c>
      <c r="H160" s="631"/>
      <c r="I160" s="21">
        <f t="shared" si="31"/>
        <v>1</v>
      </c>
      <c r="J160" s="631"/>
      <c r="K160" s="21">
        <f t="shared" si="32"/>
        <v>1</v>
      </c>
      <c r="L160" s="631"/>
      <c r="M160" s="21">
        <f t="shared" si="33"/>
        <v>1</v>
      </c>
      <c r="N160" s="631"/>
      <c r="O160" s="21">
        <f t="shared" si="34"/>
        <v>1</v>
      </c>
      <c r="P160" s="631"/>
      <c r="Q160" s="21">
        <f t="shared" si="35"/>
        <v>0</v>
      </c>
      <c r="R160" s="21">
        <f t="shared" si="26"/>
        <v>0</v>
      </c>
      <c r="S160" s="308">
        <f t="shared" si="27"/>
        <v>0</v>
      </c>
    </row>
    <row r="161" spans="1:19">
      <c r="A161" s="142"/>
      <c r="B161" s="52"/>
      <c r="C161" s="21">
        <f t="shared" si="28"/>
        <v>1</v>
      </c>
      <c r="D161" s="631"/>
      <c r="E161" s="21">
        <f t="shared" si="29"/>
        <v>0.02</v>
      </c>
      <c r="F161" s="631"/>
      <c r="G161" s="21">
        <f t="shared" si="30"/>
        <v>1</v>
      </c>
      <c r="H161" s="631"/>
      <c r="I161" s="21">
        <f t="shared" si="31"/>
        <v>1</v>
      </c>
      <c r="J161" s="631"/>
      <c r="K161" s="21">
        <f t="shared" si="32"/>
        <v>1</v>
      </c>
      <c r="L161" s="631"/>
      <c r="M161" s="21">
        <f t="shared" si="33"/>
        <v>1</v>
      </c>
      <c r="N161" s="631"/>
      <c r="O161" s="21">
        <f t="shared" si="34"/>
        <v>1</v>
      </c>
      <c r="P161" s="631"/>
      <c r="Q161" s="21">
        <f t="shared" si="35"/>
        <v>0</v>
      </c>
      <c r="R161" s="21">
        <f t="shared" si="26"/>
        <v>0</v>
      </c>
      <c r="S161" s="308">
        <f t="shared" si="27"/>
        <v>0</v>
      </c>
    </row>
    <row r="162" spans="1:19">
      <c r="A162" s="142"/>
      <c r="B162" s="52"/>
      <c r="C162" s="21">
        <f t="shared" si="28"/>
        <v>1</v>
      </c>
      <c r="D162" s="631"/>
      <c r="E162" s="21">
        <f t="shared" si="29"/>
        <v>0.02</v>
      </c>
      <c r="F162" s="631"/>
      <c r="G162" s="21">
        <f t="shared" si="30"/>
        <v>1</v>
      </c>
      <c r="H162" s="631"/>
      <c r="I162" s="21">
        <f t="shared" si="31"/>
        <v>1</v>
      </c>
      <c r="J162" s="631"/>
      <c r="K162" s="21">
        <f t="shared" si="32"/>
        <v>1</v>
      </c>
      <c r="L162" s="631"/>
      <c r="M162" s="21">
        <f t="shared" si="33"/>
        <v>1</v>
      </c>
      <c r="N162" s="631"/>
      <c r="O162" s="21">
        <f t="shared" si="34"/>
        <v>1</v>
      </c>
      <c r="P162" s="631"/>
      <c r="Q162" s="21">
        <f t="shared" si="35"/>
        <v>0</v>
      </c>
      <c r="R162" s="21">
        <f t="shared" si="26"/>
        <v>0</v>
      </c>
      <c r="S162" s="308">
        <f t="shared" si="27"/>
        <v>0</v>
      </c>
    </row>
    <row r="163" spans="1:19">
      <c r="A163" s="142"/>
      <c r="B163" s="52"/>
      <c r="C163" s="21">
        <f t="shared" si="28"/>
        <v>1</v>
      </c>
      <c r="D163" s="631"/>
      <c r="E163" s="21">
        <f t="shared" si="29"/>
        <v>0.02</v>
      </c>
      <c r="F163" s="631"/>
      <c r="G163" s="21">
        <f t="shared" si="30"/>
        <v>1</v>
      </c>
      <c r="H163" s="631"/>
      <c r="I163" s="21">
        <f t="shared" si="31"/>
        <v>1</v>
      </c>
      <c r="J163" s="631"/>
      <c r="K163" s="21">
        <f t="shared" si="32"/>
        <v>1</v>
      </c>
      <c r="L163" s="631"/>
      <c r="M163" s="21">
        <f t="shared" si="33"/>
        <v>1</v>
      </c>
      <c r="N163" s="631"/>
      <c r="O163" s="21">
        <f t="shared" si="34"/>
        <v>1</v>
      </c>
      <c r="P163" s="631"/>
      <c r="Q163" s="21">
        <f t="shared" si="35"/>
        <v>0</v>
      </c>
      <c r="R163" s="21">
        <f t="shared" si="26"/>
        <v>0</v>
      </c>
      <c r="S163" s="308">
        <f t="shared" si="27"/>
        <v>0</v>
      </c>
    </row>
    <row r="164" spans="1:19">
      <c r="A164" s="142"/>
      <c r="B164" s="52"/>
      <c r="C164" s="21">
        <f t="shared" si="28"/>
        <v>1</v>
      </c>
      <c r="D164" s="631"/>
      <c r="E164" s="21">
        <f t="shared" si="29"/>
        <v>0.02</v>
      </c>
      <c r="F164" s="631"/>
      <c r="G164" s="21">
        <f t="shared" si="30"/>
        <v>1</v>
      </c>
      <c r="H164" s="631"/>
      <c r="I164" s="21">
        <f t="shared" si="31"/>
        <v>1</v>
      </c>
      <c r="J164" s="631"/>
      <c r="K164" s="21">
        <f t="shared" si="32"/>
        <v>1</v>
      </c>
      <c r="L164" s="631"/>
      <c r="M164" s="21">
        <f t="shared" si="33"/>
        <v>1</v>
      </c>
      <c r="N164" s="631"/>
      <c r="O164" s="21">
        <f t="shared" si="34"/>
        <v>1</v>
      </c>
      <c r="P164" s="631"/>
      <c r="Q164" s="21">
        <f t="shared" si="35"/>
        <v>0</v>
      </c>
      <c r="R164" s="21">
        <f t="shared" si="26"/>
        <v>0</v>
      </c>
      <c r="S164" s="308">
        <f t="shared" si="27"/>
        <v>0</v>
      </c>
    </row>
    <row r="165" spans="1:19">
      <c r="A165" s="142"/>
      <c r="B165" s="52"/>
      <c r="C165" s="21">
        <f t="shared" si="28"/>
        <v>1</v>
      </c>
      <c r="D165" s="631"/>
      <c r="E165" s="21">
        <f t="shared" si="29"/>
        <v>0.02</v>
      </c>
      <c r="F165" s="631"/>
      <c r="G165" s="21">
        <f t="shared" si="30"/>
        <v>1</v>
      </c>
      <c r="H165" s="631"/>
      <c r="I165" s="21">
        <f t="shared" si="31"/>
        <v>1</v>
      </c>
      <c r="J165" s="631"/>
      <c r="K165" s="21">
        <f t="shared" si="32"/>
        <v>1</v>
      </c>
      <c r="L165" s="631"/>
      <c r="M165" s="21">
        <f t="shared" si="33"/>
        <v>1</v>
      </c>
      <c r="N165" s="631"/>
      <c r="O165" s="21">
        <f t="shared" si="34"/>
        <v>1</v>
      </c>
      <c r="P165" s="631"/>
      <c r="Q165" s="21">
        <f t="shared" si="35"/>
        <v>0</v>
      </c>
      <c r="R165" s="21">
        <f t="shared" si="26"/>
        <v>0</v>
      </c>
      <c r="S165" s="308">
        <f t="shared" si="27"/>
        <v>0</v>
      </c>
    </row>
    <row r="166" spans="1:19">
      <c r="A166" s="142"/>
      <c r="B166" s="52"/>
      <c r="C166" s="21">
        <f t="shared" si="28"/>
        <v>1</v>
      </c>
      <c r="D166" s="631"/>
      <c r="E166" s="21">
        <f t="shared" si="29"/>
        <v>0.02</v>
      </c>
      <c r="F166" s="631"/>
      <c r="G166" s="21">
        <f t="shared" si="30"/>
        <v>1</v>
      </c>
      <c r="H166" s="631"/>
      <c r="I166" s="21">
        <f t="shared" si="31"/>
        <v>1</v>
      </c>
      <c r="J166" s="631"/>
      <c r="K166" s="21">
        <f t="shared" si="32"/>
        <v>1</v>
      </c>
      <c r="L166" s="631"/>
      <c r="M166" s="21">
        <f t="shared" si="33"/>
        <v>1</v>
      </c>
      <c r="N166" s="631"/>
      <c r="O166" s="21">
        <f t="shared" si="34"/>
        <v>1</v>
      </c>
      <c r="P166" s="631"/>
      <c r="Q166" s="21">
        <f t="shared" si="35"/>
        <v>0</v>
      </c>
      <c r="R166" s="21">
        <f t="shared" ref="R166:R229" si="36">IF(B166="",0,ROUND($R$24*C166*E166*G166*I166*K166*M166*O166*Q166,0))</f>
        <v>0</v>
      </c>
      <c r="S166" s="308">
        <f t="shared" si="27"/>
        <v>0</v>
      </c>
    </row>
    <row r="167" spans="1:19">
      <c r="A167" s="142"/>
      <c r="B167" s="52"/>
      <c r="C167" s="21">
        <f t="shared" si="28"/>
        <v>1</v>
      </c>
      <c r="D167" s="631"/>
      <c r="E167" s="21">
        <f t="shared" si="29"/>
        <v>0.02</v>
      </c>
      <c r="F167" s="631"/>
      <c r="G167" s="21">
        <f t="shared" si="30"/>
        <v>1</v>
      </c>
      <c r="H167" s="631"/>
      <c r="I167" s="21">
        <f t="shared" si="31"/>
        <v>1</v>
      </c>
      <c r="J167" s="631"/>
      <c r="K167" s="21">
        <f t="shared" si="32"/>
        <v>1</v>
      </c>
      <c r="L167" s="631"/>
      <c r="M167" s="21">
        <f t="shared" si="33"/>
        <v>1</v>
      </c>
      <c r="N167" s="631"/>
      <c r="O167" s="21">
        <f t="shared" si="34"/>
        <v>1</v>
      </c>
      <c r="P167" s="631"/>
      <c r="Q167" s="21">
        <f t="shared" si="35"/>
        <v>0</v>
      </c>
      <c r="R167" s="21">
        <f t="shared" si="36"/>
        <v>0</v>
      </c>
      <c r="S167" s="308">
        <f t="shared" si="27"/>
        <v>0</v>
      </c>
    </row>
    <row r="168" spans="1:19">
      <c r="A168" s="142"/>
      <c r="B168" s="52"/>
      <c r="C168" s="21">
        <f t="shared" si="28"/>
        <v>1</v>
      </c>
      <c r="D168" s="631"/>
      <c r="E168" s="21">
        <f t="shared" si="29"/>
        <v>0.02</v>
      </c>
      <c r="F168" s="631"/>
      <c r="G168" s="21">
        <f t="shared" si="30"/>
        <v>1</v>
      </c>
      <c r="H168" s="631"/>
      <c r="I168" s="21">
        <f t="shared" si="31"/>
        <v>1</v>
      </c>
      <c r="J168" s="631"/>
      <c r="K168" s="21">
        <f t="shared" si="32"/>
        <v>1</v>
      </c>
      <c r="L168" s="631"/>
      <c r="M168" s="21">
        <f t="shared" si="33"/>
        <v>1</v>
      </c>
      <c r="N168" s="631"/>
      <c r="O168" s="21">
        <f t="shared" si="34"/>
        <v>1</v>
      </c>
      <c r="P168" s="631"/>
      <c r="Q168" s="21">
        <f t="shared" si="35"/>
        <v>0</v>
      </c>
      <c r="R168" s="21">
        <f t="shared" si="36"/>
        <v>0</v>
      </c>
      <c r="S168" s="308">
        <f t="shared" si="27"/>
        <v>0</v>
      </c>
    </row>
    <row r="169" spans="1:19">
      <c r="A169" s="142"/>
      <c r="B169" s="52"/>
      <c r="C169" s="21">
        <f t="shared" si="28"/>
        <v>1</v>
      </c>
      <c r="D169" s="631"/>
      <c r="E169" s="21">
        <f t="shared" si="29"/>
        <v>0.02</v>
      </c>
      <c r="F169" s="631"/>
      <c r="G169" s="21">
        <f t="shared" si="30"/>
        <v>1</v>
      </c>
      <c r="H169" s="631"/>
      <c r="I169" s="21">
        <f t="shared" si="31"/>
        <v>1</v>
      </c>
      <c r="J169" s="631"/>
      <c r="K169" s="21">
        <f t="shared" si="32"/>
        <v>1</v>
      </c>
      <c r="L169" s="631"/>
      <c r="M169" s="21">
        <f t="shared" si="33"/>
        <v>1</v>
      </c>
      <c r="N169" s="631"/>
      <c r="O169" s="21">
        <f t="shared" si="34"/>
        <v>1</v>
      </c>
      <c r="P169" s="631"/>
      <c r="Q169" s="21">
        <f t="shared" si="35"/>
        <v>0</v>
      </c>
      <c r="R169" s="21">
        <f t="shared" si="36"/>
        <v>0</v>
      </c>
      <c r="S169" s="308">
        <f t="shared" si="27"/>
        <v>0</v>
      </c>
    </row>
    <row r="170" spans="1:19">
      <c r="A170" s="142"/>
      <c r="B170" s="52"/>
      <c r="C170" s="21">
        <f t="shared" si="28"/>
        <v>1</v>
      </c>
      <c r="D170" s="631"/>
      <c r="E170" s="21">
        <f t="shared" si="29"/>
        <v>0.02</v>
      </c>
      <c r="F170" s="631"/>
      <c r="G170" s="21">
        <f t="shared" si="30"/>
        <v>1</v>
      </c>
      <c r="H170" s="631"/>
      <c r="I170" s="21">
        <f t="shared" si="31"/>
        <v>1</v>
      </c>
      <c r="J170" s="631"/>
      <c r="K170" s="21">
        <f t="shared" si="32"/>
        <v>1</v>
      </c>
      <c r="L170" s="631"/>
      <c r="M170" s="21">
        <f t="shared" si="33"/>
        <v>1</v>
      </c>
      <c r="N170" s="631"/>
      <c r="O170" s="21">
        <f t="shared" si="34"/>
        <v>1</v>
      </c>
      <c r="P170" s="631"/>
      <c r="Q170" s="21">
        <f t="shared" si="35"/>
        <v>0</v>
      </c>
      <c r="R170" s="21">
        <f t="shared" si="36"/>
        <v>0</v>
      </c>
      <c r="S170" s="308">
        <f t="shared" si="27"/>
        <v>0</v>
      </c>
    </row>
    <row r="171" spans="1:19">
      <c r="A171" s="142"/>
      <c r="B171" s="52"/>
      <c r="C171" s="21">
        <f t="shared" si="28"/>
        <v>1</v>
      </c>
      <c r="D171" s="631"/>
      <c r="E171" s="21">
        <f t="shared" si="29"/>
        <v>0.02</v>
      </c>
      <c r="F171" s="631"/>
      <c r="G171" s="21">
        <f t="shared" si="30"/>
        <v>1</v>
      </c>
      <c r="H171" s="631"/>
      <c r="I171" s="21">
        <f t="shared" si="31"/>
        <v>1</v>
      </c>
      <c r="J171" s="631"/>
      <c r="K171" s="21">
        <f t="shared" si="32"/>
        <v>1</v>
      </c>
      <c r="L171" s="631"/>
      <c r="M171" s="21">
        <f t="shared" si="33"/>
        <v>1</v>
      </c>
      <c r="N171" s="631"/>
      <c r="O171" s="21">
        <f t="shared" si="34"/>
        <v>1</v>
      </c>
      <c r="P171" s="631"/>
      <c r="Q171" s="21">
        <f t="shared" si="35"/>
        <v>0</v>
      </c>
      <c r="R171" s="21">
        <f t="shared" si="36"/>
        <v>0</v>
      </c>
      <c r="S171" s="308">
        <f t="shared" si="27"/>
        <v>0</v>
      </c>
    </row>
    <row r="172" spans="1:19">
      <c r="A172" s="142"/>
      <c r="B172" s="52"/>
      <c r="C172" s="21">
        <f t="shared" si="28"/>
        <v>1</v>
      </c>
      <c r="D172" s="631"/>
      <c r="E172" s="21">
        <f t="shared" si="29"/>
        <v>0.02</v>
      </c>
      <c r="F172" s="631"/>
      <c r="G172" s="21">
        <f t="shared" si="30"/>
        <v>1</v>
      </c>
      <c r="H172" s="631"/>
      <c r="I172" s="21">
        <f t="shared" si="31"/>
        <v>1</v>
      </c>
      <c r="J172" s="631"/>
      <c r="K172" s="21">
        <f t="shared" si="32"/>
        <v>1</v>
      </c>
      <c r="L172" s="631"/>
      <c r="M172" s="21">
        <f t="shared" si="33"/>
        <v>1</v>
      </c>
      <c r="N172" s="631"/>
      <c r="O172" s="21">
        <f t="shared" si="34"/>
        <v>1</v>
      </c>
      <c r="P172" s="631"/>
      <c r="Q172" s="21">
        <f t="shared" si="35"/>
        <v>0</v>
      </c>
      <c r="R172" s="21">
        <f t="shared" si="36"/>
        <v>0</v>
      </c>
      <c r="S172" s="308">
        <f t="shared" si="27"/>
        <v>0</v>
      </c>
    </row>
    <row r="173" spans="1:19">
      <c r="A173" s="142"/>
      <c r="B173" s="52"/>
      <c r="C173" s="21">
        <f t="shared" si="28"/>
        <v>1</v>
      </c>
      <c r="D173" s="631"/>
      <c r="E173" s="21">
        <f t="shared" si="29"/>
        <v>0.02</v>
      </c>
      <c r="F173" s="631"/>
      <c r="G173" s="21">
        <f t="shared" si="30"/>
        <v>1</v>
      </c>
      <c r="H173" s="631"/>
      <c r="I173" s="21">
        <f t="shared" si="31"/>
        <v>1</v>
      </c>
      <c r="J173" s="631"/>
      <c r="K173" s="21">
        <f t="shared" si="32"/>
        <v>1</v>
      </c>
      <c r="L173" s="631"/>
      <c r="M173" s="21">
        <f t="shared" si="33"/>
        <v>1</v>
      </c>
      <c r="N173" s="631"/>
      <c r="O173" s="21">
        <f t="shared" si="34"/>
        <v>1</v>
      </c>
      <c r="P173" s="631"/>
      <c r="Q173" s="21">
        <f t="shared" si="35"/>
        <v>0</v>
      </c>
      <c r="R173" s="21">
        <f t="shared" si="36"/>
        <v>0</v>
      </c>
      <c r="S173" s="308">
        <f t="shared" si="27"/>
        <v>0</v>
      </c>
    </row>
    <row r="174" spans="1:19">
      <c r="A174" s="142"/>
      <c r="B174" s="52"/>
      <c r="C174" s="21">
        <f t="shared" si="28"/>
        <v>1</v>
      </c>
      <c r="D174" s="631"/>
      <c r="E174" s="21">
        <f t="shared" si="29"/>
        <v>0.02</v>
      </c>
      <c r="F174" s="631"/>
      <c r="G174" s="21">
        <f t="shared" si="30"/>
        <v>1</v>
      </c>
      <c r="H174" s="631"/>
      <c r="I174" s="21">
        <f t="shared" si="31"/>
        <v>1</v>
      </c>
      <c r="J174" s="631"/>
      <c r="K174" s="21">
        <f t="shared" si="32"/>
        <v>1</v>
      </c>
      <c r="L174" s="631"/>
      <c r="M174" s="21">
        <f t="shared" si="33"/>
        <v>1</v>
      </c>
      <c r="N174" s="631"/>
      <c r="O174" s="21">
        <f t="shared" si="34"/>
        <v>1</v>
      </c>
      <c r="P174" s="631"/>
      <c r="Q174" s="21">
        <f t="shared" si="35"/>
        <v>0</v>
      </c>
      <c r="R174" s="21">
        <f t="shared" si="36"/>
        <v>0</v>
      </c>
      <c r="S174" s="308">
        <f t="shared" si="27"/>
        <v>0</v>
      </c>
    </row>
    <row r="175" spans="1:19">
      <c r="A175" s="142"/>
      <c r="B175" s="52"/>
      <c r="C175" s="21">
        <f t="shared" si="28"/>
        <v>1</v>
      </c>
      <c r="D175" s="631"/>
      <c r="E175" s="21">
        <f t="shared" si="29"/>
        <v>0.02</v>
      </c>
      <c r="F175" s="631"/>
      <c r="G175" s="21">
        <f t="shared" si="30"/>
        <v>1</v>
      </c>
      <c r="H175" s="631"/>
      <c r="I175" s="21">
        <f t="shared" si="31"/>
        <v>1</v>
      </c>
      <c r="J175" s="631"/>
      <c r="K175" s="21">
        <f t="shared" si="32"/>
        <v>1</v>
      </c>
      <c r="L175" s="631"/>
      <c r="M175" s="21">
        <f t="shared" si="33"/>
        <v>1</v>
      </c>
      <c r="N175" s="631"/>
      <c r="O175" s="21">
        <f t="shared" si="34"/>
        <v>1</v>
      </c>
      <c r="P175" s="631"/>
      <c r="Q175" s="21">
        <f t="shared" si="35"/>
        <v>0</v>
      </c>
      <c r="R175" s="21">
        <f t="shared" si="36"/>
        <v>0</v>
      </c>
      <c r="S175" s="308">
        <f t="shared" si="27"/>
        <v>0</v>
      </c>
    </row>
    <row r="176" spans="1:19">
      <c r="A176" s="142"/>
      <c r="B176" s="52"/>
      <c r="C176" s="21">
        <f t="shared" si="28"/>
        <v>1</v>
      </c>
      <c r="D176" s="631"/>
      <c r="E176" s="21">
        <f t="shared" si="29"/>
        <v>0.02</v>
      </c>
      <c r="F176" s="631"/>
      <c r="G176" s="21">
        <f t="shared" si="30"/>
        <v>1</v>
      </c>
      <c r="H176" s="631"/>
      <c r="I176" s="21">
        <f t="shared" si="31"/>
        <v>1</v>
      </c>
      <c r="J176" s="631"/>
      <c r="K176" s="21">
        <f t="shared" si="32"/>
        <v>1</v>
      </c>
      <c r="L176" s="631"/>
      <c r="M176" s="21">
        <f t="shared" si="33"/>
        <v>1</v>
      </c>
      <c r="N176" s="631"/>
      <c r="O176" s="21">
        <f t="shared" si="34"/>
        <v>1</v>
      </c>
      <c r="P176" s="631"/>
      <c r="Q176" s="21">
        <f t="shared" si="35"/>
        <v>0</v>
      </c>
      <c r="R176" s="21">
        <f t="shared" si="36"/>
        <v>0</v>
      </c>
      <c r="S176" s="308">
        <f t="shared" si="27"/>
        <v>0</v>
      </c>
    </row>
    <row r="177" spans="1:19">
      <c r="A177" s="142"/>
      <c r="B177" s="52"/>
      <c r="C177" s="21">
        <f t="shared" si="28"/>
        <v>1</v>
      </c>
      <c r="D177" s="631"/>
      <c r="E177" s="21">
        <f t="shared" si="29"/>
        <v>0.02</v>
      </c>
      <c r="F177" s="631"/>
      <c r="G177" s="21">
        <f t="shared" si="30"/>
        <v>1</v>
      </c>
      <c r="H177" s="631"/>
      <c r="I177" s="21">
        <f t="shared" si="31"/>
        <v>1</v>
      </c>
      <c r="J177" s="631"/>
      <c r="K177" s="21">
        <f t="shared" si="32"/>
        <v>1</v>
      </c>
      <c r="L177" s="631"/>
      <c r="M177" s="21">
        <f t="shared" si="33"/>
        <v>1</v>
      </c>
      <c r="N177" s="631"/>
      <c r="O177" s="21">
        <f t="shared" si="34"/>
        <v>1</v>
      </c>
      <c r="P177" s="631"/>
      <c r="Q177" s="21">
        <f t="shared" si="35"/>
        <v>0</v>
      </c>
      <c r="R177" s="21">
        <f t="shared" si="36"/>
        <v>0</v>
      </c>
      <c r="S177" s="308">
        <f t="shared" si="27"/>
        <v>0</v>
      </c>
    </row>
    <row r="178" spans="1:19">
      <c r="A178" s="142"/>
      <c r="B178" s="52"/>
      <c r="C178" s="21">
        <f t="shared" si="28"/>
        <v>1</v>
      </c>
      <c r="D178" s="631"/>
      <c r="E178" s="21">
        <f t="shared" si="29"/>
        <v>0.02</v>
      </c>
      <c r="F178" s="631"/>
      <c r="G178" s="21">
        <f t="shared" si="30"/>
        <v>1</v>
      </c>
      <c r="H178" s="631"/>
      <c r="I178" s="21">
        <f t="shared" si="31"/>
        <v>1</v>
      </c>
      <c r="J178" s="631"/>
      <c r="K178" s="21">
        <f t="shared" si="32"/>
        <v>1</v>
      </c>
      <c r="L178" s="631"/>
      <c r="M178" s="21">
        <f t="shared" si="33"/>
        <v>1</v>
      </c>
      <c r="N178" s="631"/>
      <c r="O178" s="21">
        <f t="shared" si="34"/>
        <v>1</v>
      </c>
      <c r="P178" s="631"/>
      <c r="Q178" s="21">
        <f t="shared" si="35"/>
        <v>0</v>
      </c>
      <c r="R178" s="21">
        <f t="shared" si="36"/>
        <v>0</v>
      </c>
      <c r="S178" s="308">
        <f t="shared" si="27"/>
        <v>0</v>
      </c>
    </row>
    <row r="179" spans="1:19">
      <c r="A179" s="142"/>
      <c r="B179" s="52"/>
      <c r="C179" s="21">
        <f t="shared" si="28"/>
        <v>1</v>
      </c>
      <c r="D179" s="631"/>
      <c r="E179" s="21">
        <f t="shared" si="29"/>
        <v>0.02</v>
      </c>
      <c r="F179" s="631"/>
      <c r="G179" s="21">
        <f t="shared" si="30"/>
        <v>1</v>
      </c>
      <c r="H179" s="631"/>
      <c r="I179" s="21">
        <f t="shared" si="31"/>
        <v>1</v>
      </c>
      <c r="J179" s="631"/>
      <c r="K179" s="21">
        <f t="shared" si="32"/>
        <v>1</v>
      </c>
      <c r="L179" s="631"/>
      <c r="M179" s="21">
        <f t="shared" si="33"/>
        <v>1</v>
      </c>
      <c r="N179" s="631"/>
      <c r="O179" s="21">
        <f t="shared" si="34"/>
        <v>1</v>
      </c>
      <c r="P179" s="631"/>
      <c r="Q179" s="21">
        <f t="shared" si="35"/>
        <v>0</v>
      </c>
      <c r="R179" s="21">
        <f t="shared" si="36"/>
        <v>0</v>
      </c>
      <c r="S179" s="308">
        <f t="shared" si="27"/>
        <v>0</v>
      </c>
    </row>
    <row r="180" spans="1:19">
      <c r="A180" s="142"/>
      <c r="B180" s="52"/>
      <c r="C180" s="21">
        <f t="shared" si="28"/>
        <v>1</v>
      </c>
      <c r="D180" s="631"/>
      <c r="E180" s="21">
        <f t="shared" si="29"/>
        <v>0.02</v>
      </c>
      <c r="F180" s="631"/>
      <c r="G180" s="21">
        <f t="shared" si="30"/>
        <v>1</v>
      </c>
      <c r="H180" s="631"/>
      <c r="I180" s="21">
        <f t="shared" si="31"/>
        <v>1</v>
      </c>
      <c r="J180" s="631"/>
      <c r="K180" s="21">
        <f t="shared" si="32"/>
        <v>1</v>
      </c>
      <c r="L180" s="631"/>
      <c r="M180" s="21">
        <f t="shared" si="33"/>
        <v>1</v>
      </c>
      <c r="N180" s="631"/>
      <c r="O180" s="21">
        <f t="shared" si="34"/>
        <v>1</v>
      </c>
      <c r="P180" s="631"/>
      <c r="Q180" s="21">
        <f t="shared" si="35"/>
        <v>0</v>
      </c>
      <c r="R180" s="21">
        <f t="shared" si="36"/>
        <v>0</v>
      </c>
      <c r="S180" s="308">
        <f t="shared" si="27"/>
        <v>0</v>
      </c>
    </row>
    <row r="181" spans="1:19">
      <c r="A181" s="142"/>
      <c r="B181" s="52"/>
      <c r="C181" s="21">
        <f t="shared" si="28"/>
        <v>1</v>
      </c>
      <c r="D181" s="631"/>
      <c r="E181" s="21">
        <f t="shared" si="29"/>
        <v>0.02</v>
      </c>
      <c r="F181" s="631"/>
      <c r="G181" s="21">
        <f t="shared" si="30"/>
        <v>1</v>
      </c>
      <c r="H181" s="631"/>
      <c r="I181" s="21">
        <f t="shared" si="31"/>
        <v>1</v>
      </c>
      <c r="J181" s="631"/>
      <c r="K181" s="21">
        <f t="shared" si="32"/>
        <v>1</v>
      </c>
      <c r="L181" s="631"/>
      <c r="M181" s="21">
        <f t="shared" si="33"/>
        <v>1</v>
      </c>
      <c r="N181" s="631"/>
      <c r="O181" s="21">
        <f t="shared" si="34"/>
        <v>1</v>
      </c>
      <c r="P181" s="631"/>
      <c r="Q181" s="21">
        <f t="shared" si="35"/>
        <v>0</v>
      </c>
      <c r="R181" s="21">
        <f t="shared" si="36"/>
        <v>0</v>
      </c>
      <c r="S181" s="308">
        <f t="shared" si="27"/>
        <v>0</v>
      </c>
    </row>
    <row r="182" spans="1:19">
      <c r="A182" s="142"/>
      <c r="B182" s="52"/>
      <c r="C182" s="21">
        <f t="shared" si="28"/>
        <v>1</v>
      </c>
      <c r="D182" s="631"/>
      <c r="E182" s="21">
        <f t="shared" si="29"/>
        <v>0.02</v>
      </c>
      <c r="F182" s="631"/>
      <c r="G182" s="21">
        <f t="shared" si="30"/>
        <v>1</v>
      </c>
      <c r="H182" s="631"/>
      <c r="I182" s="21">
        <f t="shared" si="31"/>
        <v>1</v>
      </c>
      <c r="J182" s="631"/>
      <c r="K182" s="21">
        <f t="shared" si="32"/>
        <v>1</v>
      </c>
      <c r="L182" s="631"/>
      <c r="M182" s="21">
        <f t="shared" si="33"/>
        <v>1</v>
      </c>
      <c r="N182" s="631"/>
      <c r="O182" s="21">
        <f t="shared" si="34"/>
        <v>1</v>
      </c>
      <c r="P182" s="631"/>
      <c r="Q182" s="21">
        <f t="shared" si="35"/>
        <v>0</v>
      </c>
      <c r="R182" s="21">
        <f t="shared" si="36"/>
        <v>0</v>
      </c>
      <c r="S182" s="308">
        <f t="shared" si="27"/>
        <v>0</v>
      </c>
    </row>
    <row r="183" spans="1:19">
      <c r="A183" s="142"/>
      <c r="B183" s="52"/>
      <c r="C183" s="21">
        <f t="shared" si="28"/>
        <v>1</v>
      </c>
      <c r="D183" s="631"/>
      <c r="E183" s="21">
        <f t="shared" si="29"/>
        <v>0.02</v>
      </c>
      <c r="F183" s="631"/>
      <c r="G183" s="21">
        <f t="shared" si="30"/>
        <v>1</v>
      </c>
      <c r="H183" s="631"/>
      <c r="I183" s="21">
        <f t="shared" si="31"/>
        <v>1</v>
      </c>
      <c r="J183" s="631"/>
      <c r="K183" s="21">
        <f t="shared" si="32"/>
        <v>1</v>
      </c>
      <c r="L183" s="631"/>
      <c r="M183" s="21">
        <f t="shared" si="33"/>
        <v>1</v>
      </c>
      <c r="N183" s="631"/>
      <c r="O183" s="21">
        <f t="shared" si="34"/>
        <v>1</v>
      </c>
      <c r="P183" s="631"/>
      <c r="Q183" s="21">
        <f t="shared" si="35"/>
        <v>0</v>
      </c>
      <c r="R183" s="21">
        <f t="shared" si="36"/>
        <v>0</v>
      </c>
      <c r="S183" s="308">
        <f t="shared" si="27"/>
        <v>0</v>
      </c>
    </row>
    <row r="184" spans="1:19">
      <c r="A184" s="142"/>
      <c r="B184" s="52"/>
      <c r="C184" s="21">
        <f t="shared" si="28"/>
        <v>1</v>
      </c>
      <c r="D184" s="631"/>
      <c r="E184" s="21">
        <f t="shared" si="29"/>
        <v>0.02</v>
      </c>
      <c r="F184" s="631"/>
      <c r="G184" s="21">
        <f t="shared" si="30"/>
        <v>1</v>
      </c>
      <c r="H184" s="631"/>
      <c r="I184" s="21">
        <f t="shared" si="31"/>
        <v>1</v>
      </c>
      <c r="J184" s="631"/>
      <c r="K184" s="21">
        <f t="shared" si="32"/>
        <v>1</v>
      </c>
      <c r="L184" s="631"/>
      <c r="M184" s="21">
        <f t="shared" si="33"/>
        <v>1</v>
      </c>
      <c r="N184" s="631"/>
      <c r="O184" s="21">
        <f t="shared" si="34"/>
        <v>1</v>
      </c>
      <c r="P184" s="631"/>
      <c r="Q184" s="21">
        <f t="shared" si="35"/>
        <v>0</v>
      </c>
      <c r="R184" s="21">
        <f t="shared" si="36"/>
        <v>0</v>
      </c>
      <c r="S184" s="308">
        <f t="shared" si="27"/>
        <v>0</v>
      </c>
    </row>
    <row r="185" spans="1:19">
      <c r="A185" s="142"/>
      <c r="B185" s="52"/>
      <c r="C185" s="21">
        <f t="shared" si="28"/>
        <v>1</v>
      </c>
      <c r="D185" s="631"/>
      <c r="E185" s="21">
        <f t="shared" si="29"/>
        <v>0.02</v>
      </c>
      <c r="F185" s="631"/>
      <c r="G185" s="21">
        <f t="shared" si="30"/>
        <v>1</v>
      </c>
      <c r="H185" s="631"/>
      <c r="I185" s="21">
        <f t="shared" si="31"/>
        <v>1</v>
      </c>
      <c r="J185" s="631"/>
      <c r="K185" s="21">
        <f t="shared" si="32"/>
        <v>1</v>
      </c>
      <c r="L185" s="631"/>
      <c r="M185" s="21">
        <f t="shared" si="33"/>
        <v>1</v>
      </c>
      <c r="N185" s="631"/>
      <c r="O185" s="21">
        <f t="shared" si="34"/>
        <v>1</v>
      </c>
      <c r="P185" s="631"/>
      <c r="Q185" s="21">
        <f t="shared" si="35"/>
        <v>0</v>
      </c>
      <c r="R185" s="21">
        <f t="shared" si="36"/>
        <v>0</v>
      </c>
      <c r="S185" s="308">
        <f t="shared" si="27"/>
        <v>0</v>
      </c>
    </row>
    <row r="186" spans="1:19">
      <c r="A186" s="142"/>
      <c r="B186" s="52"/>
      <c r="C186" s="21">
        <f t="shared" si="28"/>
        <v>1</v>
      </c>
      <c r="D186" s="631"/>
      <c r="E186" s="21">
        <f t="shared" si="29"/>
        <v>0.02</v>
      </c>
      <c r="F186" s="631"/>
      <c r="G186" s="21">
        <f t="shared" si="30"/>
        <v>1</v>
      </c>
      <c r="H186" s="631"/>
      <c r="I186" s="21">
        <f t="shared" si="31"/>
        <v>1</v>
      </c>
      <c r="J186" s="631"/>
      <c r="K186" s="21">
        <f t="shared" si="32"/>
        <v>1</v>
      </c>
      <c r="L186" s="631"/>
      <c r="M186" s="21">
        <f t="shared" si="33"/>
        <v>1</v>
      </c>
      <c r="N186" s="631"/>
      <c r="O186" s="21">
        <f t="shared" si="34"/>
        <v>1</v>
      </c>
      <c r="P186" s="631"/>
      <c r="Q186" s="21">
        <f t="shared" si="35"/>
        <v>0</v>
      </c>
      <c r="R186" s="21">
        <f t="shared" si="36"/>
        <v>0</v>
      </c>
      <c r="S186" s="308">
        <f t="shared" si="27"/>
        <v>0</v>
      </c>
    </row>
    <row r="187" spans="1:19">
      <c r="A187" s="142"/>
      <c r="B187" s="52"/>
      <c r="C187" s="21">
        <f t="shared" si="28"/>
        <v>1</v>
      </c>
      <c r="D187" s="631"/>
      <c r="E187" s="21">
        <f t="shared" si="29"/>
        <v>0.02</v>
      </c>
      <c r="F187" s="631"/>
      <c r="G187" s="21">
        <f t="shared" si="30"/>
        <v>1</v>
      </c>
      <c r="H187" s="631"/>
      <c r="I187" s="21">
        <f t="shared" si="31"/>
        <v>1</v>
      </c>
      <c r="J187" s="631"/>
      <c r="K187" s="21">
        <f t="shared" si="32"/>
        <v>1</v>
      </c>
      <c r="L187" s="631"/>
      <c r="M187" s="21">
        <f t="shared" si="33"/>
        <v>1</v>
      </c>
      <c r="N187" s="631"/>
      <c r="O187" s="21">
        <f t="shared" si="34"/>
        <v>1</v>
      </c>
      <c r="P187" s="631"/>
      <c r="Q187" s="21">
        <f t="shared" si="35"/>
        <v>0</v>
      </c>
      <c r="R187" s="21">
        <f t="shared" si="36"/>
        <v>0</v>
      </c>
      <c r="S187" s="308">
        <f t="shared" si="27"/>
        <v>0</v>
      </c>
    </row>
    <row r="188" spans="1:19">
      <c r="A188" s="142"/>
      <c r="B188" s="52"/>
      <c r="C188" s="21">
        <f t="shared" si="28"/>
        <v>1</v>
      </c>
      <c r="D188" s="631"/>
      <c r="E188" s="21">
        <f t="shared" si="29"/>
        <v>0.02</v>
      </c>
      <c r="F188" s="631"/>
      <c r="G188" s="21">
        <f t="shared" si="30"/>
        <v>1</v>
      </c>
      <c r="H188" s="631"/>
      <c r="I188" s="21">
        <f t="shared" si="31"/>
        <v>1</v>
      </c>
      <c r="J188" s="631"/>
      <c r="K188" s="21">
        <f t="shared" si="32"/>
        <v>1</v>
      </c>
      <c r="L188" s="631"/>
      <c r="M188" s="21">
        <f t="shared" si="33"/>
        <v>1</v>
      </c>
      <c r="N188" s="631"/>
      <c r="O188" s="21">
        <f t="shared" si="34"/>
        <v>1</v>
      </c>
      <c r="P188" s="631"/>
      <c r="Q188" s="21">
        <f t="shared" si="35"/>
        <v>0</v>
      </c>
      <c r="R188" s="21">
        <f t="shared" si="36"/>
        <v>0</v>
      </c>
      <c r="S188" s="308">
        <f t="shared" si="27"/>
        <v>0</v>
      </c>
    </row>
    <row r="189" spans="1:19">
      <c r="A189" s="142"/>
      <c r="B189" s="52"/>
      <c r="C189" s="21">
        <f t="shared" si="28"/>
        <v>1</v>
      </c>
      <c r="D189" s="631"/>
      <c r="E189" s="21">
        <f t="shared" si="29"/>
        <v>0.02</v>
      </c>
      <c r="F189" s="631"/>
      <c r="G189" s="21">
        <f t="shared" si="30"/>
        <v>1</v>
      </c>
      <c r="H189" s="631"/>
      <c r="I189" s="21">
        <f t="shared" si="31"/>
        <v>1</v>
      </c>
      <c r="J189" s="631"/>
      <c r="K189" s="21">
        <f t="shared" si="32"/>
        <v>1</v>
      </c>
      <c r="L189" s="631"/>
      <c r="M189" s="21">
        <f t="shared" si="33"/>
        <v>1</v>
      </c>
      <c r="N189" s="631"/>
      <c r="O189" s="21">
        <f t="shared" si="34"/>
        <v>1</v>
      </c>
      <c r="P189" s="631"/>
      <c r="Q189" s="21">
        <f t="shared" si="35"/>
        <v>0</v>
      </c>
      <c r="R189" s="21">
        <f t="shared" si="36"/>
        <v>0</v>
      </c>
      <c r="S189" s="308">
        <f t="shared" si="27"/>
        <v>0</v>
      </c>
    </row>
    <row r="190" spans="1:19">
      <c r="A190" s="142"/>
      <c r="B190" s="52"/>
      <c r="C190" s="21">
        <f t="shared" si="28"/>
        <v>1</v>
      </c>
      <c r="D190" s="631"/>
      <c r="E190" s="21">
        <f t="shared" si="29"/>
        <v>0.02</v>
      </c>
      <c r="F190" s="631"/>
      <c r="G190" s="21">
        <f t="shared" si="30"/>
        <v>1</v>
      </c>
      <c r="H190" s="631"/>
      <c r="I190" s="21">
        <f t="shared" si="31"/>
        <v>1</v>
      </c>
      <c r="J190" s="631"/>
      <c r="K190" s="21">
        <f t="shared" si="32"/>
        <v>1</v>
      </c>
      <c r="L190" s="631"/>
      <c r="M190" s="21">
        <f t="shared" si="33"/>
        <v>1</v>
      </c>
      <c r="N190" s="631"/>
      <c r="O190" s="21">
        <f t="shared" si="34"/>
        <v>1</v>
      </c>
      <c r="P190" s="631"/>
      <c r="Q190" s="21">
        <f t="shared" si="35"/>
        <v>0</v>
      </c>
      <c r="R190" s="21">
        <f t="shared" si="36"/>
        <v>0</v>
      </c>
      <c r="S190" s="308">
        <f t="shared" si="27"/>
        <v>0</v>
      </c>
    </row>
    <row r="191" spans="1:19">
      <c r="A191" s="142"/>
      <c r="B191" s="52"/>
      <c r="C191" s="21">
        <f t="shared" si="28"/>
        <v>1</v>
      </c>
      <c r="D191" s="631"/>
      <c r="E191" s="21">
        <f t="shared" si="29"/>
        <v>0.02</v>
      </c>
      <c r="F191" s="631"/>
      <c r="G191" s="21">
        <f t="shared" si="30"/>
        <v>1</v>
      </c>
      <c r="H191" s="631"/>
      <c r="I191" s="21">
        <f t="shared" si="31"/>
        <v>1</v>
      </c>
      <c r="J191" s="631"/>
      <c r="K191" s="21">
        <f t="shared" si="32"/>
        <v>1</v>
      </c>
      <c r="L191" s="631"/>
      <c r="M191" s="21">
        <f t="shared" si="33"/>
        <v>1</v>
      </c>
      <c r="N191" s="631"/>
      <c r="O191" s="21">
        <f t="shared" si="34"/>
        <v>1</v>
      </c>
      <c r="P191" s="631"/>
      <c r="Q191" s="21">
        <f t="shared" si="35"/>
        <v>0</v>
      </c>
      <c r="R191" s="21">
        <f t="shared" si="36"/>
        <v>0</v>
      </c>
      <c r="S191" s="308">
        <f t="shared" si="27"/>
        <v>0</v>
      </c>
    </row>
    <row r="192" spans="1:19">
      <c r="A192" s="142"/>
      <c r="B192" s="52"/>
      <c r="C192" s="21">
        <f t="shared" si="28"/>
        <v>1</v>
      </c>
      <c r="D192" s="631"/>
      <c r="E192" s="21">
        <f t="shared" si="29"/>
        <v>0.02</v>
      </c>
      <c r="F192" s="631"/>
      <c r="G192" s="21">
        <f t="shared" si="30"/>
        <v>1</v>
      </c>
      <c r="H192" s="631"/>
      <c r="I192" s="21">
        <f t="shared" si="31"/>
        <v>1</v>
      </c>
      <c r="J192" s="631"/>
      <c r="K192" s="21">
        <f t="shared" si="32"/>
        <v>1</v>
      </c>
      <c r="L192" s="631"/>
      <c r="M192" s="21">
        <f t="shared" si="33"/>
        <v>1</v>
      </c>
      <c r="N192" s="631"/>
      <c r="O192" s="21">
        <f t="shared" si="34"/>
        <v>1</v>
      </c>
      <c r="P192" s="631"/>
      <c r="Q192" s="21">
        <f t="shared" si="35"/>
        <v>0</v>
      </c>
      <c r="R192" s="21">
        <f t="shared" si="36"/>
        <v>0</v>
      </c>
      <c r="S192" s="308">
        <f t="shared" si="27"/>
        <v>0</v>
      </c>
    </row>
    <row r="193" spans="1:19">
      <c r="A193" s="142"/>
      <c r="B193" s="52"/>
      <c r="C193" s="21">
        <f t="shared" si="28"/>
        <v>1</v>
      </c>
      <c r="D193" s="631"/>
      <c r="E193" s="21">
        <f t="shared" si="29"/>
        <v>0.02</v>
      </c>
      <c r="F193" s="631"/>
      <c r="G193" s="21">
        <f t="shared" si="30"/>
        <v>1</v>
      </c>
      <c r="H193" s="631"/>
      <c r="I193" s="21">
        <f t="shared" si="31"/>
        <v>1</v>
      </c>
      <c r="J193" s="631"/>
      <c r="K193" s="21">
        <f t="shared" si="32"/>
        <v>1</v>
      </c>
      <c r="L193" s="631"/>
      <c r="M193" s="21">
        <f t="shared" si="33"/>
        <v>1</v>
      </c>
      <c r="N193" s="631"/>
      <c r="O193" s="21">
        <f t="shared" si="34"/>
        <v>1</v>
      </c>
      <c r="P193" s="631"/>
      <c r="Q193" s="21">
        <f t="shared" si="35"/>
        <v>0</v>
      </c>
      <c r="R193" s="21">
        <f t="shared" si="36"/>
        <v>0</v>
      </c>
      <c r="S193" s="308">
        <f t="shared" si="27"/>
        <v>0</v>
      </c>
    </row>
    <row r="194" spans="1:19">
      <c r="A194" s="142"/>
      <c r="B194" s="52"/>
      <c r="C194" s="21">
        <f t="shared" si="28"/>
        <v>1</v>
      </c>
      <c r="D194" s="631"/>
      <c r="E194" s="21">
        <f t="shared" si="29"/>
        <v>0.02</v>
      </c>
      <c r="F194" s="631"/>
      <c r="G194" s="21">
        <f t="shared" si="30"/>
        <v>1</v>
      </c>
      <c r="H194" s="631"/>
      <c r="I194" s="21">
        <f t="shared" si="31"/>
        <v>1</v>
      </c>
      <c r="J194" s="631"/>
      <c r="K194" s="21">
        <f t="shared" si="32"/>
        <v>1</v>
      </c>
      <c r="L194" s="631"/>
      <c r="M194" s="21">
        <f t="shared" si="33"/>
        <v>1</v>
      </c>
      <c r="N194" s="631"/>
      <c r="O194" s="21">
        <f t="shared" si="34"/>
        <v>1</v>
      </c>
      <c r="P194" s="631"/>
      <c r="Q194" s="21">
        <f t="shared" si="35"/>
        <v>0</v>
      </c>
      <c r="R194" s="21">
        <f t="shared" si="36"/>
        <v>0</v>
      </c>
      <c r="S194" s="308">
        <f t="shared" si="27"/>
        <v>0</v>
      </c>
    </row>
    <row r="195" spans="1:19">
      <c r="A195" s="142"/>
      <c r="B195" s="52"/>
      <c r="C195" s="21">
        <f t="shared" si="28"/>
        <v>1</v>
      </c>
      <c r="D195" s="631"/>
      <c r="E195" s="21">
        <f t="shared" si="29"/>
        <v>0.02</v>
      </c>
      <c r="F195" s="631"/>
      <c r="G195" s="21">
        <f t="shared" si="30"/>
        <v>1</v>
      </c>
      <c r="H195" s="631"/>
      <c r="I195" s="21">
        <f t="shared" si="31"/>
        <v>1</v>
      </c>
      <c r="J195" s="631"/>
      <c r="K195" s="21">
        <f t="shared" si="32"/>
        <v>1</v>
      </c>
      <c r="L195" s="631"/>
      <c r="M195" s="21">
        <f t="shared" si="33"/>
        <v>1</v>
      </c>
      <c r="N195" s="631"/>
      <c r="O195" s="21">
        <f t="shared" si="34"/>
        <v>1</v>
      </c>
      <c r="P195" s="631"/>
      <c r="Q195" s="21">
        <f t="shared" si="35"/>
        <v>0</v>
      </c>
      <c r="R195" s="21">
        <f t="shared" si="36"/>
        <v>0</v>
      </c>
      <c r="S195" s="308">
        <f t="shared" si="27"/>
        <v>0</v>
      </c>
    </row>
    <row r="196" spans="1:19">
      <c r="A196" s="142"/>
      <c r="B196" s="52"/>
      <c r="C196" s="21">
        <f t="shared" si="28"/>
        <v>1</v>
      </c>
      <c r="D196" s="631"/>
      <c r="E196" s="21">
        <f t="shared" si="29"/>
        <v>0.02</v>
      </c>
      <c r="F196" s="631"/>
      <c r="G196" s="21">
        <f t="shared" si="30"/>
        <v>1</v>
      </c>
      <c r="H196" s="631"/>
      <c r="I196" s="21">
        <f t="shared" si="31"/>
        <v>1</v>
      </c>
      <c r="J196" s="631"/>
      <c r="K196" s="21">
        <f t="shared" si="32"/>
        <v>1</v>
      </c>
      <c r="L196" s="631"/>
      <c r="M196" s="21">
        <f t="shared" si="33"/>
        <v>1</v>
      </c>
      <c r="N196" s="631"/>
      <c r="O196" s="21">
        <f t="shared" si="34"/>
        <v>1</v>
      </c>
      <c r="P196" s="631"/>
      <c r="Q196" s="21">
        <f t="shared" si="35"/>
        <v>0</v>
      </c>
      <c r="R196" s="21">
        <f t="shared" si="36"/>
        <v>0</v>
      </c>
      <c r="S196" s="308">
        <f t="shared" si="27"/>
        <v>0</v>
      </c>
    </row>
    <row r="197" spans="1:19">
      <c r="A197" s="142"/>
      <c r="B197" s="52"/>
      <c r="C197" s="21">
        <f t="shared" si="28"/>
        <v>1</v>
      </c>
      <c r="D197" s="631"/>
      <c r="E197" s="21">
        <f t="shared" si="29"/>
        <v>0.02</v>
      </c>
      <c r="F197" s="631"/>
      <c r="G197" s="21">
        <f t="shared" si="30"/>
        <v>1</v>
      </c>
      <c r="H197" s="631"/>
      <c r="I197" s="21">
        <f t="shared" si="31"/>
        <v>1</v>
      </c>
      <c r="J197" s="631"/>
      <c r="K197" s="21">
        <f t="shared" si="32"/>
        <v>1</v>
      </c>
      <c r="L197" s="631"/>
      <c r="M197" s="21">
        <f t="shared" si="33"/>
        <v>1</v>
      </c>
      <c r="N197" s="631"/>
      <c r="O197" s="21">
        <f t="shared" si="34"/>
        <v>1</v>
      </c>
      <c r="P197" s="631"/>
      <c r="Q197" s="21">
        <f t="shared" si="35"/>
        <v>0</v>
      </c>
      <c r="R197" s="21">
        <f t="shared" si="36"/>
        <v>0</v>
      </c>
      <c r="S197" s="308">
        <f t="shared" si="27"/>
        <v>0</v>
      </c>
    </row>
    <row r="198" spans="1:19">
      <c r="A198" s="142"/>
      <c r="B198" s="52"/>
      <c r="C198" s="21">
        <f t="shared" si="28"/>
        <v>1</v>
      </c>
      <c r="D198" s="631"/>
      <c r="E198" s="21">
        <f t="shared" si="29"/>
        <v>0.02</v>
      </c>
      <c r="F198" s="631"/>
      <c r="G198" s="21">
        <f t="shared" si="30"/>
        <v>1</v>
      </c>
      <c r="H198" s="631"/>
      <c r="I198" s="21">
        <f t="shared" si="31"/>
        <v>1</v>
      </c>
      <c r="J198" s="631"/>
      <c r="K198" s="21">
        <f t="shared" si="32"/>
        <v>1</v>
      </c>
      <c r="L198" s="631"/>
      <c r="M198" s="21">
        <f t="shared" si="33"/>
        <v>1</v>
      </c>
      <c r="N198" s="631"/>
      <c r="O198" s="21">
        <f t="shared" si="34"/>
        <v>1</v>
      </c>
      <c r="P198" s="631"/>
      <c r="Q198" s="21">
        <f t="shared" si="35"/>
        <v>0</v>
      </c>
      <c r="R198" s="21">
        <f t="shared" si="36"/>
        <v>0</v>
      </c>
      <c r="S198" s="308">
        <f t="shared" si="27"/>
        <v>0</v>
      </c>
    </row>
    <row r="199" spans="1:19">
      <c r="A199" s="142"/>
      <c r="B199" s="52"/>
      <c r="C199" s="21">
        <f t="shared" si="28"/>
        <v>1</v>
      </c>
      <c r="D199" s="631"/>
      <c r="E199" s="21">
        <f t="shared" si="29"/>
        <v>0.02</v>
      </c>
      <c r="F199" s="631"/>
      <c r="G199" s="21">
        <f t="shared" si="30"/>
        <v>1</v>
      </c>
      <c r="H199" s="631"/>
      <c r="I199" s="21">
        <f t="shared" si="31"/>
        <v>1</v>
      </c>
      <c r="J199" s="631"/>
      <c r="K199" s="21">
        <f t="shared" si="32"/>
        <v>1</v>
      </c>
      <c r="L199" s="631"/>
      <c r="M199" s="21">
        <f t="shared" si="33"/>
        <v>1</v>
      </c>
      <c r="N199" s="631"/>
      <c r="O199" s="21">
        <f t="shared" si="34"/>
        <v>1</v>
      </c>
      <c r="P199" s="631"/>
      <c r="Q199" s="21">
        <f t="shared" si="35"/>
        <v>0</v>
      </c>
      <c r="R199" s="21">
        <f t="shared" si="36"/>
        <v>0</v>
      </c>
      <c r="S199" s="308">
        <f t="shared" si="27"/>
        <v>0</v>
      </c>
    </row>
    <row r="200" spans="1:19">
      <c r="A200" s="142"/>
      <c r="B200" s="52"/>
      <c r="C200" s="21">
        <f t="shared" si="28"/>
        <v>1</v>
      </c>
      <c r="D200" s="631"/>
      <c r="E200" s="21">
        <f t="shared" si="29"/>
        <v>0.02</v>
      </c>
      <c r="F200" s="631"/>
      <c r="G200" s="21">
        <f t="shared" si="30"/>
        <v>1</v>
      </c>
      <c r="H200" s="631"/>
      <c r="I200" s="21">
        <f t="shared" si="31"/>
        <v>1</v>
      </c>
      <c r="J200" s="631"/>
      <c r="K200" s="21">
        <f t="shared" si="32"/>
        <v>1</v>
      </c>
      <c r="L200" s="631"/>
      <c r="M200" s="21">
        <f t="shared" si="33"/>
        <v>1</v>
      </c>
      <c r="N200" s="631"/>
      <c r="O200" s="21">
        <f t="shared" si="34"/>
        <v>1</v>
      </c>
      <c r="P200" s="631"/>
      <c r="Q200" s="21">
        <f t="shared" si="35"/>
        <v>0</v>
      </c>
      <c r="R200" s="21">
        <f t="shared" si="36"/>
        <v>0</v>
      </c>
      <c r="S200" s="308">
        <f t="shared" si="27"/>
        <v>0</v>
      </c>
    </row>
    <row r="201" spans="1:19">
      <c r="A201" s="142"/>
      <c r="B201" s="52"/>
      <c r="C201" s="21">
        <f t="shared" si="28"/>
        <v>1</v>
      </c>
      <c r="D201" s="631"/>
      <c r="E201" s="21">
        <f t="shared" si="29"/>
        <v>0.02</v>
      </c>
      <c r="F201" s="631"/>
      <c r="G201" s="21">
        <f t="shared" si="30"/>
        <v>1</v>
      </c>
      <c r="H201" s="631"/>
      <c r="I201" s="21">
        <f t="shared" si="31"/>
        <v>1</v>
      </c>
      <c r="J201" s="631"/>
      <c r="K201" s="21">
        <f t="shared" si="32"/>
        <v>1</v>
      </c>
      <c r="L201" s="631"/>
      <c r="M201" s="21">
        <f t="shared" si="33"/>
        <v>1</v>
      </c>
      <c r="N201" s="631"/>
      <c r="O201" s="21">
        <f t="shared" si="34"/>
        <v>1</v>
      </c>
      <c r="P201" s="631"/>
      <c r="Q201" s="21">
        <f t="shared" si="35"/>
        <v>0</v>
      </c>
      <c r="R201" s="21">
        <f t="shared" si="36"/>
        <v>0</v>
      </c>
      <c r="S201" s="308">
        <f t="shared" si="27"/>
        <v>0</v>
      </c>
    </row>
    <row r="202" spans="1:19">
      <c r="A202" s="142"/>
      <c r="B202" s="52"/>
      <c r="C202" s="21">
        <f t="shared" si="28"/>
        <v>1</v>
      </c>
      <c r="D202" s="631"/>
      <c r="E202" s="21">
        <f t="shared" si="29"/>
        <v>0.02</v>
      </c>
      <c r="F202" s="631"/>
      <c r="G202" s="21">
        <f t="shared" si="30"/>
        <v>1</v>
      </c>
      <c r="H202" s="631"/>
      <c r="I202" s="21">
        <f t="shared" si="31"/>
        <v>1</v>
      </c>
      <c r="J202" s="631"/>
      <c r="K202" s="21">
        <f t="shared" si="32"/>
        <v>1</v>
      </c>
      <c r="L202" s="631"/>
      <c r="M202" s="21">
        <f t="shared" si="33"/>
        <v>1</v>
      </c>
      <c r="N202" s="631"/>
      <c r="O202" s="21">
        <f t="shared" si="34"/>
        <v>1</v>
      </c>
      <c r="P202" s="631"/>
      <c r="Q202" s="21">
        <f t="shared" si="35"/>
        <v>0</v>
      </c>
      <c r="R202" s="21">
        <f t="shared" si="36"/>
        <v>0</v>
      </c>
      <c r="S202" s="308">
        <f t="shared" si="27"/>
        <v>0</v>
      </c>
    </row>
    <row r="203" spans="1:19">
      <c r="A203" s="142"/>
      <c r="B203" s="52"/>
      <c r="C203" s="21">
        <f t="shared" si="28"/>
        <v>1</v>
      </c>
      <c r="D203" s="631"/>
      <c r="E203" s="21">
        <f t="shared" si="29"/>
        <v>0.02</v>
      </c>
      <c r="F203" s="631"/>
      <c r="G203" s="21">
        <f t="shared" si="30"/>
        <v>1</v>
      </c>
      <c r="H203" s="631"/>
      <c r="I203" s="21">
        <f t="shared" si="31"/>
        <v>1</v>
      </c>
      <c r="J203" s="631"/>
      <c r="K203" s="21">
        <f t="shared" si="32"/>
        <v>1</v>
      </c>
      <c r="L203" s="631"/>
      <c r="M203" s="21">
        <f t="shared" si="33"/>
        <v>1</v>
      </c>
      <c r="N203" s="631"/>
      <c r="O203" s="21">
        <f t="shared" si="34"/>
        <v>1</v>
      </c>
      <c r="P203" s="631"/>
      <c r="Q203" s="21">
        <f t="shared" si="35"/>
        <v>0</v>
      </c>
      <c r="R203" s="21">
        <f t="shared" si="36"/>
        <v>0</v>
      </c>
      <c r="S203" s="308">
        <f t="shared" si="27"/>
        <v>0</v>
      </c>
    </row>
    <row r="204" spans="1:19">
      <c r="A204" s="142"/>
      <c r="B204" s="52"/>
      <c r="C204" s="21">
        <f t="shared" si="28"/>
        <v>1</v>
      </c>
      <c r="D204" s="631"/>
      <c r="E204" s="21">
        <f t="shared" si="29"/>
        <v>0.02</v>
      </c>
      <c r="F204" s="631"/>
      <c r="G204" s="21">
        <f t="shared" si="30"/>
        <v>1</v>
      </c>
      <c r="H204" s="631"/>
      <c r="I204" s="21">
        <f t="shared" si="31"/>
        <v>1</v>
      </c>
      <c r="J204" s="631"/>
      <c r="K204" s="21">
        <f t="shared" si="32"/>
        <v>1</v>
      </c>
      <c r="L204" s="631"/>
      <c r="M204" s="21">
        <f t="shared" si="33"/>
        <v>1</v>
      </c>
      <c r="N204" s="631"/>
      <c r="O204" s="21">
        <f t="shared" si="34"/>
        <v>1</v>
      </c>
      <c r="P204" s="631"/>
      <c r="Q204" s="21">
        <f t="shared" si="35"/>
        <v>0</v>
      </c>
      <c r="R204" s="21">
        <f t="shared" si="36"/>
        <v>0</v>
      </c>
      <c r="S204" s="308">
        <f t="shared" si="27"/>
        <v>0</v>
      </c>
    </row>
    <row r="205" spans="1:19">
      <c r="A205" s="142"/>
      <c r="B205" s="52"/>
      <c r="C205" s="21">
        <f t="shared" si="28"/>
        <v>1</v>
      </c>
      <c r="D205" s="631"/>
      <c r="E205" s="21">
        <f t="shared" si="29"/>
        <v>0.02</v>
      </c>
      <c r="F205" s="631"/>
      <c r="G205" s="21">
        <f t="shared" si="30"/>
        <v>1</v>
      </c>
      <c r="H205" s="631"/>
      <c r="I205" s="21">
        <f t="shared" si="31"/>
        <v>1</v>
      </c>
      <c r="J205" s="631"/>
      <c r="K205" s="21">
        <f t="shared" si="32"/>
        <v>1</v>
      </c>
      <c r="L205" s="631"/>
      <c r="M205" s="21">
        <f t="shared" si="33"/>
        <v>1</v>
      </c>
      <c r="N205" s="631"/>
      <c r="O205" s="21">
        <f t="shared" si="34"/>
        <v>1</v>
      </c>
      <c r="P205" s="631"/>
      <c r="Q205" s="21">
        <f t="shared" si="35"/>
        <v>0</v>
      </c>
      <c r="R205" s="21">
        <f t="shared" si="36"/>
        <v>0</v>
      </c>
      <c r="S205" s="308">
        <f t="shared" si="27"/>
        <v>0</v>
      </c>
    </row>
    <row r="206" spans="1:19">
      <c r="A206" s="142"/>
      <c r="B206" s="52"/>
      <c r="C206" s="21">
        <f t="shared" si="28"/>
        <v>1</v>
      </c>
      <c r="D206" s="631"/>
      <c r="E206" s="21">
        <f t="shared" si="29"/>
        <v>0.02</v>
      </c>
      <c r="F206" s="631"/>
      <c r="G206" s="21">
        <f t="shared" si="30"/>
        <v>1</v>
      </c>
      <c r="H206" s="631"/>
      <c r="I206" s="21">
        <f t="shared" si="31"/>
        <v>1</v>
      </c>
      <c r="J206" s="631"/>
      <c r="K206" s="21">
        <f t="shared" si="32"/>
        <v>1</v>
      </c>
      <c r="L206" s="631"/>
      <c r="M206" s="21">
        <f t="shared" si="33"/>
        <v>1</v>
      </c>
      <c r="N206" s="631"/>
      <c r="O206" s="21">
        <f t="shared" si="34"/>
        <v>1</v>
      </c>
      <c r="P206" s="631"/>
      <c r="Q206" s="21">
        <f t="shared" si="35"/>
        <v>0</v>
      </c>
      <c r="R206" s="21">
        <f t="shared" si="36"/>
        <v>0</v>
      </c>
      <c r="S206" s="308">
        <f t="shared" si="27"/>
        <v>0</v>
      </c>
    </row>
    <row r="207" spans="1:19">
      <c r="A207" s="142"/>
      <c r="B207" s="52"/>
      <c r="C207" s="21">
        <f t="shared" si="28"/>
        <v>1</v>
      </c>
      <c r="D207" s="631"/>
      <c r="E207" s="21">
        <f t="shared" si="29"/>
        <v>0.02</v>
      </c>
      <c r="F207" s="631"/>
      <c r="G207" s="21">
        <f t="shared" si="30"/>
        <v>1</v>
      </c>
      <c r="H207" s="631"/>
      <c r="I207" s="21">
        <f t="shared" si="31"/>
        <v>1</v>
      </c>
      <c r="J207" s="631"/>
      <c r="K207" s="21">
        <f t="shared" si="32"/>
        <v>1</v>
      </c>
      <c r="L207" s="631"/>
      <c r="M207" s="21">
        <f t="shared" si="33"/>
        <v>1</v>
      </c>
      <c r="N207" s="631"/>
      <c r="O207" s="21">
        <f t="shared" si="34"/>
        <v>1</v>
      </c>
      <c r="P207" s="631"/>
      <c r="Q207" s="21">
        <f t="shared" si="35"/>
        <v>0</v>
      </c>
      <c r="R207" s="21">
        <f t="shared" si="36"/>
        <v>0</v>
      </c>
      <c r="S207" s="308">
        <f t="shared" si="27"/>
        <v>0</v>
      </c>
    </row>
    <row r="208" spans="1:19">
      <c r="A208" s="142"/>
      <c r="B208" s="52"/>
      <c r="C208" s="21">
        <f t="shared" si="28"/>
        <v>1</v>
      </c>
      <c r="D208" s="631"/>
      <c r="E208" s="21">
        <f t="shared" si="29"/>
        <v>0.02</v>
      </c>
      <c r="F208" s="631"/>
      <c r="G208" s="21">
        <f t="shared" si="30"/>
        <v>1</v>
      </c>
      <c r="H208" s="631"/>
      <c r="I208" s="21">
        <f t="shared" si="31"/>
        <v>1</v>
      </c>
      <c r="J208" s="631"/>
      <c r="K208" s="21">
        <f t="shared" si="32"/>
        <v>1</v>
      </c>
      <c r="L208" s="631"/>
      <c r="M208" s="21">
        <f t="shared" si="33"/>
        <v>1</v>
      </c>
      <c r="N208" s="631"/>
      <c r="O208" s="21">
        <f t="shared" si="34"/>
        <v>1</v>
      </c>
      <c r="P208" s="631"/>
      <c r="Q208" s="21">
        <f t="shared" si="35"/>
        <v>0</v>
      </c>
      <c r="R208" s="21">
        <f t="shared" si="36"/>
        <v>0</v>
      </c>
      <c r="S208" s="308">
        <f t="shared" si="27"/>
        <v>0</v>
      </c>
    </row>
    <row r="209" spans="1:19">
      <c r="A209" s="142"/>
      <c r="B209" s="52"/>
      <c r="C209" s="21">
        <f t="shared" si="28"/>
        <v>1</v>
      </c>
      <c r="D209" s="631"/>
      <c r="E209" s="21">
        <f t="shared" si="29"/>
        <v>0.02</v>
      </c>
      <c r="F209" s="631"/>
      <c r="G209" s="21">
        <f t="shared" si="30"/>
        <v>1</v>
      </c>
      <c r="H209" s="631"/>
      <c r="I209" s="21">
        <f t="shared" si="31"/>
        <v>1</v>
      </c>
      <c r="J209" s="631"/>
      <c r="K209" s="21">
        <f t="shared" si="32"/>
        <v>1</v>
      </c>
      <c r="L209" s="631"/>
      <c r="M209" s="21">
        <f t="shared" si="33"/>
        <v>1</v>
      </c>
      <c r="N209" s="631"/>
      <c r="O209" s="21">
        <f t="shared" si="34"/>
        <v>1</v>
      </c>
      <c r="P209" s="631"/>
      <c r="Q209" s="21">
        <f t="shared" si="35"/>
        <v>0</v>
      </c>
      <c r="R209" s="21">
        <f t="shared" si="36"/>
        <v>0</v>
      </c>
      <c r="S209" s="308">
        <f t="shared" si="27"/>
        <v>0</v>
      </c>
    </row>
    <row r="210" spans="1:19">
      <c r="A210" s="142"/>
      <c r="B210" s="52"/>
      <c r="C210" s="21">
        <f t="shared" si="28"/>
        <v>1</v>
      </c>
      <c r="D210" s="631"/>
      <c r="E210" s="21">
        <f t="shared" si="29"/>
        <v>0.02</v>
      </c>
      <c r="F210" s="631"/>
      <c r="G210" s="21">
        <f t="shared" si="30"/>
        <v>1</v>
      </c>
      <c r="H210" s="631"/>
      <c r="I210" s="21">
        <f t="shared" si="31"/>
        <v>1</v>
      </c>
      <c r="J210" s="631"/>
      <c r="K210" s="21">
        <f t="shared" si="32"/>
        <v>1</v>
      </c>
      <c r="L210" s="631"/>
      <c r="M210" s="21">
        <f t="shared" si="33"/>
        <v>1</v>
      </c>
      <c r="N210" s="631"/>
      <c r="O210" s="21">
        <f t="shared" si="34"/>
        <v>1</v>
      </c>
      <c r="P210" s="631"/>
      <c r="Q210" s="21">
        <f t="shared" si="35"/>
        <v>0</v>
      </c>
      <c r="R210" s="21">
        <f t="shared" si="36"/>
        <v>0</v>
      </c>
      <c r="S210" s="308">
        <f t="shared" si="27"/>
        <v>0</v>
      </c>
    </row>
    <row r="211" spans="1:19">
      <c r="A211" s="142"/>
      <c r="B211" s="52"/>
      <c r="C211" s="21">
        <f t="shared" si="28"/>
        <v>1</v>
      </c>
      <c r="D211" s="631"/>
      <c r="E211" s="21">
        <f t="shared" si="29"/>
        <v>0.02</v>
      </c>
      <c r="F211" s="631"/>
      <c r="G211" s="21">
        <f t="shared" si="30"/>
        <v>1</v>
      </c>
      <c r="H211" s="631"/>
      <c r="I211" s="21">
        <f t="shared" si="31"/>
        <v>1</v>
      </c>
      <c r="J211" s="631"/>
      <c r="K211" s="21">
        <f t="shared" si="32"/>
        <v>1</v>
      </c>
      <c r="L211" s="631"/>
      <c r="M211" s="21">
        <f t="shared" si="33"/>
        <v>1</v>
      </c>
      <c r="N211" s="631"/>
      <c r="O211" s="21">
        <f t="shared" si="34"/>
        <v>1</v>
      </c>
      <c r="P211" s="631"/>
      <c r="Q211" s="21">
        <f t="shared" si="35"/>
        <v>0</v>
      </c>
      <c r="R211" s="21">
        <f t="shared" si="36"/>
        <v>0</v>
      </c>
      <c r="S211" s="308">
        <f t="shared" si="27"/>
        <v>0</v>
      </c>
    </row>
    <row r="212" spans="1:19">
      <c r="A212" s="142"/>
      <c r="B212" s="52"/>
      <c r="C212" s="21">
        <f t="shared" si="28"/>
        <v>1</v>
      </c>
      <c r="D212" s="631"/>
      <c r="E212" s="21">
        <f t="shared" si="29"/>
        <v>0.02</v>
      </c>
      <c r="F212" s="631"/>
      <c r="G212" s="21">
        <f t="shared" si="30"/>
        <v>1</v>
      </c>
      <c r="H212" s="631"/>
      <c r="I212" s="21">
        <f t="shared" si="31"/>
        <v>1</v>
      </c>
      <c r="J212" s="631"/>
      <c r="K212" s="21">
        <f t="shared" si="32"/>
        <v>1</v>
      </c>
      <c r="L212" s="631"/>
      <c r="M212" s="21">
        <f t="shared" si="33"/>
        <v>1</v>
      </c>
      <c r="N212" s="631"/>
      <c r="O212" s="21">
        <f t="shared" si="34"/>
        <v>1</v>
      </c>
      <c r="P212" s="631"/>
      <c r="Q212" s="21">
        <f t="shared" si="35"/>
        <v>0</v>
      </c>
      <c r="R212" s="21">
        <f t="shared" si="36"/>
        <v>0</v>
      </c>
      <c r="S212" s="308">
        <f t="shared" si="27"/>
        <v>0</v>
      </c>
    </row>
    <row r="213" spans="1:19">
      <c r="A213" s="142"/>
      <c r="B213" s="52"/>
      <c r="C213" s="21">
        <f t="shared" si="28"/>
        <v>1</v>
      </c>
      <c r="D213" s="631"/>
      <c r="E213" s="21">
        <f t="shared" si="29"/>
        <v>0.02</v>
      </c>
      <c r="F213" s="631"/>
      <c r="G213" s="21">
        <f t="shared" si="30"/>
        <v>1</v>
      </c>
      <c r="H213" s="631"/>
      <c r="I213" s="21">
        <f t="shared" si="31"/>
        <v>1</v>
      </c>
      <c r="J213" s="631"/>
      <c r="K213" s="21">
        <f t="shared" si="32"/>
        <v>1</v>
      </c>
      <c r="L213" s="631"/>
      <c r="M213" s="21">
        <f t="shared" si="33"/>
        <v>1</v>
      </c>
      <c r="N213" s="631"/>
      <c r="O213" s="21">
        <f t="shared" si="34"/>
        <v>1</v>
      </c>
      <c r="P213" s="631"/>
      <c r="Q213" s="21">
        <f t="shared" si="35"/>
        <v>0</v>
      </c>
      <c r="R213" s="21">
        <f t="shared" si="36"/>
        <v>0</v>
      </c>
      <c r="S213" s="308">
        <f t="shared" si="27"/>
        <v>0</v>
      </c>
    </row>
    <row r="214" spans="1:19">
      <c r="A214" s="142"/>
      <c r="B214" s="52"/>
      <c r="C214" s="21">
        <f t="shared" si="28"/>
        <v>1</v>
      </c>
      <c r="D214" s="631"/>
      <c r="E214" s="21">
        <f t="shared" si="29"/>
        <v>0.02</v>
      </c>
      <c r="F214" s="631"/>
      <c r="G214" s="21">
        <f t="shared" si="30"/>
        <v>1</v>
      </c>
      <c r="H214" s="631"/>
      <c r="I214" s="21">
        <f t="shared" si="31"/>
        <v>1</v>
      </c>
      <c r="J214" s="631"/>
      <c r="K214" s="21">
        <f t="shared" si="32"/>
        <v>1</v>
      </c>
      <c r="L214" s="631"/>
      <c r="M214" s="21">
        <f t="shared" si="33"/>
        <v>1</v>
      </c>
      <c r="N214" s="631"/>
      <c r="O214" s="21">
        <f t="shared" si="34"/>
        <v>1</v>
      </c>
      <c r="P214" s="631"/>
      <c r="Q214" s="21">
        <f t="shared" si="35"/>
        <v>0</v>
      </c>
      <c r="R214" s="21">
        <f t="shared" si="36"/>
        <v>0</v>
      </c>
      <c r="S214" s="308">
        <f t="shared" si="27"/>
        <v>0</v>
      </c>
    </row>
    <row r="215" spans="1:19">
      <c r="A215" s="142"/>
      <c r="B215" s="52"/>
      <c r="C215" s="21">
        <f t="shared" si="28"/>
        <v>1</v>
      </c>
      <c r="D215" s="631"/>
      <c r="E215" s="21">
        <f t="shared" si="29"/>
        <v>0.02</v>
      </c>
      <c r="F215" s="631"/>
      <c r="G215" s="21">
        <f t="shared" si="30"/>
        <v>1</v>
      </c>
      <c r="H215" s="631"/>
      <c r="I215" s="21">
        <f t="shared" si="31"/>
        <v>1</v>
      </c>
      <c r="J215" s="631"/>
      <c r="K215" s="21">
        <f t="shared" si="32"/>
        <v>1</v>
      </c>
      <c r="L215" s="631"/>
      <c r="M215" s="21">
        <f t="shared" si="33"/>
        <v>1</v>
      </c>
      <c r="N215" s="631"/>
      <c r="O215" s="21">
        <f t="shared" si="34"/>
        <v>1</v>
      </c>
      <c r="P215" s="631"/>
      <c r="Q215" s="21">
        <f t="shared" si="35"/>
        <v>0</v>
      </c>
      <c r="R215" s="21">
        <f t="shared" si="36"/>
        <v>0</v>
      </c>
      <c r="S215" s="308">
        <f t="shared" si="27"/>
        <v>0</v>
      </c>
    </row>
    <row r="216" spans="1:19">
      <c r="A216" s="142"/>
      <c r="B216" s="52"/>
      <c r="C216" s="21">
        <f t="shared" si="28"/>
        <v>1</v>
      </c>
      <c r="D216" s="631"/>
      <c r="E216" s="21">
        <f t="shared" si="29"/>
        <v>0.02</v>
      </c>
      <c r="F216" s="631"/>
      <c r="G216" s="21">
        <f t="shared" si="30"/>
        <v>1</v>
      </c>
      <c r="H216" s="631"/>
      <c r="I216" s="21">
        <f t="shared" si="31"/>
        <v>1</v>
      </c>
      <c r="J216" s="631"/>
      <c r="K216" s="21">
        <f t="shared" si="32"/>
        <v>1</v>
      </c>
      <c r="L216" s="631"/>
      <c r="M216" s="21">
        <f t="shared" si="33"/>
        <v>1</v>
      </c>
      <c r="N216" s="631"/>
      <c r="O216" s="21">
        <f t="shared" si="34"/>
        <v>1</v>
      </c>
      <c r="P216" s="631"/>
      <c r="Q216" s="21">
        <f t="shared" si="35"/>
        <v>0</v>
      </c>
      <c r="R216" s="21">
        <f t="shared" si="36"/>
        <v>0</v>
      </c>
      <c r="S216" s="308">
        <f t="shared" ref="S216:S279" si="37">ROUND(R216*B216/10000,0)</f>
        <v>0</v>
      </c>
    </row>
    <row r="217" spans="1:19">
      <c r="A217" s="142"/>
      <c r="B217" s="52"/>
      <c r="C217" s="21">
        <f t="shared" si="28"/>
        <v>1</v>
      </c>
      <c r="D217" s="631"/>
      <c r="E217" s="21">
        <f t="shared" si="29"/>
        <v>0.02</v>
      </c>
      <c r="F217" s="631"/>
      <c r="G217" s="21">
        <f t="shared" si="30"/>
        <v>1</v>
      </c>
      <c r="H217" s="631"/>
      <c r="I217" s="21">
        <f t="shared" si="31"/>
        <v>1</v>
      </c>
      <c r="J217" s="631"/>
      <c r="K217" s="21">
        <f t="shared" si="32"/>
        <v>1</v>
      </c>
      <c r="L217" s="631"/>
      <c r="M217" s="21">
        <f t="shared" si="33"/>
        <v>1</v>
      </c>
      <c r="N217" s="631"/>
      <c r="O217" s="21">
        <f t="shared" si="34"/>
        <v>1</v>
      </c>
      <c r="P217" s="631"/>
      <c r="Q217" s="21">
        <f t="shared" si="35"/>
        <v>0</v>
      </c>
      <c r="R217" s="21">
        <f t="shared" si="36"/>
        <v>0</v>
      </c>
      <c r="S217" s="308">
        <f t="shared" si="37"/>
        <v>0</v>
      </c>
    </row>
    <row r="218" spans="1:19">
      <c r="A218" s="142"/>
      <c r="B218" s="52"/>
      <c r="C218" s="21">
        <f t="shared" ref="C218:C281" si="38">IF(B218="",1,(LOOKUP(B218,$3:$3,$4:$4)-LOOKUP($B$24,$3:$3,$4:$4)+100)/100)</f>
        <v>1</v>
      </c>
      <c r="D218" s="631"/>
      <c r="E218" s="21">
        <f t="shared" ref="E218:E281" si="39">(SUMIF($5:$5,D218,$6:$6)-SUMIF($5:$5,$D$24,$6:$6)+100)/100</f>
        <v>0.02</v>
      </c>
      <c r="F218" s="631"/>
      <c r="G218" s="21">
        <f t="shared" ref="G218:G281" si="40">(SUMIF($7:$7,F218,$8:$8)-SUMIF($7:$7,$F$24,$8:$8)+100)/100</f>
        <v>1</v>
      </c>
      <c r="H218" s="631"/>
      <c r="I218" s="21">
        <f t="shared" ref="I218:I281" si="41">(SUMIF($9:$9,H218,$10:$10)-SUMIF($9:$9,$H$24,$10:$10)+100)/100</f>
        <v>1</v>
      </c>
      <c r="J218" s="631"/>
      <c r="K218" s="21">
        <f t="shared" ref="K218:K281" si="42">(SUMIF($11:$11,J218,$12:$12)-SUMIF($11:$11,$J$24,$12:$12)+100)/100</f>
        <v>1</v>
      </c>
      <c r="L218" s="631"/>
      <c r="M218" s="21">
        <f t="shared" ref="M218:M281" si="43">(SUMIF($13:$13,L218,$14:$14)-SUMIF($13:$13,$L$24,$14:$14)+100)/100</f>
        <v>1</v>
      </c>
      <c r="N218" s="631"/>
      <c r="O218" s="21">
        <f t="shared" ref="O218:O281" si="44">(SUMIF($15:$15,N218,$16:$16)-SUMIF($15:$15,$N$24,$16:$16)+100)/100</f>
        <v>1</v>
      </c>
      <c r="P218" s="631"/>
      <c r="Q218" s="21">
        <f t="shared" ref="Q218:Q281" si="45">(SUMIF($17:$17,P218,$18:$18)-SUMIF($17:$17,$P$24,$18:$18)+100)/100</f>
        <v>0</v>
      </c>
      <c r="R218" s="21">
        <f t="shared" si="36"/>
        <v>0</v>
      </c>
      <c r="S218" s="308">
        <f t="shared" si="37"/>
        <v>0</v>
      </c>
    </row>
    <row r="219" spans="1:19">
      <c r="A219" s="142"/>
      <c r="B219" s="52"/>
      <c r="C219" s="21">
        <f t="shared" si="38"/>
        <v>1</v>
      </c>
      <c r="D219" s="631"/>
      <c r="E219" s="21">
        <f t="shared" si="39"/>
        <v>0.02</v>
      </c>
      <c r="F219" s="631"/>
      <c r="G219" s="21">
        <f t="shared" si="40"/>
        <v>1</v>
      </c>
      <c r="H219" s="631"/>
      <c r="I219" s="21">
        <f t="shared" si="41"/>
        <v>1</v>
      </c>
      <c r="J219" s="631"/>
      <c r="K219" s="21">
        <f t="shared" si="42"/>
        <v>1</v>
      </c>
      <c r="L219" s="631"/>
      <c r="M219" s="21">
        <f t="shared" si="43"/>
        <v>1</v>
      </c>
      <c r="N219" s="631"/>
      <c r="O219" s="21">
        <f t="shared" si="44"/>
        <v>1</v>
      </c>
      <c r="P219" s="631"/>
      <c r="Q219" s="21">
        <f t="shared" si="45"/>
        <v>0</v>
      </c>
      <c r="R219" s="21">
        <f t="shared" si="36"/>
        <v>0</v>
      </c>
      <c r="S219" s="308">
        <f t="shared" si="37"/>
        <v>0</v>
      </c>
    </row>
    <row r="220" spans="1:19">
      <c r="A220" s="142"/>
      <c r="B220" s="52"/>
      <c r="C220" s="21">
        <f t="shared" si="38"/>
        <v>1</v>
      </c>
      <c r="D220" s="631"/>
      <c r="E220" s="21">
        <f t="shared" si="39"/>
        <v>0.02</v>
      </c>
      <c r="F220" s="631"/>
      <c r="G220" s="21">
        <f t="shared" si="40"/>
        <v>1</v>
      </c>
      <c r="H220" s="631"/>
      <c r="I220" s="21">
        <f t="shared" si="41"/>
        <v>1</v>
      </c>
      <c r="J220" s="631"/>
      <c r="K220" s="21">
        <f t="shared" si="42"/>
        <v>1</v>
      </c>
      <c r="L220" s="631"/>
      <c r="M220" s="21">
        <f t="shared" si="43"/>
        <v>1</v>
      </c>
      <c r="N220" s="631"/>
      <c r="O220" s="21">
        <f t="shared" si="44"/>
        <v>1</v>
      </c>
      <c r="P220" s="631"/>
      <c r="Q220" s="21">
        <f t="shared" si="45"/>
        <v>0</v>
      </c>
      <c r="R220" s="21">
        <f t="shared" si="36"/>
        <v>0</v>
      </c>
      <c r="S220" s="308">
        <f t="shared" si="37"/>
        <v>0</v>
      </c>
    </row>
    <row r="221" spans="1:19">
      <c r="A221" s="142"/>
      <c r="B221" s="52"/>
      <c r="C221" s="21">
        <f t="shared" si="38"/>
        <v>1</v>
      </c>
      <c r="D221" s="631"/>
      <c r="E221" s="21">
        <f t="shared" si="39"/>
        <v>0.02</v>
      </c>
      <c r="F221" s="631"/>
      <c r="G221" s="21">
        <f t="shared" si="40"/>
        <v>1</v>
      </c>
      <c r="H221" s="631"/>
      <c r="I221" s="21">
        <f t="shared" si="41"/>
        <v>1</v>
      </c>
      <c r="J221" s="631"/>
      <c r="K221" s="21">
        <f t="shared" si="42"/>
        <v>1</v>
      </c>
      <c r="L221" s="631"/>
      <c r="M221" s="21">
        <f t="shared" si="43"/>
        <v>1</v>
      </c>
      <c r="N221" s="631"/>
      <c r="O221" s="21">
        <f t="shared" si="44"/>
        <v>1</v>
      </c>
      <c r="P221" s="631"/>
      <c r="Q221" s="21">
        <f t="shared" si="45"/>
        <v>0</v>
      </c>
      <c r="R221" s="21">
        <f t="shared" si="36"/>
        <v>0</v>
      </c>
      <c r="S221" s="308">
        <f t="shared" si="37"/>
        <v>0</v>
      </c>
    </row>
    <row r="222" spans="1:19">
      <c r="A222" s="142"/>
      <c r="B222" s="52"/>
      <c r="C222" s="21">
        <f t="shared" si="38"/>
        <v>1</v>
      </c>
      <c r="D222" s="631"/>
      <c r="E222" s="21">
        <f t="shared" si="39"/>
        <v>0.02</v>
      </c>
      <c r="F222" s="631"/>
      <c r="G222" s="21">
        <f t="shared" si="40"/>
        <v>1</v>
      </c>
      <c r="H222" s="631"/>
      <c r="I222" s="21">
        <f t="shared" si="41"/>
        <v>1</v>
      </c>
      <c r="J222" s="631"/>
      <c r="K222" s="21">
        <f t="shared" si="42"/>
        <v>1</v>
      </c>
      <c r="L222" s="631"/>
      <c r="M222" s="21">
        <f t="shared" si="43"/>
        <v>1</v>
      </c>
      <c r="N222" s="631"/>
      <c r="O222" s="21">
        <f t="shared" si="44"/>
        <v>1</v>
      </c>
      <c r="P222" s="631"/>
      <c r="Q222" s="21">
        <f t="shared" si="45"/>
        <v>0</v>
      </c>
      <c r="R222" s="21">
        <f t="shared" si="36"/>
        <v>0</v>
      </c>
      <c r="S222" s="308">
        <f t="shared" si="37"/>
        <v>0</v>
      </c>
    </row>
    <row r="223" spans="1:19">
      <c r="A223" s="142"/>
      <c r="B223" s="52"/>
      <c r="C223" s="21">
        <f t="shared" si="38"/>
        <v>1</v>
      </c>
      <c r="D223" s="631"/>
      <c r="E223" s="21">
        <f t="shared" si="39"/>
        <v>0.02</v>
      </c>
      <c r="F223" s="631"/>
      <c r="G223" s="21">
        <f t="shared" si="40"/>
        <v>1</v>
      </c>
      <c r="H223" s="631"/>
      <c r="I223" s="21">
        <f t="shared" si="41"/>
        <v>1</v>
      </c>
      <c r="J223" s="631"/>
      <c r="K223" s="21">
        <f t="shared" si="42"/>
        <v>1</v>
      </c>
      <c r="L223" s="631"/>
      <c r="M223" s="21">
        <f t="shared" si="43"/>
        <v>1</v>
      </c>
      <c r="N223" s="631"/>
      <c r="O223" s="21">
        <f t="shared" si="44"/>
        <v>1</v>
      </c>
      <c r="P223" s="631"/>
      <c r="Q223" s="21">
        <f t="shared" si="45"/>
        <v>0</v>
      </c>
      <c r="R223" s="21">
        <f t="shared" si="36"/>
        <v>0</v>
      </c>
      <c r="S223" s="308">
        <f t="shared" si="37"/>
        <v>0</v>
      </c>
    </row>
    <row r="224" spans="1:19">
      <c r="A224" s="142"/>
      <c r="B224" s="52"/>
      <c r="C224" s="21">
        <f t="shared" si="38"/>
        <v>1</v>
      </c>
      <c r="D224" s="631"/>
      <c r="E224" s="21">
        <f t="shared" si="39"/>
        <v>0.02</v>
      </c>
      <c r="F224" s="631"/>
      <c r="G224" s="21">
        <f t="shared" si="40"/>
        <v>1</v>
      </c>
      <c r="H224" s="631"/>
      <c r="I224" s="21">
        <f t="shared" si="41"/>
        <v>1</v>
      </c>
      <c r="J224" s="631"/>
      <c r="K224" s="21">
        <f t="shared" si="42"/>
        <v>1</v>
      </c>
      <c r="L224" s="631"/>
      <c r="M224" s="21">
        <f t="shared" si="43"/>
        <v>1</v>
      </c>
      <c r="N224" s="631"/>
      <c r="O224" s="21">
        <f t="shared" si="44"/>
        <v>1</v>
      </c>
      <c r="P224" s="631"/>
      <c r="Q224" s="21">
        <f t="shared" si="45"/>
        <v>0</v>
      </c>
      <c r="R224" s="21">
        <f t="shared" si="36"/>
        <v>0</v>
      </c>
      <c r="S224" s="308">
        <f t="shared" si="37"/>
        <v>0</v>
      </c>
    </row>
    <row r="225" spans="1:19">
      <c r="A225" s="142"/>
      <c r="B225" s="52"/>
      <c r="C225" s="21">
        <f t="shared" si="38"/>
        <v>1</v>
      </c>
      <c r="D225" s="631"/>
      <c r="E225" s="21">
        <f t="shared" si="39"/>
        <v>0.02</v>
      </c>
      <c r="F225" s="631"/>
      <c r="G225" s="21">
        <f t="shared" si="40"/>
        <v>1</v>
      </c>
      <c r="H225" s="631"/>
      <c r="I225" s="21">
        <f t="shared" si="41"/>
        <v>1</v>
      </c>
      <c r="J225" s="631"/>
      <c r="K225" s="21">
        <f t="shared" si="42"/>
        <v>1</v>
      </c>
      <c r="L225" s="631"/>
      <c r="M225" s="21">
        <f t="shared" si="43"/>
        <v>1</v>
      </c>
      <c r="N225" s="631"/>
      <c r="O225" s="21">
        <f t="shared" si="44"/>
        <v>1</v>
      </c>
      <c r="P225" s="631"/>
      <c r="Q225" s="21">
        <f t="shared" si="45"/>
        <v>0</v>
      </c>
      <c r="R225" s="21">
        <f t="shared" si="36"/>
        <v>0</v>
      </c>
      <c r="S225" s="308">
        <f t="shared" si="37"/>
        <v>0</v>
      </c>
    </row>
    <row r="226" spans="1:19">
      <c r="A226" s="142"/>
      <c r="B226" s="52"/>
      <c r="C226" s="21">
        <f t="shared" si="38"/>
        <v>1</v>
      </c>
      <c r="D226" s="631"/>
      <c r="E226" s="21">
        <f t="shared" si="39"/>
        <v>0.02</v>
      </c>
      <c r="F226" s="631"/>
      <c r="G226" s="21">
        <f t="shared" si="40"/>
        <v>1</v>
      </c>
      <c r="H226" s="631"/>
      <c r="I226" s="21">
        <f t="shared" si="41"/>
        <v>1</v>
      </c>
      <c r="J226" s="631"/>
      <c r="K226" s="21">
        <f t="shared" si="42"/>
        <v>1</v>
      </c>
      <c r="L226" s="631"/>
      <c r="M226" s="21">
        <f t="shared" si="43"/>
        <v>1</v>
      </c>
      <c r="N226" s="631"/>
      <c r="O226" s="21">
        <f t="shared" si="44"/>
        <v>1</v>
      </c>
      <c r="P226" s="631"/>
      <c r="Q226" s="21">
        <f t="shared" si="45"/>
        <v>0</v>
      </c>
      <c r="R226" s="21">
        <f t="shared" si="36"/>
        <v>0</v>
      </c>
      <c r="S226" s="308">
        <f t="shared" si="37"/>
        <v>0</v>
      </c>
    </row>
    <row r="227" spans="1:19">
      <c r="A227" s="142"/>
      <c r="B227" s="52"/>
      <c r="C227" s="21">
        <f t="shared" si="38"/>
        <v>1</v>
      </c>
      <c r="D227" s="631"/>
      <c r="E227" s="21">
        <f t="shared" si="39"/>
        <v>0.02</v>
      </c>
      <c r="F227" s="631"/>
      <c r="G227" s="21">
        <f t="shared" si="40"/>
        <v>1</v>
      </c>
      <c r="H227" s="631"/>
      <c r="I227" s="21">
        <f t="shared" si="41"/>
        <v>1</v>
      </c>
      <c r="J227" s="631"/>
      <c r="K227" s="21">
        <f t="shared" si="42"/>
        <v>1</v>
      </c>
      <c r="L227" s="631"/>
      <c r="M227" s="21">
        <f t="shared" si="43"/>
        <v>1</v>
      </c>
      <c r="N227" s="631"/>
      <c r="O227" s="21">
        <f t="shared" si="44"/>
        <v>1</v>
      </c>
      <c r="P227" s="631"/>
      <c r="Q227" s="21">
        <f t="shared" si="45"/>
        <v>0</v>
      </c>
      <c r="R227" s="21">
        <f t="shared" si="36"/>
        <v>0</v>
      </c>
      <c r="S227" s="308">
        <f t="shared" si="37"/>
        <v>0</v>
      </c>
    </row>
    <row r="228" spans="1:19">
      <c r="A228" s="142"/>
      <c r="B228" s="52"/>
      <c r="C228" s="21">
        <f t="shared" si="38"/>
        <v>1</v>
      </c>
      <c r="D228" s="631"/>
      <c r="E228" s="21">
        <f t="shared" si="39"/>
        <v>0.02</v>
      </c>
      <c r="F228" s="631"/>
      <c r="G228" s="21">
        <f t="shared" si="40"/>
        <v>1</v>
      </c>
      <c r="H228" s="631"/>
      <c r="I228" s="21">
        <f t="shared" si="41"/>
        <v>1</v>
      </c>
      <c r="J228" s="631"/>
      <c r="K228" s="21">
        <f t="shared" si="42"/>
        <v>1</v>
      </c>
      <c r="L228" s="631"/>
      <c r="M228" s="21">
        <f t="shared" si="43"/>
        <v>1</v>
      </c>
      <c r="N228" s="631"/>
      <c r="O228" s="21">
        <f t="shared" si="44"/>
        <v>1</v>
      </c>
      <c r="P228" s="631"/>
      <c r="Q228" s="21">
        <f t="shared" si="45"/>
        <v>0</v>
      </c>
      <c r="R228" s="21">
        <f t="shared" si="36"/>
        <v>0</v>
      </c>
      <c r="S228" s="308">
        <f t="shared" si="37"/>
        <v>0</v>
      </c>
    </row>
    <row r="229" spans="1:19">
      <c r="A229" s="142"/>
      <c r="B229" s="52"/>
      <c r="C229" s="21">
        <f t="shared" si="38"/>
        <v>1</v>
      </c>
      <c r="D229" s="631"/>
      <c r="E229" s="21">
        <f t="shared" si="39"/>
        <v>0.02</v>
      </c>
      <c r="F229" s="631"/>
      <c r="G229" s="21">
        <f t="shared" si="40"/>
        <v>1</v>
      </c>
      <c r="H229" s="631"/>
      <c r="I229" s="21">
        <f t="shared" si="41"/>
        <v>1</v>
      </c>
      <c r="J229" s="631"/>
      <c r="K229" s="21">
        <f t="shared" si="42"/>
        <v>1</v>
      </c>
      <c r="L229" s="631"/>
      <c r="M229" s="21">
        <f t="shared" si="43"/>
        <v>1</v>
      </c>
      <c r="N229" s="631"/>
      <c r="O229" s="21">
        <f t="shared" si="44"/>
        <v>1</v>
      </c>
      <c r="P229" s="631"/>
      <c r="Q229" s="21">
        <f t="shared" si="45"/>
        <v>0</v>
      </c>
      <c r="R229" s="21">
        <f t="shared" si="36"/>
        <v>0</v>
      </c>
      <c r="S229" s="308">
        <f t="shared" si="37"/>
        <v>0</v>
      </c>
    </row>
    <row r="230" spans="1:19">
      <c r="A230" s="142"/>
      <c r="B230" s="52"/>
      <c r="C230" s="21">
        <f t="shared" si="38"/>
        <v>1</v>
      </c>
      <c r="D230" s="631"/>
      <c r="E230" s="21">
        <f t="shared" si="39"/>
        <v>0.02</v>
      </c>
      <c r="F230" s="631"/>
      <c r="G230" s="21">
        <f t="shared" si="40"/>
        <v>1</v>
      </c>
      <c r="H230" s="631"/>
      <c r="I230" s="21">
        <f t="shared" si="41"/>
        <v>1</v>
      </c>
      <c r="J230" s="631"/>
      <c r="K230" s="21">
        <f t="shared" si="42"/>
        <v>1</v>
      </c>
      <c r="L230" s="631"/>
      <c r="M230" s="21">
        <f t="shared" si="43"/>
        <v>1</v>
      </c>
      <c r="N230" s="631"/>
      <c r="O230" s="21">
        <f t="shared" si="44"/>
        <v>1</v>
      </c>
      <c r="P230" s="631"/>
      <c r="Q230" s="21">
        <f t="shared" si="45"/>
        <v>0</v>
      </c>
      <c r="R230" s="21">
        <f t="shared" ref="R230:R293" si="46">IF(B230="",0,ROUND($R$24*C230*E230*G230*I230*K230*M230*O230*Q230,0))</f>
        <v>0</v>
      </c>
      <c r="S230" s="308">
        <f t="shared" si="37"/>
        <v>0</v>
      </c>
    </row>
    <row r="231" spans="1:19">
      <c r="A231" s="142"/>
      <c r="B231" s="52"/>
      <c r="C231" s="21">
        <f t="shared" si="38"/>
        <v>1</v>
      </c>
      <c r="D231" s="631"/>
      <c r="E231" s="21">
        <f t="shared" si="39"/>
        <v>0.02</v>
      </c>
      <c r="F231" s="631"/>
      <c r="G231" s="21">
        <f t="shared" si="40"/>
        <v>1</v>
      </c>
      <c r="H231" s="631"/>
      <c r="I231" s="21">
        <f t="shared" si="41"/>
        <v>1</v>
      </c>
      <c r="J231" s="631"/>
      <c r="K231" s="21">
        <f t="shared" si="42"/>
        <v>1</v>
      </c>
      <c r="L231" s="631"/>
      <c r="M231" s="21">
        <f t="shared" si="43"/>
        <v>1</v>
      </c>
      <c r="N231" s="631"/>
      <c r="O231" s="21">
        <f t="shared" si="44"/>
        <v>1</v>
      </c>
      <c r="P231" s="631"/>
      <c r="Q231" s="21">
        <f t="shared" si="45"/>
        <v>0</v>
      </c>
      <c r="R231" s="21">
        <f t="shared" si="46"/>
        <v>0</v>
      </c>
      <c r="S231" s="308">
        <f t="shared" si="37"/>
        <v>0</v>
      </c>
    </row>
    <row r="232" spans="1:19">
      <c r="A232" s="142"/>
      <c r="B232" s="52"/>
      <c r="C232" s="21">
        <f t="shared" si="38"/>
        <v>1</v>
      </c>
      <c r="D232" s="631"/>
      <c r="E232" s="21">
        <f t="shared" si="39"/>
        <v>0.02</v>
      </c>
      <c r="F232" s="631"/>
      <c r="G232" s="21">
        <f t="shared" si="40"/>
        <v>1</v>
      </c>
      <c r="H232" s="631"/>
      <c r="I232" s="21">
        <f t="shared" si="41"/>
        <v>1</v>
      </c>
      <c r="J232" s="631"/>
      <c r="K232" s="21">
        <f t="shared" si="42"/>
        <v>1</v>
      </c>
      <c r="L232" s="631"/>
      <c r="M232" s="21">
        <f t="shared" si="43"/>
        <v>1</v>
      </c>
      <c r="N232" s="631"/>
      <c r="O232" s="21">
        <f t="shared" si="44"/>
        <v>1</v>
      </c>
      <c r="P232" s="631"/>
      <c r="Q232" s="21">
        <f t="shared" si="45"/>
        <v>0</v>
      </c>
      <c r="R232" s="21">
        <f t="shared" si="46"/>
        <v>0</v>
      </c>
      <c r="S232" s="308">
        <f t="shared" si="37"/>
        <v>0</v>
      </c>
    </row>
    <row r="233" spans="1:19">
      <c r="A233" s="142"/>
      <c r="B233" s="52"/>
      <c r="C233" s="21">
        <f t="shared" si="38"/>
        <v>1</v>
      </c>
      <c r="D233" s="631"/>
      <c r="E233" s="21">
        <f t="shared" si="39"/>
        <v>0.02</v>
      </c>
      <c r="F233" s="631"/>
      <c r="G233" s="21">
        <f t="shared" si="40"/>
        <v>1</v>
      </c>
      <c r="H233" s="631"/>
      <c r="I233" s="21">
        <f t="shared" si="41"/>
        <v>1</v>
      </c>
      <c r="J233" s="631"/>
      <c r="K233" s="21">
        <f t="shared" si="42"/>
        <v>1</v>
      </c>
      <c r="L233" s="631"/>
      <c r="M233" s="21">
        <f t="shared" si="43"/>
        <v>1</v>
      </c>
      <c r="N233" s="631"/>
      <c r="O233" s="21">
        <f t="shared" si="44"/>
        <v>1</v>
      </c>
      <c r="P233" s="631"/>
      <c r="Q233" s="21">
        <f t="shared" si="45"/>
        <v>0</v>
      </c>
      <c r="R233" s="21">
        <f t="shared" si="46"/>
        <v>0</v>
      </c>
      <c r="S233" s="308">
        <f t="shared" si="37"/>
        <v>0</v>
      </c>
    </row>
    <row r="234" spans="1:19">
      <c r="A234" s="142"/>
      <c r="B234" s="52"/>
      <c r="C234" s="21">
        <f t="shared" si="38"/>
        <v>1</v>
      </c>
      <c r="D234" s="631"/>
      <c r="E234" s="21">
        <f t="shared" si="39"/>
        <v>0.02</v>
      </c>
      <c r="F234" s="631"/>
      <c r="G234" s="21">
        <f t="shared" si="40"/>
        <v>1</v>
      </c>
      <c r="H234" s="631"/>
      <c r="I234" s="21">
        <f t="shared" si="41"/>
        <v>1</v>
      </c>
      <c r="J234" s="631"/>
      <c r="K234" s="21">
        <f t="shared" si="42"/>
        <v>1</v>
      </c>
      <c r="L234" s="631"/>
      <c r="M234" s="21">
        <f t="shared" si="43"/>
        <v>1</v>
      </c>
      <c r="N234" s="631"/>
      <c r="O234" s="21">
        <f t="shared" si="44"/>
        <v>1</v>
      </c>
      <c r="P234" s="631"/>
      <c r="Q234" s="21">
        <f t="shared" si="45"/>
        <v>0</v>
      </c>
      <c r="R234" s="21">
        <f t="shared" si="46"/>
        <v>0</v>
      </c>
      <c r="S234" s="308">
        <f t="shared" si="37"/>
        <v>0</v>
      </c>
    </row>
    <row r="235" spans="1:19">
      <c r="A235" s="142"/>
      <c r="B235" s="52"/>
      <c r="C235" s="21">
        <f t="shared" si="38"/>
        <v>1</v>
      </c>
      <c r="D235" s="631"/>
      <c r="E235" s="21">
        <f t="shared" si="39"/>
        <v>0.02</v>
      </c>
      <c r="F235" s="631"/>
      <c r="G235" s="21">
        <f t="shared" si="40"/>
        <v>1</v>
      </c>
      <c r="H235" s="631"/>
      <c r="I235" s="21">
        <f t="shared" si="41"/>
        <v>1</v>
      </c>
      <c r="J235" s="631"/>
      <c r="K235" s="21">
        <f t="shared" si="42"/>
        <v>1</v>
      </c>
      <c r="L235" s="631"/>
      <c r="M235" s="21">
        <f t="shared" si="43"/>
        <v>1</v>
      </c>
      <c r="N235" s="631"/>
      <c r="O235" s="21">
        <f t="shared" si="44"/>
        <v>1</v>
      </c>
      <c r="P235" s="631"/>
      <c r="Q235" s="21">
        <f t="shared" si="45"/>
        <v>0</v>
      </c>
      <c r="R235" s="21">
        <f t="shared" si="46"/>
        <v>0</v>
      </c>
      <c r="S235" s="308">
        <f t="shared" si="37"/>
        <v>0</v>
      </c>
    </row>
    <row r="236" spans="1:19">
      <c r="A236" s="142"/>
      <c r="B236" s="52"/>
      <c r="C236" s="21">
        <f t="shared" si="38"/>
        <v>1</v>
      </c>
      <c r="D236" s="631"/>
      <c r="E236" s="21">
        <f t="shared" si="39"/>
        <v>0.02</v>
      </c>
      <c r="F236" s="631"/>
      <c r="G236" s="21">
        <f t="shared" si="40"/>
        <v>1</v>
      </c>
      <c r="H236" s="631"/>
      <c r="I236" s="21">
        <f t="shared" si="41"/>
        <v>1</v>
      </c>
      <c r="J236" s="631"/>
      <c r="K236" s="21">
        <f t="shared" si="42"/>
        <v>1</v>
      </c>
      <c r="L236" s="631"/>
      <c r="M236" s="21">
        <f t="shared" si="43"/>
        <v>1</v>
      </c>
      <c r="N236" s="631"/>
      <c r="O236" s="21">
        <f t="shared" si="44"/>
        <v>1</v>
      </c>
      <c r="P236" s="631"/>
      <c r="Q236" s="21">
        <f t="shared" si="45"/>
        <v>0</v>
      </c>
      <c r="R236" s="21">
        <f t="shared" si="46"/>
        <v>0</v>
      </c>
      <c r="S236" s="308">
        <f t="shared" si="37"/>
        <v>0</v>
      </c>
    </row>
    <row r="237" spans="1:19">
      <c r="A237" s="142"/>
      <c r="B237" s="52"/>
      <c r="C237" s="21">
        <f t="shared" si="38"/>
        <v>1</v>
      </c>
      <c r="D237" s="631"/>
      <c r="E237" s="21">
        <f t="shared" si="39"/>
        <v>0.02</v>
      </c>
      <c r="F237" s="631"/>
      <c r="G237" s="21">
        <f t="shared" si="40"/>
        <v>1</v>
      </c>
      <c r="H237" s="631"/>
      <c r="I237" s="21">
        <f t="shared" si="41"/>
        <v>1</v>
      </c>
      <c r="J237" s="631"/>
      <c r="K237" s="21">
        <f t="shared" si="42"/>
        <v>1</v>
      </c>
      <c r="L237" s="631"/>
      <c r="M237" s="21">
        <f t="shared" si="43"/>
        <v>1</v>
      </c>
      <c r="N237" s="631"/>
      <c r="O237" s="21">
        <f t="shared" si="44"/>
        <v>1</v>
      </c>
      <c r="P237" s="631"/>
      <c r="Q237" s="21">
        <f t="shared" si="45"/>
        <v>0</v>
      </c>
      <c r="R237" s="21">
        <f t="shared" si="46"/>
        <v>0</v>
      </c>
      <c r="S237" s="308">
        <f t="shared" si="37"/>
        <v>0</v>
      </c>
    </row>
    <row r="238" spans="1:19">
      <c r="A238" s="142"/>
      <c r="B238" s="52"/>
      <c r="C238" s="21">
        <f t="shared" si="38"/>
        <v>1</v>
      </c>
      <c r="D238" s="631"/>
      <c r="E238" s="21">
        <f t="shared" si="39"/>
        <v>0.02</v>
      </c>
      <c r="F238" s="631"/>
      <c r="G238" s="21">
        <f t="shared" si="40"/>
        <v>1</v>
      </c>
      <c r="H238" s="631"/>
      <c r="I238" s="21">
        <f t="shared" si="41"/>
        <v>1</v>
      </c>
      <c r="J238" s="631"/>
      <c r="K238" s="21">
        <f t="shared" si="42"/>
        <v>1</v>
      </c>
      <c r="L238" s="631"/>
      <c r="M238" s="21">
        <f t="shared" si="43"/>
        <v>1</v>
      </c>
      <c r="N238" s="631"/>
      <c r="O238" s="21">
        <f t="shared" si="44"/>
        <v>1</v>
      </c>
      <c r="P238" s="631"/>
      <c r="Q238" s="21">
        <f t="shared" si="45"/>
        <v>0</v>
      </c>
      <c r="R238" s="21">
        <f t="shared" si="46"/>
        <v>0</v>
      </c>
      <c r="S238" s="308">
        <f t="shared" si="37"/>
        <v>0</v>
      </c>
    </row>
    <row r="239" spans="1:19">
      <c r="A239" s="142"/>
      <c r="B239" s="52"/>
      <c r="C239" s="21">
        <f t="shared" si="38"/>
        <v>1</v>
      </c>
      <c r="D239" s="631"/>
      <c r="E239" s="21">
        <f t="shared" si="39"/>
        <v>0.02</v>
      </c>
      <c r="F239" s="631"/>
      <c r="G239" s="21">
        <f t="shared" si="40"/>
        <v>1</v>
      </c>
      <c r="H239" s="631"/>
      <c r="I239" s="21">
        <f t="shared" si="41"/>
        <v>1</v>
      </c>
      <c r="J239" s="631"/>
      <c r="K239" s="21">
        <f t="shared" si="42"/>
        <v>1</v>
      </c>
      <c r="L239" s="631"/>
      <c r="M239" s="21">
        <f t="shared" si="43"/>
        <v>1</v>
      </c>
      <c r="N239" s="631"/>
      <c r="O239" s="21">
        <f t="shared" si="44"/>
        <v>1</v>
      </c>
      <c r="P239" s="631"/>
      <c r="Q239" s="21">
        <f t="shared" si="45"/>
        <v>0</v>
      </c>
      <c r="R239" s="21">
        <f t="shared" si="46"/>
        <v>0</v>
      </c>
      <c r="S239" s="308">
        <f t="shared" si="37"/>
        <v>0</v>
      </c>
    </row>
    <row r="240" spans="1:19">
      <c r="A240" s="142"/>
      <c r="B240" s="52"/>
      <c r="C240" s="21">
        <f t="shared" si="38"/>
        <v>1</v>
      </c>
      <c r="D240" s="631"/>
      <c r="E240" s="21">
        <f t="shared" si="39"/>
        <v>0.02</v>
      </c>
      <c r="F240" s="631"/>
      <c r="G240" s="21">
        <f t="shared" si="40"/>
        <v>1</v>
      </c>
      <c r="H240" s="631"/>
      <c r="I240" s="21">
        <f t="shared" si="41"/>
        <v>1</v>
      </c>
      <c r="J240" s="631"/>
      <c r="K240" s="21">
        <f t="shared" si="42"/>
        <v>1</v>
      </c>
      <c r="L240" s="631"/>
      <c r="M240" s="21">
        <f t="shared" si="43"/>
        <v>1</v>
      </c>
      <c r="N240" s="631"/>
      <c r="O240" s="21">
        <f t="shared" si="44"/>
        <v>1</v>
      </c>
      <c r="P240" s="631"/>
      <c r="Q240" s="21">
        <f t="shared" si="45"/>
        <v>0</v>
      </c>
      <c r="R240" s="21">
        <f t="shared" si="46"/>
        <v>0</v>
      </c>
      <c r="S240" s="308">
        <f t="shared" si="37"/>
        <v>0</v>
      </c>
    </row>
    <row r="241" spans="1:19">
      <c r="A241" s="142"/>
      <c r="B241" s="52"/>
      <c r="C241" s="21">
        <f t="shared" si="38"/>
        <v>1</v>
      </c>
      <c r="D241" s="631"/>
      <c r="E241" s="21">
        <f t="shared" si="39"/>
        <v>0.02</v>
      </c>
      <c r="F241" s="631"/>
      <c r="G241" s="21">
        <f t="shared" si="40"/>
        <v>1</v>
      </c>
      <c r="H241" s="631"/>
      <c r="I241" s="21">
        <f t="shared" si="41"/>
        <v>1</v>
      </c>
      <c r="J241" s="631"/>
      <c r="K241" s="21">
        <f t="shared" si="42"/>
        <v>1</v>
      </c>
      <c r="L241" s="631"/>
      <c r="M241" s="21">
        <f t="shared" si="43"/>
        <v>1</v>
      </c>
      <c r="N241" s="631"/>
      <c r="O241" s="21">
        <f t="shared" si="44"/>
        <v>1</v>
      </c>
      <c r="P241" s="631"/>
      <c r="Q241" s="21">
        <f t="shared" si="45"/>
        <v>0</v>
      </c>
      <c r="R241" s="21">
        <f t="shared" si="46"/>
        <v>0</v>
      </c>
      <c r="S241" s="308">
        <f t="shared" si="37"/>
        <v>0</v>
      </c>
    </row>
    <row r="242" spans="1:19">
      <c r="A242" s="142"/>
      <c r="B242" s="52"/>
      <c r="C242" s="21">
        <f t="shared" si="38"/>
        <v>1</v>
      </c>
      <c r="D242" s="631"/>
      <c r="E242" s="21">
        <f t="shared" si="39"/>
        <v>0.02</v>
      </c>
      <c r="F242" s="631"/>
      <c r="G242" s="21">
        <f t="shared" si="40"/>
        <v>1</v>
      </c>
      <c r="H242" s="631"/>
      <c r="I242" s="21">
        <f t="shared" si="41"/>
        <v>1</v>
      </c>
      <c r="J242" s="631"/>
      <c r="K242" s="21">
        <f t="shared" si="42"/>
        <v>1</v>
      </c>
      <c r="L242" s="631"/>
      <c r="M242" s="21">
        <f t="shared" si="43"/>
        <v>1</v>
      </c>
      <c r="N242" s="631"/>
      <c r="O242" s="21">
        <f t="shared" si="44"/>
        <v>1</v>
      </c>
      <c r="P242" s="631"/>
      <c r="Q242" s="21">
        <f t="shared" si="45"/>
        <v>0</v>
      </c>
      <c r="R242" s="21">
        <f t="shared" si="46"/>
        <v>0</v>
      </c>
      <c r="S242" s="308">
        <f t="shared" si="37"/>
        <v>0</v>
      </c>
    </row>
    <row r="243" spans="1:19">
      <c r="A243" s="142"/>
      <c r="B243" s="52"/>
      <c r="C243" s="21">
        <f t="shared" si="38"/>
        <v>1</v>
      </c>
      <c r="D243" s="631"/>
      <c r="E243" s="21">
        <f t="shared" si="39"/>
        <v>0.02</v>
      </c>
      <c r="F243" s="631"/>
      <c r="G243" s="21">
        <f t="shared" si="40"/>
        <v>1</v>
      </c>
      <c r="H243" s="631"/>
      <c r="I243" s="21">
        <f t="shared" si="41"/>
        <v>1</v>
      </c>
      <c r="J243" s="631"/>
      <c r="K243" s="21">
        <f t="shared" si="42"/>
        <v>1</v>
      </c>
      <c r="L243" s="631"/>
      <c r="M243" s="21">
        <f t="shared" si="43"/>
        <v>1</v>
      </c>
      <c r="N243" s="631"/>
      <c r="O243" s="21">
        <f t="shared" si="44"/>
        <v>1</v>
      </c>
      <c r="P243" s="631"/>
      <c r="Q243" s="21">
        <f t="shared" si="45"/>
        <v>0</v>
      </c>
      <c r="R243" s="21">
        <f t="shared" si="46"/>
        <v>0</v>
      </c>
      <c r="S243" s="308">
        <f t="shared" si="37"/>
        <v>0</v>
      </c>
    </row>
    <row r="244" spans="1:19">
      <c r="A244" s="142"/>
      <c r="B244" s="52"/>
      <c r="C244" s="21">
        <f t="shared" si="38"/>
        <v>1</v>
      </c>
      <c r="D244" s="631"/>
      <c r="E244" s="21">
        <f t="shared" si="39"/>
        <v>0.02</v>
      </c>
      <c r="F244" s="631"/>
      <c r="G244" s="21">
        <f t="shared" si="40"/>
        <v>1</v>
      </c>
      <c r="H244" s="631"/>
      <c r="I244" s="21">
        <f t="shared" si="41"/>
        <v>1</v>
      </c>
      <c r="J244" s="631"/>
      <c r="K244" s="21">
        <f t="shared" si="42"/>
        <v>1</v>
      </c>
      <c r="L244" s="631"/>
      <c r="M244" s="21">
        <f t="shared" si="43"/>
        <v>1</v>
      </c>
      <c r="N244" s="631"/>
      <c r="O244" s="21">
        <f t="shared" si="44"/>
        <v>1</v>
      </c>
      <c r="P244" s="631"/>
      <c r="Q244" s="21">
        <f t="shared" si="45"/>
        <v>0</v>
      </c>
      <c r="R244" s="21">
        <f t="shared" si="46"/>
        <v>0</v>
      </c>
      <c r="S244" s="308">
        <f t="shared" si="37"/>
        <v>0</v>
      </c>
    </row>
    <row r="245" spans="1:19">
      <c r="A245" s="142"/>
      <c r="B245" s="52"/>
      <c r="C245" s="21">
        <f t="shared" si="38"/>
        <v>1</v>
      </c>
      <c r="D245" s="631"/>
      <c r="E245" s="21">
        <f t="shared" si="39"/>
        <v>0.02</v>
      </c>
      <c r="F245" s="631"/>
      <c r="G245" s="21">
        <f t="shared" si="40"/>
        <v>1</v>
      </c>
      <c r="H245" s="631"/>
      <c r="I245" s="21">
        <f t="shared" si="41"/>
        <v>1</v>
      </c>
      <c r="J245" s="631"/>
      <c r="K245" s="21">
        <f t="shared" si="42"/>
        <v>1</v>
      </c>
      <c r="L245" s="631"/>
      <c r="M245" s="21">
        <f t="shared" si="43"/>
        <v>1</v>
      </c>
      <c r="N245" s="631"/>
      <c r="O245" s="21">
        <f t="shared" si="44"/>
        <v>1</v>
      </c>
      <c r="P245" s="631"/>
      <c r="Q245" s="21">
        <f t="shared" si="45"/>
        <v>0</v>
      </c>
      <c r="R245" s="21">
        <f t="shared" si="46"/>
        <v>0</v>
      </c>
      <c r="S245" s="308">
        <f t="shared" si="37"/>
        <v>0</v>
      </c>
    </row>
    <row r="246" spans="1:19">
      <c r="A246" s="142"/>
      <c r="B246" s="52"/>
      <c r="C246" s="21">
        <f t="shared" si="38"/>
        <v>1</v>
      </c>
      <c r="D246" s="631"/>
      <c r="E246" s="21">
        <f t="shared" si="39"/>
        <v>0.02</v>
      </c>
      <c r="F246" s="631"/>
      <c r="G246" s="21">
        <f t="shared" si="40"/>
        <v>1</v>
      </c>
      <c r="H246" s="631"/>
      <c r="I246" s="21">
        <f t="shared" si="41"/>
        <v>1</v>
      </c>
      <c r="J246" s="631"/>
      <c r="K246" s="21">
        <f t="shared" si="42"/>
        <v>1</v>
      </c>
      <c r="L246" s="631"/>
      <c r="M246" s="21">
        <f t="shared" si="43"/>
        <v>1</v>
      </c>
      <c r="N246" s="631"/>
      <c r="O246" s="21">
        <f t="shared" si="44"/>
        <v>1</v>
      </c>
      <c r="P246" s="631"/>
      <c r="Q246" s="21">
        <f t="shared" si="45"/>
        <v>0</v>
      </c>
      <c r="R246" s="21">
        <f t="shared" si="46"/>
        <v>0</v>
      </c>
      <c r="S246" s="308">
        <f t="shared" si="37"/>
        <v>0</v>
      </c>
    </row>
    <row r="247" spans="1:19">
      <c r="A247" s="142"/>
      <c r="B247" s="52"/>
      <c r="C247" s="21">
        <f t="shared" si="38"/>
        <v>1</v>
      </c>
      <c r="D247" s="631"/>
      <c r="E247" s="21">
        <f t="shared" si="39"/>
        <v>0.02</v>
      </c>
      <c r="F247" s="631"/>
      <c r="G247" s="21">
        <f t="shared" si="40"/>
        <v>1</v>
      </c>
      <c r="H247" s="631"/>
      <c r="I247" s="21">
        <f t="shared" si="41"/>
        <v>1</v>
      </c>
      <c r="J247" s="631"/>
      <c r="K247" s="21">
        <f t="shared" si="42"/>
        <v>1</v>
      </c>
      <c r="L247" s="631"/>
      <c r="M247" s="21">
        <f t="shared" si="43"/>
        <v>1</v>
      </c>
      <c r="N247" s="631"/>
      <c r="O247" s="21">
        <f t="shared" si="44"/>
        <v>1</v>
      </c>
      <c r="P247" s="631"/>
      <c r="Q247" s="21">
        <f t="shared" si="45"/>
        <v>0</v>
      </c>
      <c r="R247" s="21">
        <f t="shared" si="46"/>
        <v>0</v>
      </c>
      <c r="S247" s="308">
        <f t="shared" si="37"/>
        <v>0</v>
      </c>
    </row>
    <row r="248" spans="1:19">
      <c r="A248" s="142"/>
      <c r="B248" s="52"/>
      <c r="C248" s="21">
        <f t="shared" si="38"/>
        <v>1</v>
      </c>
      <c r="D248" s="631"/>
      <c r="E248" s="21">
        <f t="shared" si="39"/>
        <v>0.02</v>
      </c>
      <c r="F248" s="631"/>
      <c r="G248" s="21">
        <f t="shared" si="40"/>
        <v>1</v>
      </c>
      <c r="H248" s="631"/>
      <c r="I248" s="21">
        <f t="shared" si="41"/>
        <v>1</v>
      </c>
      <c r="J248" s="631"/>
      <c r="K248" s="21">
        <f t="shared" si="42"/>
        <v>1</v>
      </c>
      <c r="L248" s="631"/>
      <c r="M248" s="21">
        <f t="shared" si="43"/>
        <v>1</v>
      </c>
      <c r="N248" s="631"/>
      <c r="O248" s="21">
        <f t="shared" si="44"/>
        <v>1</v>
      </c>
      <c r="P248" s="631"/>
      <c r="Q248" s="21">
        <f t="shared" si="45"/>
        <v>0</v>
      </c>
      <c r="R248" s="21">
        <f t="shared" si="46"/>
        <v>0</v>
      </c>
      <c r="S248" s="308">
        <f t="shared" si="37"/>
        <v>0</v>
      </c>
    </row>
    <row r="249" spans="1:19">
      <c r="A249" s="142"/>
      <c r="B249" s="52"/>
      <c r="C249" s="21">
        <f t="shared" si="38"/>
        <v>1</v>
      </c>
      <c r="D249" s="631"/>
      <c r="E249" s="21">
        <f t="shared" si="39"/>
        <v>0.02</v>
      </c>
      <c r="F249" s="631"/>
      <c r="G249" s="21">
        <f t="shared" si="40"/>
        <v>1</v>
      </c>
      <c r="H249" s="631"/>
      <c r="I249" s="21">
        <f t="shared" si="41"/>
        <v>1</v>
      </c>
      <c r="J249" s="631"/>
      <c r="K249" s="21">
        <f t="shared" si="42"/>
        <v>1</v>
      </c>
      <c r="L249" s="631"/>
      <c r="M249" s="21">
        <f t="shared" si="43"/>
        <v>1</v>
      </c>
      <c r="N249" s="631"/>
      <c r="O249" s="21">
        <f t="shared" si="44"/>
        <v>1</v>
      </c>
      <c r="P249" s="631"/>
      <c r="Q249" s="21">
        <f t="shared" si="45"/>
        <v>0</v>
      </c>
      <c r="R249" s="21">
        <f t="shared" si="46"/>
        <v>0</v>
      </c>
      <c r="S249" s="308">
        <f t="shared" si="37"/>
        <v>0</v>
      </c>
    </row>
    <row r="250" spans="1:19">
      <c r="A250" s="142"/>
      <c r="B250" s="52"/>
      <c r="C250" s="21">
        <f t="shared" si="38"/>
        <v>1</v>
      </c>
      <c r="D250" s="631"/>
      <c r="E250" s="21">
        <f t="shared" si="39"/>
        <v>0.02</v>
      </c>
      <c r="F250" s="631"/>
      <c r="G250" s="21">
        <f t="shared" si="40"/>
        <v>1</v>
      </c>
      <c r="H250" s="631"/>
      <c r="I250" s="21">
        <f t="shared" si="41"/>
        <v>1</v>
      </c>
      <c r="J250" s="631"/>
      <c r="K250" s="21">
        <f t="shared" si="42"/>
        <v>1</v>
      </c>
      <c r="L250" s="631"/>
      <c r="M250" s="21">
        <f t="shared" si="43"/>
        <v>1</v>
      </c>
      <c r="N250" s="631"/>
      <c r="O250" s="21">
        <f t="shared" si="44"/>
        <v>1</v>
      </c>
      <c r="P250" s="631"/>
      <c r="Q250" s="21">
        <f t="shared" si="45"/>
        <v>0</v>
      </c>
      <c r="R250" s="21">
        <f t="shared" si="46"/>
        <v>0</v>
      </c>
      <c r="S250" s="308">
        <f t="shared" si="37"/>
        <v>0</v>
      </c>
    </row>
    <row r="251" spans="1:19">
      <c r="A251" s="142"/>
      <c r="B251" s="52"/>
      <c r="C251" s="21">
        <f t="shared" si="38"/>
        <v>1</v>
      </c>
      <c r="D251" s="631"/>
      <c r="E251" s="21">
        <f t="shared" si="39"/>
        <v>0.02</v>
      </c>
      <c r="F251" s="631"/>
      <c r="G251" s="21">
        <f t="shared" si="40"/>
        <v>1</v>
      </c>
      <c r="H251" s="631"/>
      <c r="I251" s="21">
        <f t="shared" si="41"/>
        <v>1</v>
      </c>
      <c r="J251" s="631"/>
      <c r="K251" s="21">
        <f t="shared" si="42"/>
        <v>1</v>
      </c>
      <c r="L251" s="631"/>
      <c r="M251" s="21">
        <f t="shared" si="43"/>
        <v>1</v>
      </c>
      <c r="N251" s="631"/>
      <c r="O251" s="21">
        <f t="shared" si="44"/>
        <v>1</v>
      </c>
      <c r="P251" s="631"/>
      <c r="Q251" s="21">
        <f t="shared" si="45"/>
        <v>0</v>
      </c>
      <c r="R251" s="21">
        <f t="shared" si="46"/>
        <v>0</v>
      </c>
      <c r="S251" s="308">
        <f t="shared" si="37"/>
        <v>0</v>
      </c>
    </row>
    <row r="252" spans="1:19">
      <c r="A252" s="142"/>
      <c r="B252" s="52"/>
      <c r="C252" s="21">
        <f t="shared" si="38"/>
        <v>1</v>
      </c>
      <c r="D252" s="631"/>
      <c r="E252" s="21">
        <f t="shared" si="39"/>
        <v>0.02</v>
      </c>
      <c r="F252" s="631"/>
      <c r="G252" s="21">
        <f t="shared" si="40"/>
        <v>1</v>
      </c>
      <c r="H252" s="631"/>
      <c r="I252" s="21">
        <f t="shared" si="41"/>
        <v>1</v>
      </c>
      <c r="J252" s="631"/>
      <c r="K252" s="21">
        <f t="shared" si="42"/>
        <v>1</v>
      </c>
      <c r="L252" s="631"/>
      <c r="M252" s="21">
        <f t="shared" si="43"/>
        <v>1</v>
      </c>
      <c r="N252" s="631"/>
      <c r="O252" s="21">
        <f t="shared" si="44"/>
        <v>1</v>
      </c>
      <c r="P252" s="631"/>
      <c r="Q252" s="21">
        <f t="shared" si="45"/>
        <v>0</v>
      </c>
      <c r="R252" s="21">
        <f t="shared" si="46"/>
        <v>0</v>
      </c>
      <c r="S252" s="308">
        <f t="shared" si="37"/>
        <v>0</v>
      </c>
    </row>
    <row r="253" spans="1:19">
      <c r="A253" s="142"/>
      <c r="B253" s="52"/>
      <c r="C253" s="21">
        <f t="shared" si="38"/>
        <v>1</v>
      </c>
      <c r="D253" s="631"/>
      <c r="E253" s="21">
        <f t="shared" si="39"/>
        <v>0.02</v>
      </c>
      <c r="F253" s="631"/>
      <c r="G253" s="21">
        <f t="shared" si="40"/>
        <v>1</v>
      </c>
      <c r="H253" s="631"/>
      <c r="I253" s="21">
        <f t="shared" si="41"/>
        <v>1</v>
      </c>
      <c r="J253" s="631"/>
      <c r="K253" s="21">
        <f t="shared" si="42"/>
        <v>1</v>
      </c>
      <c r="L253" s="631"/>
      <c r="M253" s="21">
        <f t="shared" si="43"/>
        <v>1</v>
      </c>
      <c r="N253" s="631"/>
      <c r="O253" s="21">
        <f t="shared" si="44"/>
        <v>1</v>
      </c>
      <c r="P253" s="631"/>
      <c r="Q253" s="21">
        <f t="shared" si="45"/>
        <v>0</v>
      </c>
      <c r="R253" s="21">
        <f t="shared" si="46"/>
        <v>0</v>
      </c>
      <c r="S253" s="308">
        <f t="shared" si="37"/>
        <v>0</v>
      </c>
    </row>
    <row r="254" spans="1:19">
      <c r="A254" s="142"/>
      <c r="B254" s="52"/>
      <c r="C254" s="21">
        <f t="shared" si="38"/>
        <v>1</v>
      </c>
      <c r="D254" s="631"/>
      <c r="E254" s="21">
        <f t="shared" si="39"/>
        <v>0.02</v>
      </c>
      <c r="F254" s="631"/>
      <c r="G254" s="21">
        <f t="shared" si="40"/>
        <v>1</v>
      </c>
      <c r="H254" s="631"/>
      <c r="I254" s="21">
        <f t="shared" si="41"/>
        <v>1</v>
      </c>
      <c r="J254" s="631"/>
      <c r="K254" s="21">
        <f t="shared" si="42"/>
        <v>1</v>
      </c>
      <c r="L254" s="631"/>
      <c r="M254" s="21">
        <f t="shared" si="43"/>
        <v>1</v>
      </c>
      <c r="N254" s="631"/>
      <c r="O254" s="21">
        <f t="shared" si="44"/>
        <v>1</v>
      </c>
      <c r="P254" s="631"/>
      <c r="Q254" s="21">
        <f t="shared" si="45"/>
        <v>0</v>
      </c>
      <c r="R254" s="21">
        <f t="shared" si="46"/>
        <v>0</v>
      </c>
      <c r="S254" s="308">
        <f t="shared" si="37"/>
        <v>0</v>
      </c>
    </row>
    <row r="255" spans="1:19">
      <c r="A255" s="142"/>
      <c r="B255" s="52"/>
      <c r="C255" s="21">
        <f t="shared" si="38"/>
        <v>1</v>
      </c>
      <c r="D255" s="631"/>
      <c r="E255" s="21">
        <f t="shared" si="39"/>
        <v>0.02</v>
      </c>
      <c r="F255" s="631"/>
      <c r="G255" s="21">
        <f t="shared" si="40"/>
        <v>1</v>
      </c>
      <c r="H255" s="631"/>
      <c r="I255" s="21">
        <f t="shared" si="41"/>
        <v>1</v>
      </c>
      <c r="J255" s="631"/>
      <c r="K255" s="21">
        <f t="shared" si="42"/>
        <v>1</v>
      </c>
      <c r="L255" s="631"/>
      <c r="M255" s="21">
        <f t="shared" si="43"/>
        <v>1</v>
      </c>
      <c r="N255" s="631"/>
      <c r="O255" s="21">
        <f t="shared" si="44"/>
        <v>1</v>
      </c>
      <c r="P255" s="631"/>
      <c r="Q255" s="21">
        <f t="shared" si="45"/>
        <v>0</v>
      </c>
      <c r="R255" s="21">
        <f t="shared" si="46"/>
        <v>0</v>
      </c>
      <c r="S255" s="308">
        <f t="shared" si="37"/>
        <v>0</v>
      </c>
    </row>
    <row r="256" spans="1:19">
      <c r="A256" s="142"/>
      <c r="B256" s="52"/>
      <c r="C256" s="21">
        <f t="shared" si="38"/>
        <v>1</v>
      </c>
      <c r="D256" s="631"/>
      <c r="E256" s="21">
        <f t="shared" si="39"/>
        <v>0.02</v>
      </c>
      <c r="F256" s="631"/>
      <c r="G256" s="21">
        <f t="shared" si="40"/>
        <v>1</v>
      </c>
      <c r="H256" s="631"/>
      <c r="I256" s="21">
        <f t="shared" si="41"/>
        <v>1</v>
      </c>
      <c r="J256" s="631"/>
      <c r="K256" s="21">
        <f t="shared" si="42"/>
        <v>1</v>
      </c>
      <c r="L256" s="631"/>
      <c r="M256" s="21">
        <f t="shared" si="43"/>
        <v>1</v>
      </c>
      <c r="N256" s="631"/>
      <c r="O256" s="21">
        <f t="shared" si="44"/>
        <v>1</v>
      </c>
      <c r="P256" s="631"/>
      <c r="Q256" s="21">
        <f t="shared" si="45"/>
        <v>0</v>
      </c>
      <c r="R256" s="21">
        <f t="shared" si="46"/>
        <v>0</v>
      </c>
      <c r="S256" s="308">
        <f t="shared" si="37"/>
        <v>0</v>
      </c>
    </row>
    <row r="257" spans="1:19">
      <c r="A257" s="142"/>
      <c r="B257" s="52"/>
      <c r="C257" s="21">
        <f t="shared" si="38"/>
        <v>1</v>
      </c>
      <c r="D257" s="631"/>
      <c r="E257" s="21">
        <f t="shared" si="39"/>
        <v>0.02</v>
      </c>
      <c r="F257" s="631"/>
      <c r="G257" s="21">
        <f t="shared" si="40"/>
        <v>1</v>
      </c>
      <c r="H257" s="631"/>
      <c r="I257" s="21">
        <f t="shared" si="41"/>
        <v>1</v>
      </c>
      <c r="J257" s="631"/>
      <c r="K257" s="21">
        <f t="shared" si="42"/>
        <v>1</v>
      </c>
      <c r="L257" s="631"/>
      <c r="M257" s="21">
        <f t="shared" si="43"/>
        <v>1</v>
      </c>
      <c r="N257" s="631"/>
      <c r="O257" s="21">
        <f t="shared" si="44"/>
        <v>1</v>
      </c>
      <c r="P257" s="631"/>
      <c r="Q257" s="21">
        <f t="shared" si="45"/>
        <v>0</v>
      </c>
      <c r="R257" s="21">
        <f t="shared" si="46"/>
        <v>0</v>
      </c>
      <c r="S257" s="308">
        <f t="shared" si="37"/>
        <v>0</v>
      </c>
    </row>
    <row r="258" spans="1:19">
      <c r="A258" s="142"/>
      <c r="B258" s="52"/>
      <c r="C258" s="21">
        <f t="shared" si="38"/>
        <v>1</v>
      </c>
      <c r="D258" s="631"/>
      <c r="E258" s="21">
        <f t="shared" si="39"/>
        <v>0.02</v>
      </c>
      <c r="F258" s="631"/>
      <c r="G258" s="21">
        <f t="shared" si="40"/>
        <v>1</v>
      </c>
      <c r="H258" s="631"/>
      <c r="I258" s="21">
        <f t="shared" si="41"/>
        <v>1</v>
      </c>
      <c r="J258" s="631"/>
      <c r="K258" s="21">
        <f t="shared" si="42"/>
        <v>1</v>
      </c>
      <c r="L258" s="631"/>
      <c r="M258" s="21">
        <f t="shared" si="43"/>
        <v>1</v>
      </c>
      <c r="N258" s="631"/>
      <c r="O258" s="21">
        <f t="shared" si="44"/>
        <v>1</v>
      </c>
      <c r="P258" s="631"/>
      <c r="Q258" s="21">
        <f t="shared" si="45"/>
        <v>0</v>
      </c>
      <c r="R258" s="21">
        <f t="shared" si="46"/>
        <v>0</v>
      </c>
      <c r="S258" s="308">
        <f t="shared" si="37"/>
        <v>0</v>
      </c>
    </row>
    <row r="259" spans="1:19">
      <c r="A259" s="142"/>
      <c r="B259" s="52"/>
      <c r="C259" s="21">
        <f t="shared" si="38"/>
        <v>1</v>
      </c>
      <c r="D259" s="631"/>
      <c r="E259" s="21">
        <f t="shared" si="39"/>
        <v>0.02</v>
      </c>
      <c r="F259" s="631"/>
      <c r="G259" s="21">
        <f t="shared" si="40"/>
        <v>1</v>
      </c>
      <c r="H259" s="631"/>
      <c r="I259" s="21">
        <f t="shared" si="41"/>
        <v>1</v>
      </c>
      <c r="J259" s="631"/>
      <c r="K259" s="21">
        <f t="shared" si="42"/>
        <v>1</v>
      </c>
      <c r="L259" s="631"/>
      <c r="M259" s="21">
        <f t="shared" si="43"/>
        <v>1</v>
      </c>
      <c r="N259" s="631"/>
      <c r="O259" s="21">
        <f t="shared" si="44"/>
        <v>1</v>
      </c>
      <c r="P259" s="631"/>
      <c r="Q259" s="21">
        <f t="shared" si="45"/>
        <v>0</v>
      </c>
      <c r="R259" s="21">
        <f t="shared" si="46"/>
        <v>0</v>
      </c>
      <c r="S259" s="308">
        <f t="shared" si="37"/>
        <v>0</v>
      </c>
    </row>
    <row r="260" spans="1:19">
      <c r="A260" s="142"/>
      <c r="B260" s="52"/>
      <c r="C260" s="21">
        <f t="shared" si="38"/>
        <v>1</v>
      </c>
      <c r="D260" s="631"/>
      <c r="E260" s="21">
        <f t="shared" si="39"/>
        <v>0.02</v>
      </c>
      <c r="F260" s="631"/>
      <c r="G260" s="21">
        <f t="shared" si="40"/>
        <v>1</v>
      </c>
      <c r="H260" s="631"/>
      <c r="I260" s="21">
        <f t="shared" si="41"/>
        <v>1</v>
      </c>
      <c r="J260" s="631"/>
      <c r="K260" s="21">
        <f t="shared" si="42"/>
        <v>1</v>
      </c>
      <c r="L260" s="631"/>
      <c r="M260" s="21">
        <f t="shared" si="43"/>
        <v>1</v>
      </c>
      <c r="N260" s="631"/>
      <c r="O260" s="21">
        <f t="shared" si="44"/>
        <v>1</v>
      </c>
      <c r="P260" s="631"/>
      <c r="Q260" s="21">
        <f t="shared" si="45"/>
        <v>0</v>
      </c>
      <c r="R260" s="21">
        <f t="shared" si="46"/>
        <v>0</v>
      </c>
      <c r="S260" s="308">
        <f t="shared" si="37"/>
        <v>0</v>
      </c>
    </row>
    <row r="261" spans="1:19">
      <c r="A261" s="142"/>
      <c r="B261" s="52"/>
      <c r="C261" s="21">
        <f t="shared" si="38"/>
        <v>1</v>
      </c>
      <c r="D261" s="631"/>
      <c r="E261" s="21">
        <f t="shared" si="39"/>
        <v>0.02</v>
      </c>
      <c r="F261" s="631"/>
      <c r="G261" s="21">
        <f t="shared" si="40"/>
        <v>1</v>
      </c>
      <c r="H261" s="631"/>
      <c r="I261" s="21">
        <f t="shared" si="41"/>
        <v>1</v>
      </c>
      <c r="J261" s="631"/>
      <c r="K261" s="21">
        <f t="shared" si="42"/>
        <v>1</v>
      </c>
      <c r="L261" s="631"/>
      <c r="M261" s="21">
        <f t="shared" si="43"/>
        <v>1</v>
      </c>
      <c r="N261" s="631"/>
      <c r="O261" s="21">
        <f t="shared" si="44"/>
        <v>1</v>
      </c>
      <c r="P261" s="631"/>
      <c r="Q261" s="21">
        <f t="shared" si="45"/>
        <v>0</v>
      </c>
      <c r="R261" s="21">
        <f t="shared" si="46"/>
        <v>0</v>
      </c>
      <c r="S261" s="308">
        <f t="shared" si="37"/>
        <v>0</v>
      </c>
    </row>
    <row r="262" spans="1:19">
      <c r="A262" s="142"/>
      <c r="B262" s="52"/>
      <c r="C262" s="21">
        <f t="shared" si="38"/>
        <v>1</v>
      </c>
      <c r="D262" s="631"/>
      <c r="E262" s="21">
        <f t="shared" si="39"/>
        <v>0.02</v>
      </c>
      <c r="F262" s="631"/>
      <c r="G262" s="21">
        <f t="shared" si="40"/>
        <v>1</v>
      </c>
      <c r="H262" s="631"/>
      <c r="I262" s="21">
        <f t="shared" si="41"/>
        <v>1</v>
      </c>
      <c r="J262" s="631"/>
      <c r="K262" s="21">
        <f t="shared" si="42"/>
        <v>1</v>
      </c>
      <c r="L262" s="631"/>
      <c r="M262" s="21">
        <f t="shared" si="43"/>
        <v>1</v>
      </c>
      <c r="N262" s="631"/>
      <c r="O262" s="21">
        <f t="shared" si="44"/>
        <v>1</v>
      </c>
      <c r="P262" s="631"/>
      <c r="Q262" s="21">
        <f t="shared" si="45"/>
        <v>0</v>
      </c>
      <c r="R262" s="21">
        <f t="shared" si="46"/>
        <v>0</v>
      </c>
      <c r="S262" s="308">
        <f t="shared" si="37"/>
        <v>0</v>
      </c>
    </row>
    <row r="263" spans="1:19">
      <c r="A263" s="142"/>
      <c r="B263" s="52"/>
      <c r="C263" s="21">
        <f t="shared" si="38"/>
        <v>1</v>
      </c>
      <c r="D263" s="631"/>
      <c r="E263" s="21">
        <f t="shared" si="39"/>
        <v>0.02</v>
      </c>
      <c r="F263" s="631"/>
      <c r="G263" s="21">
        <f t="shared" si="40"/>
        <v>1</v>
      </c>
      <c r="H263" s="631"/>
      <c r="I263" s="21">
        <f t="shared" si="41"/>
        <v>1</v>
      </c>
      <c r="J263" s="631"/>
      <c r="K263" s="21">
        <f t="shared" si="42"/>
        <v>1</v>
      </c>
      <c r="L263" s="631"/>
      <c r="M263" s="21">
        <f t="shared" si="43"/>
        <v>1</v>
      </c>
      <c r="N263" s="631"/>
      <c r="O263" s="21">
        <f t="shared" si="44"/>
        <v>1</v>
      </c>
      <c r="P263" s="631"/>
      <c r="Q263" s="21">
        <f t="shared" si="45"/>
        <v>0</v>
      </c>
      <c r="R263" s="21">
        <f t="shared" si="46"/>
        <v>0</v>
      </c>
      <c r="S263" s="308">
        <f t="shared" si="37"/>
        <v>0</v>
      </c>
    </row>
    <row r="264" spans="1:19">
      <c r="A264" s="142"/>
      <c r="B264" s="52"/>
      <c r="C264" s="21">
        <f t="shared" si="38"/>
        <v>1</v>
      </c>
      <c r="D264" s="631"/>
      <c r="E264" s="21">
        <f t="shared" si="39"/>
        <v>0.02</v>
      </c>
      <c r="F264" s="631"/>
      <c r="G264" s="21">
        <f t="shared" si="40"/>
        <v>1</v>
      </c>
      <c r="H264" s="631"/>
      <c r="I264" s="21">
        <f t="shared" si="41"/>
        <v>1</v>
      </c>
      <c r="J264" s="631"/>
      <c r="K264" s="21">
        <f t="shared" si="42"/>
        <v>1</v>
      </c>
      <c r="L264" s="631"/>
      <c r="M264" s="21">
        <f t="shared" si="43"/>
        <v>1</v>
      </c>
      <c r="N264" s="631"/>
      <c r="O264" s="21">
        <f t="shared" si="44"/>
        <v>1</v>
      </c>
      <c r="P264" s="631"/>
      <c r="Q264" s="21">
        <f t="shared" si="45"/>
        <v>0</v>
      </c>
      <c r="R264" s="21">
        <f t="shared" si="46"/>
        <v>0</v>
      </c>
      <c r="S264" s="308">
        <f t="shared" si="37"/>
        <v>0</v>
      </c>
    </row>
    <row r="265" spans="1:19">
      <c r="A265" s="142"/>
      <c r="B265" s="52"/>
      <c r="C265" s="21">
        <f t="shared" si="38"/>
        <v>1</v>
      </c>
      <c r="D265" s="631"/>
      <c r="E265" s="21">
        <f t="shared" si="39"/>
        <v>0.02</v>
      </c>
      <c r="F265" s="631"/>
      <c r="G265" s="21">
        <f t="shared" si="40"/>
        <v>1</v>
      </c>
      <c r="H265" s="631"/>
      <c r="I265" s="21">
        <f t="shared" si="41"/>
        <v>1</v>
      </c>
      <c r="J265" s="631"/>
      <c r="K265" s="21">
        <f t="shared" si="42"/>
        <v>1</v>
      </c>
      <c r="L265" s="631"/>
      <c r="M265" s="21">
        <f t="shared" si="43"/>
        <v>1</v>
      </c>
      <c r="N265" s="631"/>
      <c r="O265" s="21">
        <f t="shared" si="44"/>
        <v>1</v>
      </c>
      <c r="P265" s="631"/>
      <c r="Q265" s="21">
        <f t="shared" si="45"/>
        <v>0</v>
      </c>
      <c r="R265" s="21">
        <f t="shared" si="46"/>
        <v>0</v>
      </c>
      <c r="S265" s="308">
        <f t="shared" si="37"/>
        <v>0</v>
      </c>
    </row>
    <row r="266" spans="1:19">
      <c r="A266" s="142"/>
      <c r="B266" s="52"/>
      <c r="C266" s="21">
        <f t="shared" si="38"/>
        <v>1</v>
      </c>
      <c r="D266" s="631"/>
      <c r="E266" s="21">
        <f t="shared" si="39"/>
        <v>0.02</v>
      </c>
      <c r="F266" s="631"/>
      <c r="G266" s="21">
        <f t="shared" si="40"/>
        <v>1</v>
      </c>
      <c r="H266" s="631"/>
      <c r="I266" s="21">
        <f t="shared" si="41"/>
        <v>1</v>
      </c>
      <c r="J266" s="631"/>
      <c r="K266" s="21">
        <f t="shared" si="42"/>
        <v>1</v>
      </c>
      <c r="L266" s="631"/>
      <c r="M266" s="21">
        <f t="shared" si="43"/>
        <v>1</v>
      </c>
      <c r="N266" s="631"/>
      <c r="O266" s="21">
        <f t="shared" si="44"/>
        <v>1</v>
      </c>
      <c r="P266" s="631"/>
      <c r="Q266" s="21">
        <f t="shared" si="45"/>
        <v>0</v>
      </c>
      <c r="R266" s="21">
        <f t="shared" si="46"/>
        <v>0</v>
      </c>
      <c r="S266" s="308">
        <f t="shared" si="37"/>
        <v>0</v>
      </c>
    </row>
    <row r="267" spans="1:19">
      <c r="A267" s="142"/>
      <c r="B267" s="52"/>
      <c r="C267" s="21">
        <f t="shared" si="38"/>
        <v>1</v>
      </c>
      <c r="D267" s="631"/>
      <c r="E267" s="21">
        <f t="shared" si="39"/>
        <v>0.02</v>
      </c>
      <c r="F267" s="631"/>
      <c r="G267" s="21">
        <f t="shared" si="40"/>
        <v>1</v>
      </c>
      <c r="H267" s="631"/>
      <c r="I267" s="21">
        <f t="shared" si="41"/>
        <v>1</v>
      </c>
      <c r="J267" s="631"/>
      <c r="K267" s="21">
        <f t="shared" si="42"/>
        <v>1</v>
      </c>
      <c r="L267" s="631"/>
      <c r="M267" s="21">
        <f t="shared" si="43"/>
        <v>1</v>
      </c>
      <c r="N267" s="631"/>
      <c r="O267" s="21">
        <f t="shared" si="44"/>
        <v>1</v>
      </c>
      <c r="P267" s="631"/>
      <c r="Q267" s="21">
        <f t="shared" si="45"/>
        <v>0</v>
      </c>
      <c r="R267" s="21">
        <f t="shared" si="46"/>
        <v>0</v>
      </c>
      <c r="S267" s="308">
        <f t="shared" si="37"/>
        <v>0</v>
      </c>
    </row>
    <row r="268" spans="1:19">
      <c r="A268" s="142"/>
      <c r="B268" s="52"/>
      <c r="C268" s="21">
        <f t="shared" si="38"/>
        <v>1</v>
      </c>
      <c r="D268" s="631"/>
      <c r="E268" s="21">
        <f t="shared" si="39"/>
        <v>0.02</v>
      </c>
      <c r="F268" s="631"/>
      <c r="G268" s="21">
        <f t="shared" si="40"/>
        <v>1</v>
      </c>
      <c r="H268" s="631"/>
      <c r="I268" s="21">
        <f t="shared" si="41"/>
        <v>1</v>
      </c>
      <c r="J268" s="631"/>
      <c r="K268" s="21">
        <f t="shared" si="42"/>
        <v>1</v>
      </c>
      <c r="L268" s="631"/>
      <c r="M268" s="21">
        <f t="shared" si="43"/>
        <v>1</v>
      </c>
      <c r="N268" s="631"/>
      <c r="O268" s="21">
        <f t="shared" si="44"/>
        <v>1</v>
      </c>
      <c r="P268" s="631"/>
      <c r="Q268" s="21">
        <f t="shared" si="45"/>
        <v>0</v>
      </c>
      <c r="R268" s="21">
        <f t="shared" si="46"/>
        <v>0</v>
      </c>
      <c r="S268" s="308">
        <f t="shared" si="37"/>
        <v>0</v>
      </c>
    </row>
    <row r="269" spans="1:19">
      <c r="A269" s="142"/>
      <c r="B269" s="52"/>
      <c r="C269" s="21">
        <f t="shared" si="38"/>
        <v>1</v>
      </c>
      <c r="D269" s="631"/>
      <c r="E269" s="21">
        <f t="shared" si="39"/>
        <v>0.02</v>
      </c>
      <c r="F269" s="631"/>
      <c r="G269" s="21">
        <f t="shared" si="40"/>
        <v>1</v>
      </c>
      <c r="H269" s="631"/>
      <c r="I269" s="21">
        <f t="shared" si="41"/>
        <v>1</v>
      </c>
      <c r="J269" s="631"/>
      <c r="K269" s="21">
        <f t="shared" si="42"/>
        <v>1</v>
      </c>
      <c r="L269" s="631"/>
      <c r="M269" s="21">
        <f t="shared" si="43"/>
        <v>1</v>
      </c>
      <c r="N269" s="631"/>
      <c r="O269" s="21">
        <f t="shared" si="44"/>
        <v>1</v>
      </c>
      <c r="P269" s="631"/>
      <c r="Q269" s="21">
        <f t="shared" si="45"/>
        <v>0</v>
      </c>
      <c r="R269" s="21">
        <f t="shared" si="46"/>
        <v>0</v>
      </c>
      <c r="S269" s="308">
        <f t="shared" si="37"/>
        <v>0</v>
      </c>
    </row>
    <row r="270" spans="1:19">
      <c r="A270" s="142"/>
      <c r="B270" s="52"/>
      <c r="C270" s="21">
        <f t="shared" si="38"/>
        <v>1</v>
      </c>
      <c r="D270" s="631"/>
      <c r="E270" s="21">
        <f t="shared" si="39"/>
        <v>0.02</v>
      </c>
      <c r="F270" s="631"/>
      <c r="G270" s="21">
        <f t="shared" si="40"/>
        <v>1</v>
      </c>
      <c r="H270" s="631"/>
      <c r="I270" s="21">
        <f t="shared" si="41"/>
        <v>1</v>
      </c>
      <c r="J270" s="631"/>
      <c r="K270" s="21">
        <f t="shared" si="42"/>
        <v>1</v>
      </c>
      <c r="L270" s="631"/>
      <c r="M270" s="21">
        <f t="shared" si="43"/>
        <v>1</v>
      </c>
      <c r="N270" s="631"/>
      <c r="O270" s="21">
        <f t="shared" si="44"/>
        <v>1</v>
      </c>
      <c r="P270" s="631"/>
      <c r="Q270" s="21">
        <f t="shared" si="45"/>
        <v>0</v>
      </c>
      <c r="R270" s="21">
        <f t="shared" si="46"/>
        <v>0</v>
      </c>
      <c r="S270" s="308">
        <f t="shared" si="37"/>
        <v>0</v>
      </c>
    </row>
    <row r="271" spans="1:19">
      <c r="A271" s="142"/>
      <c r="B271" s="52"/>
      <c r="C271" s="21">
        <f t="shared" si="38"/>
        <v>1</v>
      </c>
      <c r="D271" s="631"/>
      <c r="E271" s="21">
        <f t="shared" si="39"/>
        <v>0.02</v>
      </c>
      <c r="F271" s="631"/>
      <c r="G271" s="21">
        <f t="shared" si="40"/>
        <v>1</v>
      </c>
      <c r="H271" s="631"/>
      <c r="I271" s="21">
        <f t="shared" si="41"/>
        <v>1</v>
      </c>
      <c r="J271" s="631"/>
      <c r="K271" s="21">
        <f t="shared" si="42"/>
        <v>1</v>
      </c>
      <c r="L271" s="631"/>
      <c r="M271" s="21">
        <f t="shared" si="43"/>
        <v>1</v>
      </c>
      <c r="N271" s="631"/>
      <c r="O271" s="21">
        <f t="shared" si="44"/>
        <v>1</v>
      </c>
      <c r="P271" s="631"/>
      <c r="Q271" s="21">
        <f t="shared" si="45"/>
        <v>0</v>
      </c>
      <c r="R271" s="21">
        <f t="shared" si="46"/>
        <v>0</v>
      </c>
      <c r="S271" s="308">
        <f t="shared" si="37"/>
        <v>0</v>
      </c>
    </row>
    <row r="272" spans="1:19">
      <c r="A272" s="142"/>
      <c r="B272" s="52"/>
      <c r="C272" s="21">
        <f t="shared" si="38"/>
        <v>1</v>
      </c>
      <c r="D272" s="631"/>
      <c r="E272" s="21">
        <f t="shared" si="39"/>
        <v>0.02</v>
      </c>
      <c r="F272" s="631"/>
      <c r="G272" s="21">
        <f t="shared" si="40"/>
        <v>1</v>
      </c>
      <c r="H272" s="631"/>
      <c r="I272" s="21">
        <f t="shared" si="41"/>
        <v>1</v>
      </c>
      <c r="J272" s="631"/>
      <c r="K272" s="21">
        <f t="shared" si="42"/>
        <v>1</v>
      </c>
      <c r="L272" s="631"/>
      <c r="M272" s="21">
        <f t="shared" si="43"/>
        <v>1</v>
      </c>
      <c r="N272" s="631"/>
      <c r="O272" s="21">
        <f t="shared" si="44"/>
        <v>1</v>
      </c>
      <c r="P272" s="631"/>
      <c r="Q272" s="21">
        <f t="shared" si="45"/>
        <v>0</v>
      </c>
      <c r="R272" s="21">
        <f t="shared" si="46"/>
        <v>0</v>
      </c>
      <c r="S272" s="308">
        <f t="shared" si="37"/>
        <v>0</v>
      </c>
    </row>
    <row r="273" spans="1:19">
      <c r="A273" s="142"/>
      <c r="B273" s="52"/>
      <c r="C273" s="21">
        <f t="shared" si="38"/>
        <v>1</v>
      </c>
      <c r="D273" s="631"/>
      <c r="E273" s="21">
        <f t="shared" si="39"/>
        <v>0.02</v>
      </c>
      <c r="F273" s="631"/>
      <c r="G273" s="21">
        <f t="shared" si="40"/>
        <v>1</v>
      </c>
      <c r="H273" s="631"/>
      <c r="I273" s="21">
        <f t="shared" si="41"/>
        <v>1</v>
      </c>
      <c r="J273" s="631"/>
      <c r="K273" s="21">
        <f t="shared" si="42"/>
        <v>1</v>
      </c>
      <c r="L273" s="631"/>
      <c r="M273" s="21">
        <f t="shared" si="43"/>
        <v>1</v>
      </c>
      <c r="N273" s="631"/>
      <c r="O273" s="21">
        <f t="shared" si="44"/>
        <v>1</v>
      </c>
      <c r="P273" s="631"/>
      <c r="Q273" s="21">
        <f t="shared" si="45"/>
        <v>0</v>
      </c>
      <c r="R273" s="21">
        <f t="shared" si="46"/>
        <v>0</v>
      </c>
      <c r="S273" s="308">
        <f t="shared" si="37"/>
        <v>0</v>
      </c>
    </row>
    <row r="274" spans="1:19">
      <c r="A274" s="142"/>
      <c r="B274" s="52"/>
      <c r="C274" s="21">
        <f t="shared" si="38"/>
        <v>1</v>
      </c>
      <c r="D274" s="631"/>
      <c r="E274" s="21">
        <f t="shared" si="39"/>
        <v>0.02</v>
      </c>
      <c r="F274" s="631"/>
      <c r="G274" s="21">
        <f t="shared" si="40"/>
        <v>1</v>
      </c>
      <c r="H274" s="631"/>
      <c r="I274" s="21">
        <f t="shared" si="41"/>
        <v>1</v>
      </c>
      <c r="J274" s="631"/>
      <c r="K274" s="21">
        <f t="shared" si="42"/>
        <v>1</v>
      </c>
      <c r="L274" s="631"/>
      <c r="M274" s="21">
        <f t="shared" si="43"/>
        <v>1</v>
      </c>
      <c r="N274" s="631"/>
      <c r="O274" s="21">
        <f t="shared" si="44"/>
        <v>1</v>
      </c>
      <c r="P274" s="631"/>
      <c r="Q274" s="21">
        <f t="shared" si="45"/>
        <v>0</v>
      </c>
      <c r="R274" s="21">
        <f t="shared" si="46"/>
        <v>0</v>
      </c>
      <c r="S274" s="308">
        <f t="shared" si="37"/>
        <v>0</v>
      </c>
    </row>
    <row r="275" spans="1:19">
      <c r="A275" s="142"/>
      <c r="B275" s="52"/>
      <c r="C275" s="21">
        <f t="shared" si="38"/>
        <v>1</v>
      </c>
      <c r="D275" s="631"/>
      <c r="E275" s="21">
        <f t="shared" si="39"/>
        <v>0.02</v>
      </c>
      <c r="F275" s="631"/>
      <c r="G275" s="21">
        <f t="shared" si="40"/>
        <v>1</v>
      </c>
      <c r="H275" s="631"/>
      <c r="I275" s="21">
        <f t="shared" si="41"/>
        <v>1</v>
      </c>
      <c r="J275" s="631"/>
      <c r="K275" s="21">
        <f t="shared" si="42"/>
        <v>1</v>
      </c>
      <c r="L275" s="631"/>
      <c r="M275" s="21">
        <f t="shared" si="43"/>
        <v>1</v>
      </c>
      <c r="N275" s="631"/>
      <c r="O275" s="21">
        <f t="shared" si="44"/>
        <v>1</v>
      </c>
      <c r="P275" s="631"/>
      <c r="Q275" s="21">
        <f t="shared" si="45"/>
        <v>0</v>
      </c>
      <c r="R275" s="21">
        <f t="shared" si="46"/>
        <v>0</v>
      </c>
      <c r="S275" s="308">
        <f t="shared" si="37"/>
        <v>0</v>
      </c>
    </row>
    <row r="276" spans="1:19">
      <c r="A276" s="142"/>
      <c r="B276" s="52"/>
      <c r="C276" s="21">
        <f t="shared" si="38"/>
        <v>1</v>
      </c>
      <c r="D276" s="631"/>
      <c r="E276" s="21">
        <f t="shared" si="39"/>
        <v>0.02</v>
      </c>
      <c r="F276" s="631"/>
      <c r="G276" s="21">
        <f t="shared" si="40"/>
        <v>1</v>
      </c>
      <c r="H276" s="631"/>
      <c r="I276" s="21">
        <f t="shared" si="41"/>
        <v>1</v>
      </c>
      <c r="J276" s="631"/>
      <c r="K276" s="21">
        <f t="shared" si="42"/>
        <v>1</v>
      </c>
      <c r="L276" s="631"/>
      <c r="M276" s="21">
        <f t="shared" si="43"/>
        <v>1</v>
      </c>
      <c r="N276" s="631"/>
      <c r="O276" s="21">
        <f t="shared" si="44"/>
        <v>1</v>
      </c>
      <c r="P276" s="631"/>
      <c r="Q276" s="21">
        <f t="shared" si="45"/>
        <v>0</v>
      </c>
      <c r="R276" s="21">
        <f t="shared" si="46"/>
        <v>0</v>
      </c>
      <c r="S276" s="308">
        <f t="shared" si="37"/>
        <v>0</v>
      </c>
    </row>
    <row r="277" spans="1:19">
      <c r="A277" s="142"/>
      <c r="B277" s="52"/>
      <c r="C277" s="21">
        <f t="shared" si="38"/>
        <v>1</v>
      </c>
      <c r="D277" s="631"/>
      <c r="E277" s="21">
        <f t="shared" si="39"/>
        <v>0.02</v>
      </c>
      <c r="F277" s="631"/>
      <c r="G277" s="21">
        <f t="shared" si="40"/>
        <v>1</v>
      </c>
      <c r="H277" s="631"/>
      <c r="I277" s="21">
        <f t="shared" si="41"/>
        <v>1</v>
      </c>
      <c r="J277" s="631"/>
      <c r="K277" s="21">
        <f t="shared" si="42"/>
        <v>1</v>
      </c>
      <c r="L277" s="631"/>
      <c r="M277" s="21">
        <f t="shared" si="43"/>
        <v>1</v>
      </c>
      <c r="N277" s="631"/>
      <c r="O277" s="21">
        <f t="shared" si="44"/>
        <v>1</v>
      </c>
      <c r="P277" s="631"/>
      <c r="Q277" s="21">
        <f t="shared" si="45"/>
        <v>0</v>
      </c>
      <c r="R277" s="21">
        <f t="shared" si="46"/>
        <v>0</v>
      </c>
      <c r="S277" s="308">
        <f t="shared" si="37"/>
        <v>0</v>
      </c>
    </row>
    <row r="278" spans="1:19">
      <c r="A278" s="142"/>
      <c r="B278" s="52"/>
      <c r="C278" s="21">
        <f t="shared" si="38"/>
        <v>1</v>
      </c>
      <c r="D278" s="631"/>
      <c r="E278" s="21">
        <f t="shared" si="39"/>
        <v>0.02</v>
      </c>
      <c r="F278" s="631"/>
      <c r="G278" s="21">
        <f t="shared" si="40"/>
        <v>1</v>
      </c>
      <c r="H278" s="631"/>
      <c r="I278" s="21">
        <f t="shared" si="41"/>
        <v>1</v>
      </c>
      <c r="J278" s="631"/>
      <c r="K278" s="21">
        <f t="shared" si="42"/>
        <v>1</v>
      </c>
      <c r="L278" s="631"/>
      <c r="M278" s="21">
        <f t="shared" si="43"/>
        <v>1</v>
      </c>
      <c r="N278" s="631"/>
      <c r="O278" s="21">
        <f t="shared" si="44"/>
        <v>1</v>
      </c>
      <c r="P278" s="631"/>
      <c r="Q278" s="21">
        <f t="shared" si="45"/>
        <v>0</v>
      </c>
      <c r="R278" s="21">
        <f t="shared" si="46"/>
        <v>0</v>
      </c>
      <c r="S278" s="308">
        <f t="shared" si="37"/>
        <v>0</v>
      </c>
    </row>
    <row r="279" spans="1:19">
      <c r="A279" s="142"/>
      <c r="B279" s="52"/>
      <c r="C279" s="21">
        <f t="shared" si="38"/>
        <v>1</v>
      </c>
      <c r="D279" s="631"/>
      <c r="E279" s="21">
        <f t="shared" si="39"/>
        <v>0.02</v>
      </c>
      <c r="F279" s="631"/>
      <c r="G279" s="21">
        <f t="shared" si="40"/>
        <v>1</v>
      </c>
      <c r="H279" s="631"/>
      <c r="I279" s="21">
        <f t="shared" si="41"/>
        <v>1</v>
      </c>
      <c r="J279" s="631"/>
      <c r="K279" s="21">
        <f t="shared" si="42"/>
        <v>1</v>
      </c>
      <c r="L279" s="631"/>
      <c r="M279" s="21">
        <f t="shared" si="43"/>
        <v>1</v>
      </c>
      <c r="N279" s="631"/>
      <c r="O279" s="21">
        <f t="shared" si="44"/>
        <v>1</v>
      </c>
      <c r="P279" s="631"/>
      <c r="Q279" s="21">
        <f t="shared" si="45"/>
        <v>0</v>
      </c>
      <c r="R279" s="21">
        <f t="shared" si="46"/>
        <v>0</v>
      </c>
      <c r="S279" s="308">
        <f t="shared" si="37"/>
        <v>0</v>
      </c>
    </row>
    <row r="280" spans="1:19">
      <c r="A280" s="142"/>
      <c r="B280" s="52"/>
      <c r="C280" s="21">
        <f t="shared" si="38"/>
        <v>1</v>
      </c>
      <c r="D280" s="631"/>
      <c r="E280" s="21">
        <f t="shared" si="39"/>
        <v>0.02</v>
      </c>
      <c r="F280" s="631"/>
      <c r="G280" s="21">
        <f t="shared" si="40"/>
        <v>1</v>
      </c>
      <c r="H280" s="631"/>
      <c r="I280" s="21">
        <f t="shared" si="41"/>
        <v>1</v>
      </c>
      <c r="J280" s="631"/>
      <c r="K280" s="21">
        <f t="shared" si="42"/>
        <v>1</v>
      </c>
      <c r="L280" s="631"/>
      <c r="M280" s="21">
        <f t="shared" si="43"/>
        <v>1</v>
      </c>
      <c r="N280" s="631"/>
      <c r="O280" s="21">
        <f t="shared" si="44"/>
        <v>1</v>
      </c>
      <c r="P280" s="631"/>
      <c r="Q280" s="21">
        <f t="shared" si="45"/>
        <v>0</v>
      </c>
      <c r="R280" s="21">
        <f t="shared" si="46"/>
        <v>0</v>
      </c>
      <c r="S280" s="308">
        <f t="shared" ref="S280:S343" si="47">ROUND(R280*B280/10000,0)</f>
        <v>0</v>
      </c>
    </row>
    <row r="281" spans="1:19">
      <c r="A281" s="142"/>
      <c r="B281" s="52"/>
      <c r="C281" s="21">
        <f t="shared" si="38"/>
        <v>1</v>
      </c>
      <c r="D281" s="631"/>
      <c r="E281" s="21">
        <f t="shared" si="39"/>
        <v>0.02</v>
      </c>
      <c r="F281" s="631"/>
      <c r="G281" s="21">
        <f t="shared" si="40"/>
        <v>1</v>
      </c>
      <c r="H281" s="631"/>
      <c r="I281" s="21">
        <f t="shared" si="41"/>
        <v>1</v>
      </c>
      <c r="J281" s="631"/>
      <c r="K281" s="21">
        <f t="shared" si="42"/>
        <v>1</v>
      </c>
      <c r="L281" s="631"/>
      <c r="M281" s="21">
        <f t="shared" si="43"/>
        <v>1</v>
      </c>
      <c r="N281" s="631"/>
      <c r="O281" s="21">
        <f t="shared" si="44"/>
        <v>1</v>
      </c>
      <c r="P281" s="631"/>
      <c r="Q281" s="21">
        <f t="shared" si="45"/>
        <v>0</v>
      </c>
      <c r="R281" s="21">
        <f t="shared" si="46"/>
        <v>0</v>
      </c>
      <c r="S281" s="308">
        <f t="shared" si="47"/>
        <v>0</v>
      </c>
    </row>
    <row r="282" spans="1:19">
      <c r="A282" s="142"/>
      <c r="B282" s="52"/>
      <c r="C282" s="21">
        <f t="shared" ref="C282:C345" si="48">IF(B282="",1,(LOOKUP(B282,$3:$3,$4:$4)-LOOKUP($B$24,$3:$3,$4:$4)+100)/100)</f>
        <v>1</v>
      </c>
      <c r="D282" s="631"/>
      <c r="E282" s="21">
        <f t="shared" ref="E282:E345" si="49">(SUMIF($5:$5,D282,$6:$6)-SUMIF($5:$5,$D$24,$6:$6)+100)/100</f>
        <v>0.02</v>
      </c>
      <c r="F282" s="631"/>
      <c r="G282" s="21">
        <f t="shared" ref="G282:G345" si="50">(SUMIF($7:$7,F282,$8:$8)-SUMIF($7:$7,$F$24,$8:$8)+100)/100</f>
        <v>1</v>
      </c>
      <c r="H282" s="631"/>
      <c r="I282" s="21">
        <f t="shared" ref="I282:I345" si="51">(SUMIF($9:$9,H282,$10:$10)-SUMIF($9:$9,$H$24,$10:$10)+100)/100</f>
        <v>1</v>
      </c>
      <c r="J282" s="631"/>
      <c r="K282" s="21">
        <f t="shared" ref="K282:K345" si="52">(SUMIF($11:$11,J282,$12:$12)-SUMIF($11:$11,$J$24,$12:$12)+100)/100</f>
        <v>1</v>
      </c>
      <c r="L282" s="631"/>
      <c r="M282" s="21">
        <f t="shared" ref="M282:M345" si="53">(SUMIF($13:$13,L282,$14:$14)-SUMIF($13:$13,$L$24,$14:$14)+100)/100</f>
        <v>1</v>
      </c>
      <c r="N282" s="631"/>
      <c r="O282" s="21">
        <f t="shared" ref="O282:O345" si="54">(SUMIF($15:$15,N282,$16:$16)-SUMIF($15:$15,$N$24,$16:$16)+100)/100</f>
        <v>1</v>
      </c>
      <c r="P282" s="631"/>
      <c r="Q282" s="21">
        <f t="shared" ref="Q282:Q345" si="55">(SUMIF($17:$17,P282,$18:$18)-SUMIF($17:$17,$P$24,$18:$18)+100)/100</f>
        <v>0</v>
      </c>
      <c r="R282" s="21">
        <f t="shared" si="46"/>
        <v>0</v>
      </c>
      <c r="S282" s="308">
        <f t="shared" si="47"/>
        <v>0</v>
      </c>
    </row>
    <row r="283" spans="1:19">
      <c r="A283" s="142"/>
      <c r="B283" s="52"/>
      <c r="C283" s="21">
        <f t="shared" si="48"/>
        <v>1</v>
      </c>
      <c r="D283" s="631"/>
      <c r="E283" s="21">
        <f t="shared" si="49"/>
        <v>0.02</v>
      </c>
      <c r="F283" s="631"/>
      <c r="G283" s="21">
        <f t="shared" si="50"/>
        <v>1</v>
      </c>
      <c r="H283" s="631"/>
      <c r="I283" s="21">
        <f t="shared" si="51"/>
        <v>1</v>
      </c>
      <c r="J283" s="631"/>
      <c r="K283" s="21">
        <f t="shared" si="52"/>
        <v>1</v>
      </c>
      <c r="L283" s="631"/>
      <c r="M283" s="21">
        <f t="shared" si="53"/>
        <v>1</v>
      </c>
      <c r="N283" s="631"/>
      <c r="O283" s="21">
        <f t="shared" si="54"/>
        <v>1</v>
      </c>
      <c r="P283" s="631"/>
      <c r="Q283" s="21">
        <f t="shared" si="55"/>
        <v>0</v>
      </c>
      <c r="R283" s="21">
        <f t="shared" si="46"/>
        <v>0</v>
      </c>
      <c r="S283" s="308">
        <f t="shared" si="47"/>
        <v>0</v>
      </c>
    </row>
    <row r="284" spans="1:19">
      <c r="A284" s="142"/>
      <c r="B284" s="52"/>
      <c r="C284" s="21">
        <f t="shared" si="48"/>
        <v>1</v>
      </c>
      <c r="D284" s="631"/>
      <c r="E284" s="21">
        <f t="shared" si="49"/>
        <v>0.02</v>
      </c>
      <c r="F284" s="631"/>
      <c r="G284" s="21">
        <f t="shared" si="50"/>
        <v>1</v>
      </c>
      <c r="H284" s="631"/>
      <c r="I284" s="21">
        <f t="shared" si="51"/>
        <v>1</v>
      </c>
      <c r="J284" s="631"/>
      <c r="K284" s="21">
        <f t="shared" si="52"/>
        <v>1</v>
      </c>
      <c r="L284" s="631"/>
      <c r="M284" s="21">
        <f t="shared" si="53"/>
        <v>1</v>
      </c>
      <c r="N284" s="631"/>
      <c r="O284" s="21">
        <f t="shared" si="54"/>
        <v>1</v>
      </c>
      <c r="P284" s="631"/>
      <c r="Q284" s="21">
        <f t="shared" si="55"/>
        <v>0</v>
      </c>
      <c r="R284" s="21">
        <f t="shared" si="46"/>
        <v>0</v>
      </c>
      <c r="S284" s="308">
        <f t="shared" si="47"/>
        <v>0</v>
      </c>
    </row>
    <row r="285" spans="1:19">
      <c r="A285" s="142"/>
      <c r="B285" s="52"/>
      <c r="C285" s="21">
        <f t="shared" si="48"/>
        <v>1</v>
      </c>
      <c r="D285" s="631"/>
      <c r="E285" s="21">
        <f t="shared" si="49"/>
        <v>0.02</v>
      </c>
      <c r="F285" s="631"/>
      <c r="G285" s="21">
        <f t="shared" si="50"/>
        <v>1</v>
      </c>
      <c r="H285" s="631"/>
      <c r="I285" s="21">
        <f t="shared" si="51"/>
        <v>1</v>
      </c>
      <c r="J285" s="631"/>
      <c r="K285" s="21">
        <f t="shared" si="52"/>
        <v>1</v>
      </c>
      <c r="L285" s="631"/>
      <c r="M285" s="21">
        <f t="shared" si="53"/>
        <v>1</v>
      </c>
      <c r="N285" s="631"/>
      <c r="O285" s="21">
        <f t="shared" si="54"/>
        <v>1</v>
      </c>
      <c r="P285" s="631"/>
      <c r="Q285" s="21">
        <f t="shared" si="55"/>
        <v>0</v>
      </c>
      <c r="R285" s="21">
        <f t="shared" si="46"/>
        <v>0</v>
      </c>
      <c r="S285" s="308">
        <f t="shared" si="47"/>
        <v>0</v>
      </c>
    </row>
    <row r="286" spans="1:19">
      <c r="A286" s="142"/>
      <c r="B286" s="52"/>
      <c r="C286" s="21">
        <f t="shared" si="48"/>
        <v>1</v>
      </c>
      <c r="D286" s="631"/>
      <c r="E286" s="21">
        <f t="shared" si="49"/>
        <v>0.02</v>
      </c>
      <c r="F286" s="631"/>
      <c r="G286" s="21">
        <f t="shared" si="50"/>
        <v>1</v>
      </c>
      <c r="H286" s="631"/>
      <c r="I286" s="21">
        <f t="shared" si="51"/>
        <v>1</v>
      </c>
      <c r="J286" s="631"/>
      <c r="K286" s="21">
        <f t="shared" si="52"/>
        <v>1</v>
      </c>
      <c r="L286" s="631"/>
      <c r="M286" s="21">
        <f t="shared" si="53"/>
        <v>1</v>
      </c>
      <c r="N286" s="631"/>
      <c r="O286" s="21">
        <f t="shared" si="54"/>
        <v>1</v>
      </c>
      <c r="P286" s="631"/>
      <c r="Q286" s="21">
        <f t="shared" si="55"/>
        <v>0</v>
      </c>
      <c r="R286" s="21">
        <f t="shared" si="46"/>
        <v>0</v>
      </c>
      <c r="S286" s="308">
        <f t="shared" si="47"/>
        <v>0</v>
      </c>
    </row>
    <row r="287" spans="1:19">
      <c r="A287" s="142"/>
      <c r="B287" s="52"/>
      <c r="C287" s="21">
        <f t="shared" si="48"/>
        <v>1</v>
      </c>
      <c r="D287" s="631"/>
      <c r="E287" s="21">
        <f t="shared" si="49"/>
        <v>0.02</v>
      </c>
      <c r="F287" s="631"/>
      <c r="G287" s="21">
        <f t="shared" si="50"/>
        <v>1</v>
      </c>
      <c r="H287" s="631"/>
      <c r="I287" s="21">
        <f t="shared" si="51"/>
        <v>1</v>
      </c>
      <c r="J287" s="631"/>
      <c r="K287" s="21">
        <f t="shared" si="52"/>
        <v>1</v>
      </c>
      <c r="L287" s="631"/>
      <c r="M287" s="21">
        <f t="shared" si="53"/>
        <v>1</v>
      </c>
      <c r="N287" s="631"/>
      <c r="O287" s="21">
        <f t="shared" si="54"/>
        <v>1</v>
      </c>
      <c r="P287" s="631"/>
      <c r="Q287" s="21">
        <f t="shared" si="55"/>
        <v>0</v>
      </c>
      <c r="R287" s="21">
        <f t="shared" si="46"/>
        <v>0</v>
      </c>
      <c r="S287" s="308">
        <f t="shared" si="47"/>
        <v>0</v>
      </c>
    </row>
    <row r="288" spans="1:19">
      <c r="A288" s="142"/>
      <c r="B288" s="52"/>
      <c r="C288" s="21">
        <f t="shared" si="48"/>
        <v>1</v>
      </c>
      <c r="D288" s="631"/>
      <c r="E288" s="21">
        <f t="shared" si="49"/>
        <v>0.02</v>
      </c>
      <c r="F288" s="631"/>
      <c r="G288" s="21">
        <f t="shared" si="50"/>
        <v>1</v>
      </c>
      <c r="H288" s="631"/>
      <c r="I288" s="21">
        <f t="shared" si="51"/>
        <v>1</v>
      </c>
      <c r="J288" s="631"/>
      <c r="K288" s="21">
        <f t="shared" si="52"/>
        <v>1</v>
      </c>
      <c r="L288" s="631"/>
      <c r="M288" s="21">
        <f t="shared" si="53"/>
        <v>1</v>
      </c>
      <c r="N288" s="631"/>
      <c r="O288" s="21">
        <f t="shared" si="54"/>
        <v>1</v>
      </c>
      <c r="P288" s="631"/>
      <c r="Q288" s="21">
        <f t="shared" si="55"/>
        <v>0</v>
      </c>
      <c r="R288" s="21">
        <f t="shared" si="46"/>
        <v>0</v>
      </c>
      <c r="S288" s="308">
        <f t="shared" si="47"/>
        <v>0</v>
      </c>
    </row>
    <row r="289" spans="1:19">
      <c r="A289" s="142"/>
      <c r="B289" s="52"/>
      <c r="C289" s="21">
        <f t="shared" si="48"/>
        <v>1</v>
      </c>
      <c r="D289" s="631"/>
      <c r="E289" s="21">
        <f t="shared" si="49"/>
        <v>0.02</v>
      </c>
      <c r="F289" s="631"/>
      <c r="G289" s="21">
        <f t="shared" si="50"/>
        <v>1</v>
      </c>
      <c r="H289" s="631"/>
      <c r="I289" s="21">
        <f t="shared" si="51"/>
        <v>1</v>
      </c>
      <c r="J289" s="631"/>
      <c r="K289" s="21">
        <f t="shared" si="52"/>
        <v>1</v>
      </c>
      <c r="L289" s="631"/>
      <c r="M289" s="21">
        <f t="shared" si="53"/>
        <v>1</v>
      </c>
      <c r="N289" s="631"/>
      <c r="O289" s="21">
        <f t="shared" si="54"/>
        <v>1</v>
      </c>
      <c r="P289" s="631"/>
      <c r="Q289" s="21">
        <f t="shared" si="55"/>
        <v>0</v>
      </c>
      <c r="R289" s="21">
        <f t="shared" si="46"/>
        <v>0</v>
      </c>
      <c r="S289" s="308">
        <f t="shared" si="47"/>
        <v>0</v>
      </c>
    </row>
    <row r="290" spans="1:19">
      <c r="A290" s="142"/>
      <c r="B290" s="52"/>
      <c r="C290" s="21">
        <f t="shared" si="48"/>
        <v>1</v>
      </c>
      <c r="D290" s="631"/>
      <c r="E290" s="21">
        <f t="shared" si="49"/>
        <v>0.02</v>
      </c>
      <c r="F290" s="631"/>
      <c r="G290" s="21">
        <f t="shared" si="50"/>
        <v>1</v>
      </c>
      <c r="H290" s="631"/>
      <c r="I290" s="21">
        <f t="shared" si="51"/>
        <v>1</v>
      </c>
      <c r="J290" s="631"/>
      <c r="K290" s="21">
        <f t="shared" si="52"/>
        <v>1</v>
      </c>
      <c r="L290" s="631"/>
      <c r="M290" s="21">
        <f t="shared" si="53"/>
        <v>1</v>
      </c>
      <c r="N290" s="631"/>
      <c r="O290" s="21">
        <f t="shared" si="54"/>
        <v>1</v>
      </c>
      <c r="P290" s="631"/>
      <c r="Q290" s="21">
        <f t="shared" si="55"/>
        <v>0</v>
      </c>
      <c r="R290" s="21">
        <f t="shared" si="46"/>
        <v>0</v>
      </c>
      <c r="S290" s="308">
        <f t="shared" si="47"/>
        <v>0</v>
      </c>
    </row>
    <row r="291" spans="1:19">
      <c r="A291" s="142"/>
      <c r="B291" s="52"/>
      <c r="C291" s="21">
        <f t="shared" si="48"/>
        <v>1</v>
      </c>
      <c r="D291" s="631"/>
      <c r="E291" s="21">
        <f t="shared" si="49"/>
        <v>0.02</v>
      </c>
      <c r="F291" s="631"/>
      <c r="G291" s="21">
        <f t="shared" si="50"/>
        <v>1</v>
      </c>
      <c r="H291" s="631"/>
      <c r="I291" s="21">
        <f t="shared" si="51"/>
        <v>1</v>
      </c>
      <c r="J291" s="631"/>
      <c r="K291" s="21">
        <f t="shared" si="52"/>
        <v>1</v>
      </c>
      <c r="L291" s="631"/>
      <c r="M291" s="21">
        <f t="shared" si="53"/>
        <v>1</v>
      </c>
      <c r="N291" s="631"/>
      <c r="O291" s="21">
        <f t="shared" si="54"/>
        <v>1</v>
      </c>
      <c r="P291" s="631"/>
      <c r="Q291" s="21">
        <f t="shared" si="55"/>
        <v>0</v>
      </c>
      <c r="R291" s="21">
        <f t="shared" si="46"/>
        <v>0</v>
      </c>
      <c r="S291" s="308">
        <f t="shared" si="47"/>
        <v>0</v>
      </c>
    </row>
    <row r="292" spans="1:19">
      <c r="A292" s="142"/>
      <c r="B292" s="52"/>
      <c r="C292" s="21">
        <f t="shared" si="48"/>
        <v>1</v>
      </c>
      <c r="D292" s="631"/>
      <c r="E292" s="21">
        <f t="shared" si="49"/>
        <v>0.02</v>
      </c>
      <c r="F292" s="631"/>
      <c r="G292" s="21">
        <f t="shared" si="50"/>
        <v>1</v>
      </c>
      <c r="H292" s="631"/>
      <c r="I292" s="21">
        <f t="shared" si="51"/>
        <v>1</v>
      </c>
      <c r="J292" s="631"/>
      <c r="K292" s="21">
        <f t="shared" si="52"/>
        <v>1</v>
      </c>
      <c r="L292" s="631"/>
      <c r="M292" s="21">
        <f t="shared" si="53"/>
        <v>1</v>
      </c>
      <c r="N292" s="631"/>
      <c r="O292" s="21">
        <f t="shared" si="54"/>
        <v>1</v>
      </c>
      <c r="P292" s="631"/>
      <c r="Q292" s="21">
        <f t="shared" si="55"/>
        <v>0</v>
      </c>
      <c r="R292" s="21">
        <f t="shared" si="46"/>
        <v>0</v>
      </c>
      <c r="S292" s="308">
        <f t="shared" si="47"/>
        <v>0</v>
      </c>
    </row>
    <row r="293" spans="1:19">
      <c r="A293" s="142"/>
      <c r="B293" s="52"/>
      <c r="C293" s="21">
        <f t="shared" si="48"/>
        <v>1</v>
      </c>
      <c r="D293" s="631"/>
      <c r="E293" s="21">
        <f t="shared" si="49"/>
        <v>0.02</v>
      </c>
      <c r="F293" s="631"/>
      <c r="G293" s="21">
        <f t="shared" si="50"/>
        <v>1</v>
      </c>
      <c r="H293" s="631"/>
      <c r="I293" s="21">
        <f t="shared" si="51"/>
        <v>1</v>
      </c>
      <c r="J293" s="631"/>
      <c r="K293" s="21">
        <f t="shared" si="52"/>
        <v>1</v>
      </c>
      <c r="L293" s="631"/>
      <c r="M293" s="21">
        <f t="shared" si="53"/>
        <v>1</v>
      </c>
      <c r="N293" s="631"/>
      <c r="O293" s="21">
        <f t="shared" si="54"/>
        <v>1</v>
      </c>
      <c r="P293" s="631"/>
      <c r="Q293" s="21">
        <f t="shared" si="55"/>
        <v>0</v>
      </c>
      <c r="R293" s="21">
        <f t="shared" si="46"/>
        <v>0</v>
      </c>
      <c r="S293" s="308">
        <f t="shared" si="47"/>
        <v>0</v>
      </c>
    </row>
    <row r="294" spans="1:19">
      <c r="A294" s="142"/>
      <c r="B294" s="52"/>
      <c r="C294" s="21">
        <f t="shared" si="48"/>
        <v>1</v>
      </c>
      <c r="D294" s="631"/>
      <c r="E294" s="21">
        <f t="shared" si="49"/>
        <v>0.02</v>
      </c>
      <c r="F294" s="631"/>
      <c r="G294" s="21">
        <f t="shared" si="50"/>
        <v>1</v>
      </c>
      <c r="H294" s="631"/>
      <c r="I294" s="21">
        <f t="shared" si="51"/>
        <v>1</v>
      </c>
      <c r="J294" s="631"/>
      <c r="K294" s="21">
        <f t="shared" si="52"/>
        <v>1</v>
      </c>
      <c r="L294" s="631"/>
      <c r="M294" s="21">
        <f t="shared" si="53"/>
        <v>1</v>
      </c>
      <c r="N294" s="631"/>
      <c r="O294" s="21">
        <f t="shared" si="54"/>
        <v>1</v>
      </c>
      <c r="P294" s="631"/>
      <c r="Q294" s="21">
        <f t="shared" si="55"/>
        <v>0</v>
      </c>
      <c r="R294" s="21">
        <f t="shared" ref="R294:R357" si="56">IF(B294="",0,ROUND($R$24*C294*E294*G294*I294*K294*M294*O294*Q294,0))</f>
        <v>0</v>
      </c>
      <c r="S294" s="308">
        <f t="shared" si="47"/>
        <v>0</v>
      </c>
    </row>
    <row r="295" spans="1:19">
      <c r="A295" s="142"/>
      <c r="B295" s="52"/>
      <c r="C295" s="21">
        <f t="shared" si="48"/>
        <v>1</v>
      </c>
      <c r="D295" s="631"/>
      <c r="E295" s="21">
        <f t="shared" si="49"/>
        <v>0.02</v>
      </c>
      <c r="F295" s="631"/>
      <c r="G295" s="21">
        <f t="shared" si="50"/>
        <v>1</v>
      </c>
      <c r="H295" s="631"/>
      <c r="I295" s="21">
        <f t="shared" si="51"/>
        <v>1</v>
      </c>
      <c r="J295" s="631"/>
      <c r="K295" s="21">
        <f t="shared" si="52"/>
        <v>1</v>
      </c>
      <c r="L295" s="631"/>
      <c r="M295" s="21">
        <f t="shared" si="53"/>
        <v>1</v>
      </c>
      <c r="N295" s="631"/>
      <c r="O295" s="21">
        <f t="shared" si="54"/>
        <v>1</v>
      </c>
      <c r="P295" s="631"/>
      <c r="Q295" s="21">
        <f t="shared" si="55"/>
        <v>0</v>
      </c>
      <c r="R295" s="21">
        <f t="shared" si="56"/>
        <v>0</v>
      </c>
      <c r="S295" s="308">
        <f t="shared" si="47"/>
        <v>0</v>
      </c>
    </row>
    <row r="296" spans="1:19">
      <c r="A296" s="142"/>
      <c r="B296" s="52"/>
      <c r="C296" s="21">
        <f t="shared" si="48"/>
        <v>1</v>
      </c>
      <c r="D296" s="631"/>
      <c r="E296" s="21">
        <f t="shared" si="49"/>
        <v>0.02</v>
      </c>
      <c r="F296" s="631"/>
      <c r="G296" s="21">
        <f t="shared" si="50"/>
        <v>1</v>
      </c>
      <c r="H296" s="631"/>
      <c r="I296" s="21">
        <f t="shared" si="51"/>
        <v>1</v>
      </c>
      <c r="J296" s="631"/>
      <c r="K296" s="21">
        <f t="shared" si="52"/>
        <v>1</v>
      </c>
      <c r="L296" s="631"/>
      <c r="M296" s="21">
        <f t="shared" si="53"/>
        <v>1</v>
      </c>
      <c r="N296" s="631"/>
      <c r="O296" s="21">
        <f t="shared" si="54"/>
        <v>1</v>
      </c>
      <c r="P296" s="631"/>
      <c r="Q296" s="21">
        <f t="shared" si="55"/>
        <v>0</v>
      </c>
      <c r="R296" s="21">
        <f t="shared" si="56"/>
        <v>0</v>
      </c>
      <c r="S296" s="308">
        <f t="shared" si="47"/>
        <v>0</v>
      </c>
    </row>
    <row r="297" spans="1:19">
      <c r="A297" s="142"/>
      <c r="B297" s="52"/>
      <c r="C297" s="21">
        <f t="shared" si="48"/>
        <v>1</v>
      </c>
      <c r="D297" s="631"/>
      <c r="E297" s="21">
        <f t="shared" si="49"/>
        <v>0.02</v>
      </c>
      <c r="F297" s="631"/>
      <c r="G297" s="21">
        <f t="shared" si="50"/>
        <v>1</v>
      </c>
      <c r="H297" s="631"/>
      <c r="I297" s="21">
        <f t="shared" si="51"/>
        <v>1</v>
      </c>
      <c r="J297" s="631"/>
      <c r="K297" s="21">
        <f t="shared" si="52"/>
        <v>1</v>
      </c>
      <c r="L297" s="631"/>
      <c r="M297" s="21">
        <f t="shared" si="53"/>
        <v>1</v>
      </c>
      <c r="N297" s="631"/>
      <c r="O297" s="21">
        <f t="shared" si="54"/>
        <v>1</v>
      </c>
      <c r="P297" s="631"/>
      <c r="Q297" s="21">
        <f t="shared" si="55"/>
        <v>0</v>
      </c>
      <c r="R297" s="21">
        <f t="shared" si="56"/>
        <v>0</v>
      </c>
      <c r="S297" s="308">
        <f t="shared" si="47"/>
        <v>0</v>
      </c>
    </row>
    <row r="298" spans="1:19">
      <c r="A298" s="142"/>
      <c r="B298" s="52"/>
      <c r="C298" s="21">
        <f t="shared" si="48"/>
        <v>1</v>
      </c>
      <c r="D298" s="631"/>
      <c r="E298" s="21">
        <f t="shared" si="49"/>
        <v>0.02</v>
      </c>
      <c r="F298" s="631"/>
      <c r="G298" s="21">
        <f t="shared" si="50"/>
        <v>1</v>
      </c>
      <c r="H298" s="631"/>
      <c r="I298" s="21">
        <f t="shared" si="51"/>
        <v>1</v>
      </c>
      <c r="J298" s="631"/>
      <c r="K298" s="21">
        <f t="shared" si="52"/>
        <v>1</v>
      </c>
      <c r="L298" s="631"/>
      <c r="M298" s="21">
        <f t="shared" si="53"/>
        <v>1</v>
      </c>
      <c r="N298" s="631"/>
      <c r="O298" s="21">
        <f t="shared" si="54"/>
        <v>1</v>
      </c>
      <c r="P298" s="631"/>
      <c r="Q298" s="21">
        <f t="shared" si="55"/>
        <v>0</v>
      </c>
      <c r="R298" s="21">
        <f t="shared" si="56"/>
        <v>0</v>
      </c>
      <c r="S298" s="308">
        <f t="shared" si="47"/>
        <v>0</v>
      </c>
    </row>
    <row r="299" spans="1:19">
      <c r="A299" s="142"/>
      <c r="B299" s="52"/>
      <c r="C299" s="21">
        <f t="shared" si="48"/>
        <v>1</v>
      </c>
      <c r="D299" s="631"/>
      <c r="E299" s="21">
        <f t="shared" si="49"/>
        <v>0.02</v>
      </c>
      <c r="F299" s="631"/>
      <c r="G299" s="21">
        <f t="shared" si="50"/>
        <v>1</v>
      </c>
      <c r="H299" s="631"/>
      <c r="I299" s="21">
        <f t="shared" si="51"/>
        <v>1</v>
      </c>
      <c r="J299" s="631"/>
      <c r="K299" s="21">
        <f t="shared" si="52"/>
        <v>1</v>
      </c>
      <c r="L299" s="631"/>
      <c r="M299" s="21">
        <f t="shared" si="53"/>
        <v>1</v>
      </c>
      <c r="N299" s="631"/>
      <c r="O299" s="21">
        <f t="shared" si="54"/>
        <v>1</v>
      </c>
      <c r="P299" s="631"/>
      <c r="Q299" s="21">
        <f t="shared" si="55"/>
        <v>0</v>
      </c>
      <c r="R299" s="21">
        <f t="shared" si="56"/>
        <v>0</v>
      </c>
      <c r="S299" s="308">
        <f t="shared" si="47"/>
        <v>0</v>
      </c>
    </row>
    <row r="300" spans="1:19">
      <c r="A300" s="142"/>
      <c r="B300" s="52"/>
      <c r="C300" s="21">
        <f t="shared" si="48"/>
        <v>1</v>
      </c>
      <c r="D300" s="631"/>
      <c r="E300" s="21">
        <f t="shared" si="49"/>
        <v>0.02</v>
      </c>
      <c r="F300" s="631"/>
      <c r="G300" s="21">
        <f t="shared" si="50"/>
        <v>1</v>
      </c>
      <c r="H300" s="631"/>
      <c r="I300" s="21">
        <f t="shared" si="51"/>
        <v>1</v>
      </c>
      <c r="J300" s="631"/>
      <c r="K300" s="21">
        <f t="shared" si="52"/>
        <v>1</v>
      </c>
      <c r="L300" s="631"/>
      <c r="M300" s="21">
        <f t="shared" si="53"/>
        <v>1</v>
      </c>
      <c r="N300" s="631"/>
      <c r="O300" s="21">
        <f t="shared" si="54"/>
        <v>1</v>
      </c>
      <c r="P300" s="631"/>
      <c r="Q300" s="21">
        <f t="shared" si="55"/>
        <v>0</v>
      </c>
      <c r="R300" s="21">
        <f t="shared" si="56"/>
        <v>0</v>
      </c>
      <c r="S300" s="308">
        <f t="shared" si="47"/>
        <v>0</v>
      </c>
    </row>
    <row r="301" spans="1:19">
      <c r="A301" s="142"/>
      <c r="B301" s="52"/>
      <c r="C301" s="21">
        <f t="shared" si="48"/>
        <v>1</v>
      </c>
      <c r="D301" s="631"/>
      <c r="E301" s="21">
        <f t="shared" si="49"/>
        <v>0.02</v>
      </c>
      <c r="F301" s="631"/>
      <c r="G301" s="21">
        <f t="shared" si="50"/>
        <v>1</v>
      </c>
      <c r="H301" s="631"/>
      <c r="I301" s="21">
        <f t="shared" si="51"/>
        <v>1</v>
      </c>
      <c r="J301" s="631"/>
      <c r="K301" s="21">
        <f t="shared" si="52"/>
        <v>1</v>
      </c>
      <c r="L301" s="631"/>
      <c r="M301" s="21">
        <f t="shared" si="53"/>
        <v>1</v>
      </c>
      <c r="N301" s="631"/>
      <c r="O301" s="21">
        <f t="shared" si="54"/>
        <v>1</v>
      </c>
      <c r="P301" s="631"/>
      <c r="Q301" s="21">
        <f t="shared" si="55"/>
        <v>0</v>
      </c>
      <c r="R301" s="21">
        <f t="shared" si="56"/>
        <v>0</v>
      </c>
      <c r="S301" s="308">
        <f t="shared" si="47"/>
        <v>0</v>
      </c>
    </row>
    <row r="302" spans="1:19">
      <c r="A302" s="142"/>
      <c r="B302" s="52"/>
      <c r="C302" s="21">
        <f t="shared" si="48"/>
        <v>1</v>
      </c>
      <c r="D302" s="631"/>
      <c r="E302" s="21">
        <f t="shared" si="49"/>
        <v>0.02</v>
      </c>
      <c r="F302" s="631"/>
      <c r="G302" s="21">
        <f t="shared" si="50"/>
        <v>1</v>
      </c>
      <c r="H302" s="631"/>
      <c r="I302" s="21">
        <f t="shared" si="51"/>
        <v>1</v>
      </c>
      <c r="J302" s="631"/>
      <c r="K302" s="21">
        <f t="shared" si="52"/>
        <v>1</v>
      </c>
      <c r="L302" s="631"/>
      <c r="M302" s="21">
        <f t="shared" si="53"/>
        <v>1</v>
      </c>
      <c r="N302" s="631"/>
      <c r="O302" s="21">
        <f t="shared" si="54"/>
        <v>1</v>
      </c>
      <c r="P302" s="631"/>
      <c r="Q302" s="21">
        <f t="shared" si="55"/>
        <v>0</v>
      </c>
      <c r="R302" s="21">
        <f t="shared" si="56"/>
        <v>0</v>
      </c>
      <c r="S302" s="308">
        <f t="shared" si="47"/>
        <v>0</v>
      </c>
    </row>
    <row r="303" spans="1:19">
      <c r="A303" s="142"/>
      <c r="B303" s="52"/>
      <c r="C303" s="21">
        <f t="shared" si="48"/>
        <v>1</v>
      </c>
      <c r="D303" s="631"/>
      <c r="E303" s="21">
        <f t="shared" si="49"/>
        <v>0.02</v>
      </c>
      <c r="F303" s="631"/>
      <c r="G303" s="21">
        <f t="shared" si="50"/>
        <v>1</v>
      </c>
      <c r="H303" s="631"/>
      <c r="I303" s="21">
        <f t="shared" si="51"/>
        <v>1</v>
      </c>
      <c r="J303" s="631"/>
      <c r="K303" s="21">
        <f t="shared" si="52"/>
        <v>1</v>
      </c>
      <c r="L303" s="631"/>
      <c r="M303" s="21">
        <f t="shared" si="53"/>
        <v>1</v>
      </c>
      <c r="N303" s="631"/>
      <c r="O303" s="21">
        <f t="shared" si="54"/>
        <v>1</v>
      </c>
      <c r="P303" s="631"/>
      <c r="Q303" s="21">
        <f t="shared" si="55"/>
        <v>0</v>
      </c>
      <c r="R303" s="21">
        <f t="shared" si="56"/>
        <v>0</v>
      </c>
      <c r="S303" s="308">
        <f t="shared" si="47"/>
        <v>0</v>
      </c>
    </row>
    <row r="304" spans="1:19">
      <c r="A304" s="142"/>
      <c r="B304" s="52"/>
      <c r="C304" s="21">
        <f t="shared" si="48"/>
        <v>1</v>
      </c>
      <c r="D304" s="631"/>
      <c r="E304" s="21">
        <f t="shared" si="49"/>
        <v>0.02</v>
      </c>
      <c r="F304" s="631"/>
      <c r="G304" s="21">
        <f t="shared" si="50"/>
        <v>1</v>
      </c>
      <c r="H304" s="631"/>
      <c r="I304" s="21">
        <f t="shared" si="51"/>
        <v>1</v>
      </c>
      <c r="J304" s="631"/>
      <c r="K304" s="21">
        <f t="shared" si="52"/>
        <v>1</v>
      </c>
      <c r="L304" s="631"/>
      <c r="M304" s="21">
        <f t="shared" si="53"/>
        <v>1</v>
      </c>
      <c r="N304" s="631"/>
      <c r="O304" s="21">
        <f t="shared" si="54"/>
        <v>1</v>
      </c>
      <c r="P304" s="631"/>
      <c r="Q304" s="21">
        <f t="shared" si="55"/>
        <v>0</v>
      </c>
      <c r="R304" s="21">
        <f t="shared" si="56"/>
        <v>0</v>
      </c>
      <c r="S304" s="308">
        <f t="shared" si="47"/>
        <v>0</v>
      </c>
    </row>
    <row r="305" spans="1:19">
      <c r="A305" s="142"/>
      <c r="B305" s="52"/>
      <c r="C305" s="21">
        <f t="shared" si="48"/>
        <v>1</v>
      </c>
      <c r="D305" s="631"/>
      <c r="E305" s="21">
        <f t="shared" si="49"/>
        <v>0.02</v>
      </c>
      <c r="F305" s="631"/>
      <c r="G305" s="21">
        <f t="shared" si="50"/>
        <v>1</v>
      </c>
      <c r="H305" s="631"/>
      <c r="I305" s="21">
        <f t="shared" si="51"/>
        <v>1</v>
      </c>
      <c r="J305" s="631"/>
      <c r="K305" s="21">
        <f t="shared" si="52"/>
        <v>1</v>
      </c>
      <c r="L305" s="631"/>
      <c r="M305" s="21">
        <f t="shared" si="53"/>
        <v>1</v>
      </c>
      <c r="N305" s="631"/>
      <c r="O305" s="21">
        <f t="shared" si="54"/>
        <v>1</v>
      </c>
      <c r="P305" s="631"/>
      <c r="Q305" s="21">
        <f t="shared" si="55"/>
        <v>0</v>
      </c>
      <c r="R305" s="21">
        <f t="shared" si="56"/>
        <v>0</v>
      </c>
      <c r="S305" s="308">
        <f t="shared" si="47"/>
        <v>0</v>
      </c>
    </row>
    <row r="306" spans="1:19">
      <c r="A306" s="142"/>
      <c r="B306" s="52"/>
      <c r="C306" s="21">
        <f t="shared" si="48"/>
        <v>1</v>
      </c>
      <c r="D306" s="631"/>
      <c r="E306" s="21">
        <f t="shared" si="49"/>
        <v>0.02</v>
      </c>
      <c r="F306" s="631"/>
      <c r="G306" s="21">
        <f t="shared" si="50"/>
        <v>1</v>
      </c>
      <c r="H306" s="631"/>
      <c r="I306" s="21">
        <f t="shared" si="51"/>
        <v>1</v>
      </c>
      <c r="J306" s="631"/>
      <c r="K306" s="21">
        <f t="shared" si="52"/>
        <v>1</v>
      </c>
      <c r="L306" s="631"/>
      <c r="M306" s="21">
        <f t="shared" si="53"/>
        <v>1</v>
      </c>
      <c r="N306" s="631"/>
      <c r="O306" s="21">
        <f t="shared" si="54"/>
        <v>1</v>
      </c>
      <c r="P306" s="631"/>
      <c r="Q306" s="21">
        <f t="shared" si="55"/>
        <v>0</v>
      </c>
      <c r="R306" s="21">
        <f t="shared" si="56"/>
        <v>0</v>
      </c>
      <c r="S306" s="308">
        <f t="shared" si="47"/>
        <v>0</v>
      </c>
    </row>
    <row r="307" spans="1:19">
      <c r="A307" s="142"/>
      <c r="B307" s="52"/>
      <c r="C307" s="21">
        <f t="shared" si="48"/>
        <v>1</v>
      </c>
      <c r="D307" s="631"/>
      <c r="E307" s="21">
        <f t="shared" si="49"/>
        <v>0.02</v>
      </c>
      <c r="F307" s="631"/>
      <c r="G307" s="21">
        <f t="shared" si="50"/>
        <v>1</v>
      </c>
      <c r="H307" s="631"/>
      <c r="I307" s="21">
        <f t="shared" si="51"/>
        <v>1</v>
      </c>
      <c r="J307" s="631"/>
      <c r="K307" s="21">
        <f t="shared" si="52"/>
        <v>1</v>
      </c>
      <c r="L307" s="631"/>
      <c r="M307" s="21">
        <f t="shared" si="53"/>
        <v>1</v>
      </c>
      <c r="N307" s="631"/>
      <c r="O307" s="21">
        <f t="shared" si="54"/>
        <v>1</v>
      </c>
      <c r="P307" s="631"/>
      <c r="Q307" s="21">
        <f t="shared" si="55"/>
        <v>0</v>
      </c>
      <c r="R307" s="21">
        <f t="shared" si="56"/>
        <v>0</v>
      </c>
      <c r="S307" s="308">
        <f t="shared" si="47"/>
        <v>0</v>
      </c>
    </row>
    <row r="308" spans="1:19">
      <c r="A308" s="142"/>
      <c r="B308" s="52"/>
      <c r="C308" s="21">
        <f t="shared" si="48"/>
        <v>1</v>
      </c>
      <c r="D308" s="631"/>
      <c r="E308" s="21">
        <f t="shared" si="49"/>
        <v>0.02</v>
      </c>
      <c r="F308" s="631"/>
      <c r="G308" s="21">
        <f t="shared" si="50"/>
        <v>1</v>
      </c>
      <c r="H308" s="631"/>
      <c r="I308" s="21">
        <f t="shared" si="51"/>
        <v>1</v>
      </c>
      <c r="J308" s="631"/>
      <c r="K308" s="21">
        <f t="shared" si="52"/>
        <v>1</v>
      </c>
      <c r="L308" s="631"/>
      <c r="M308" s="21">
        <f t="shared" si="53"/>
        <v>1</v>
      </c>
      <c r="N308" s="631"/>
      <c r="O308" s="21">
        <f t="shared" si="54"/>
        <v>1</v>
      </c>
      <c r="P308" s="631"/>
      <c r="Q308" s="21">
        <f t="shared" si="55"/>
        <v>0</v>
      </c>
      <c r="R308" s="21">
        <f t="shared" si="56"/>
        <v>0</v>
      </c>
      <c r="S308" s="308">
        <f t="shared" si="47"/>
        <v>0</v>
      </c>
    </row>
    <row r="309" spans="1:19">
      <c r="A309" s="142"/>
      <c r="B309" s="52"/>
      <c r="C309" s="21">
        <f t="shared" si="48"/>
        <v>1</v>
      </c>
      <c r="D309" s="631"/>
      <c r="E309" s="21">
        <f t="shared" si="49"/>
        <v>0.02</v>
      </c>
      <c r="F309" s="631"/>
      <c r="G309" s="21">
        <f t="shared" si="50"/>
        <v>1</v>
      </c>
      <c r="H309" s="631"/>
      <c r="I309" s="21">
        <f t="shared" si="51"/>
        <v>1</v>
      </c>
      <c r="J309" s="631"/>
      <c r="K309" s="21">
        <f t="shared" si="52"/>
        <v>1</v>
      </c>
      <c r="L309" s="631"/>
      <c r="M309" s="21">
        <f t="shared" si="53"/>
        <v>1</v>
      </c>
      <c r="N309" s="631"/>
      <c r="O309" s="21">
        <f t="shared" si="54"/>
        <v>1</v>
      </c>
      <c r="P309" s="631"/>
      <c r="Q309" s="21">
        <f t="shared" si="55"/>
        <v>0</v>
      </c>
      <c r="R309" s="21">
        <f t="shared" si="56"/>
        <v>0</v>
      </c>
      <c r="S309" s="308">
        <f t="shared" si="47"/>
        <v>0</v>
      </c>
    </row>
    <row r="310" spans="1:19">
      <c r="A310" s="142"/>
      <c r="B310" s="52"/>
      <c r="C310" s="21">
        <f t="shared" si="48"/>
        <v>1</v>
      </c>
      <c r="D310" s="631"/>
      <c r="E310" s="21">
        <f t="shared" si="49"/>
        <v>0.02</v>
      </c>
      <c r="F310" s="631"/>
      <c r="G310" s="21">
        <f t="shared" si="50"/>
        <v>1</v>
      </c>
      <c r="H310" s="631"/>
      <c r="I310" s="21">
        <f t="shared" si="51"/>
        <v>1</v>
      </c>
      <c r="J310" s="631"/>
      <c r="K310" s="21">
        <f t="shared" si="52"/>
        <v>1</v>
      </c>
      <c r="L310" s="631"/>
      <c r="M310" s="21">
        <f t="shared" si="53"/>
        <v>1</v>
      </c>
      <c r="N310" s="631"/>
      <c r="O310" s="21">
        <f t="shared" si="54"/>
        <v>1</v>
      </c>
      <c r="P310" s="631"/>
      <c r="Q310" s="21">
        <f t="shared" si="55"/>
        <v>0</v>
      </c>
      <c r="R310" s="21">
        <f t="shared" si="56"/>
        <v>0</v>
      </c>
      <c r="S310" s="308">
        <f t="shared" si="47"/>
        <v>0</v>
      </c>
    </row>
    <row r="311" spans="1:19">
      <c r="A311" s="142"/>
      <c r="B311" s="52"/>
      <c r="C311" s="21">
        <f t="shared" si="48"/>
        <v>1</v>
      </c>
      <c r="D311" s="631"/>
      <c r="E311" s="21">
        <f t="shared" si="49"/>
        <v>0.02</v>
      </c>
      <c r="F311" s="631"/>
      <c r="G311" s="21">
        <f t="shared" si="50"/>
        <v>1</v>
      </c>
      <c r="H311" s="631"/>
      <c r="I311" s="21">
        <f t="shared" si="51"/>
        <v>1</v>
      </c>
      <c r="J311" s="631"/>
      <c r="K311" s="21">
        <f t="shared" si="52"/>
        <v>1</v>
      </c>
      <c r="L311" s="631"/>
      <c r="M311" s="21">
        <f t="shared" si="53"/>
        <v>1</v>
      </c>
      <c r="N311" s="631"/>
      <c r="O311" s="21">
        <f t="shared" si="54"/>
        <v>1</v>
      </c>
      <c r="P311" s="631"/>
      <c r="Q311" s="21">
        <f t="shared" si="55"/>
        <v>0</v>
      </c>
      <c r="R311" s="21">
        <f t="shared" si="56"/>
        <v>0</v>
      </c>
      <c r="S311" s="308">
        <f t="shared" si="47"/>
        <v>0</v>
      </c>
    </row>
    <row r="312" spans="1:19">
      <c r="A312" s="142"/>
      <c r="B312" s="52"/>
      <c r="C312" s="21">
        <f t="shared" si="48"/>
        <v>1</v>
      </c>
      <c r="D312" s="631"/>
      <c r="E312" s="21">
        <f t="shared" si="49"/>
        <v>0.02</v>
      </c>
      <c r="F312" s="631"/>
      <c r="G312" s="21">
        <f t="shared" si="50"/>
        <v>1</v>
      </c>
      <c r="H312" s="631"/>
      <c r="I312" s="21">
        <f t="shared" si="51"/>
        <v>1</v>
      </c>
      <c r="J312" s="631"/>
      <c r="K312" s="21">
        <f t="shared" si="52"/>
        <v>1</v>
      </c>
      <c r="L312" s="631"/>
      <c r="M312" s="21">
        <f t="shared" si="53"/>
        <v>1</v>
      </c>
      <c r="N312" s="631"/>
      <c r="O312" s="21">
        <f t="shared" si="54"/>
        <v>1</v>
      </c>
      <c r="P312" s="631"/>
      <c r="Q312" s="21">
        <f t="shared" si="55"/>
        <v>0</v>
      </c>
      <c r="R312" s="21">
        <f t="shared" si="56"/>
        <v>0</v>
      </c>
      <c r="S312" s="308">
        <f t="shared" si="47"/>
        <v>0</v>
      </c>
    </row>
    <row r="313" spans="1:19">
      <c r="A313" s="142"/>
      <c r="B313" s="52"/>
      <c r="C313" s="21">
        <f t="shared" si="48"/>
        <v>1</v>
      </c>
      <c r="D313" s="631"/>
      <c r="E313" s="21">
        <f t="shared" si="49"/>
        <v>0.02</v>
      </c>
      <c r="F313" s="631"/>
      <c r="G313" s="21">
        <f t="shared" si="50"/>
        <v>1</v>
      </c>
      <c r="H313" s="631"/>
      <c r="I313" s="21">
        <f t="shared" si="51"/>
        <v>1</v>
      </c>
      <c r="J313" s="631"/>
      <c r="K313" s="21">
        <f t="shared" si="52"/>
        <v>1</v>
      </c>
      <c r="L313" s="631"/>
      <c r="M313" s="21">
        <f t="shared" si="53"/>
        <v>1</v>
      </c>
      <c r="N313" s="631"/>
      <c r="O313" s="21">
        <f t="shared" si="54"/>
        <v>1</v>
      </c>
      <c r="P313" s="631"/>
      <c r="Q313" s="21">
        <f t="shared" si="55"/>
        <v>0</v>
      </c>
      <c r="R313" s="21">
        <f t="shared" si="56"/>
        <v>0</v>
      </c>
      <c r="S313" s="308">
        <f t="shared" si="47"/>
        <v>0</v>
      </c>
    </row>
    <row r="314" spans="1:19">
      <c r="A314" s="142"/>
      <c r="B314" s="52"/>
      <c r="C314" s="21">
        <f t="shared" si="48"/>
        <v>1</v>
      </c>
      <c r="D314" s="631"/>
      <c r="E314" s="21">
        <f t="shared" si="49"/>
        <v>0.02</v>
      </c>
      <c r="F314" s="631"/>
      <c r="G314" s="21">
        <f t="shared" si="50"/>
        <v>1</v>
      </c>
      <c r="H314" s="631"/>
      <c r="I314" s="21">
        <f t="shared" si="51"/>
        <v>1</v>
      </c>
      <c r="J314" s="631"/>
      <c r="K314" s="21">
        <f t="shared" si="52"/>
        <v>1</v>
      </c>
      <c r="L314" s="631"/>
      <c r="M314" s="21">
        <f t="shared" si="53"/>
        <v>1</v>
      </c>
      <c r="N314" s="631"/>
      <c r="O314" s="21">
        <f t="shared" si="54"/>
        <v>1</v>
      </c>
      <c r="P314" s="631"/>
      <c r="Q314" s="21">
        <f t="shared" si="55"/>
        <v>0</v>
      </c>
      <c r="R314" s="21">
        <f t="shared" si="56"/>
        <v>0</v>
      </c>
      <c r="S314" s="308">
        <f t="shared" si="47"/>
        <v>0</v>
      </c>
    </row>
    <row r="315" spans="1:19">
      <c r="A315" s="142"/>
      <c r="B315" s="52"/>
      <c r="C315" s="21">
        <f t="shared" si="48"/>
        <v>1</v>
      </c>
      <c r="D315" s="631"/>
      <c r="E315" s="21">
        <f t="shared" si="49"/>
        <v>0.02</v>
      </c>
      <c r="F315" s="631"/>
      <c r="G315" s="21">
        <f t="shared" si="50"/>
        <v>1</v>
      </c>
      <c r="H315" s="631"/>
      <c r="I315" s="21">
        <f t="shared" si="51"/>
        <v>1</v>
      </c>
      <c r="J315" s="631"/>
      <c r="K315" s="21">
        <f t="shared" si="52"/>
        <v>1</v>
      </c>
      <c r="L315" s="631"/>
      <c r="M315" s="21">
        <f t="shared" si="53"/>
        <v>1</v>
      </c>
      <c r="N315" s="631"/>
      <c r="O315" s="21">
        <f t="shared" si="54"/>
        <v>1</v>
      </c>
      <c r="P315" s="631"/>
      <c r="Q315" s="21">
        <f t="shared" si="55"/>
        <v>0</v>
      </c>
      <c r="R315" s="21">
        <f t="shared" si="56"/>
        <v>0</v>
      </c>
      <c r="S315" s="308">
        <f t="shared" si="47"/>
        <v>0</v>
      </c>
    </row>
    <row r="316" spans="1:19">
      <c r="A316" s="142"/>
      <c r="B316" s="52"/>
      <c r="C316" s="21">
        <f t="shared" si="48"/>
        <v>1</v>
      </c>
      <c r="D316" s="631"/>
      <c r="E316" s="21">
        <f t="shared" si="49"/>
        <v>0.02</v>
      </c>
      <c r="F316" s="631"/>
      <c r="G316" s="21">
        <f t="shared" si="50"/>
        <v>1</v>
      </c>
      <c r="H316" s="631"/>
      <c r="I316" s="21">
        <f t="shared" si="51"/>
        <v>1</v>
      </c>
      <c r="J316" s="631"/>
      <c r="K316" s="21">
        <f t="shared" si="52"/>
        <v>1</v>
      </c>
      <c r="L316" s="631"/>
      <c r="M316" s="21">
        <f t="shared" si="53"/>
        <v>1</v>
      </c>
      <c r="N316" s="631"/>
      <c r="O316" s="21">
        <f t="shared" si="54"/>
        <v>1</v>
      </c>
      <c r="P316" s="631"/>
      <c r="Q316" s="21">
        <f t="shared" si="55"/>
        <v>0</v>
      </c>
      <c r="R316" s="21">
        <f t="shared" si="56"/>
        <v>0</v>
      </c>
      <c r="S316" s="308">
        <f t="shared" si="47"/>
        <v>0</v>
      </c>
    </row>
    <row r="317" spans="1:19">
      <c r="A317" s="142"/>
      <c r="B317" s="52"/>
      <c r="C317" s="21">
        <f t="shared" si="48"/>
        <v>1</v>
      </c>
      <c r="D317" s="631"/>
      <c r="E317" s="21">
        <f t="shared" si="49"/>
        <v>0.02</v>
      </c>
      <c r="F317" s="631"/>
      <c r="G317" s="21">
        <f t="shared" si="50"/>
        <v>1</v>
      </c>
      <c r="H317" s="631"/>
      <c r="I317" s="21">
        <f t="shared" si="51"/>
        <v>1</v>
      </c>
      <c r="J317" s="631"/>
      <c r="K317" s="21">
        <f t="shared" si="52"/>
        <v>1</v>
      </c>
      <c r="L317" s="631"/>
      <c r="M317" s="21">
        <f t="shared" si="53"/>
        <v>1</v>
      </c>
      <c r="N317" s="631"/>
      <c r="O317" s="21">
        <f t="shared" si="54"/>
        <v>1</v>
      </c>
      <c r="P317" s="631"/>
      <c r="Q317" s="21">
        <f t="shared" si="55"/>
        <v>0</v>
      </c>
      <c r="R317" s="21">
        <f t="shared" si="56"/>
        <v>0</v>
      </c>
      <c r="S317" s="308">
        <f t="shared" si="47"/>
        <v>0</v>
      </c>
    </row>
    <row r="318" spans="1:19">
      <c r="A318" s="142"/>
      <c r="B318" s="52"/>
      <c r="C318" s="21">
        <f t="shared" si="48"/>
        <v>1</v>
      </c>
      <c r="D318" s="631"/>
      <c r="E318" s="21">
        <f t="shared" si="49"/>
        <v>0.02</v>
      </c>
      <c r="F318" s="631"/>
      <c r="G318" s="21">
        <f t="shared" si="50"/>
        <v>1</v>
      </c>
      <c r="H318" s="631"/>
      <c r="I318" s="21">
        <f t="shared" si="51"/>
        <v>1</v>
      </c>
      <c r="J318" s="631"/>
      <c r="K318" s="21">
        <f t="shared" si="52"/>
        <v>1</v>
      </c>
      <c r="L318" s="631"/>
      <c r="M318" s="21">
        <f t="shared" si="53"/>
        <v>1</v>
      </c>
      <c r="N318" s="631"/>
      <c r="O318" s="21">
        <f t="shared" si="54"/>
        <v>1</v>
      </c>
      <c r="P318" s="631"/>
      <c r="Q318" s="21">
        <f t="shared" si="55"/>
        <v>0</v>
      </c>
      <c r="R318" s="21">
        <f t="shared" si="56"/>
        <v>0</v>
      </c>
      <c r="S318" s="308">
        <f t="shared" si="47"/>
        <v>0</v>
      </c>
    </row>
    <row r="319" spans="1:19">
      <c r="A319" s="142"/>
      <c r="B319" s="52"/>
      <c r="C319" s="21">
        <f t="shared" si="48"/>
        <v>1</v>
      </c>
      <c r="D319" s="631"/>
      <c r="E319" s="21">
        <f t="shared" si="49"/>
        <v>0.02</v>
      </c>
      <c r="F319" s="631"/>
      <c r="G319" s="21">
        <f t="shared" si="50"/>
        <v>1</v>
      </c>
      <c r="H319" s="631"/>
      <c r="I319" s="21">
        <f t="shared" si="51"/>
        <v>1</v>
      </c>
      <c r="J319" s="631"/>
      <c r="K319" s="21">
        <f t="shared" si="52"/>
        <v>1</v>
      </c>
      <c r="L319" s="631"/>
      <c r="M319" s="21">
        <f t="shared" si="53"/>
        <v>1</v>
      </c>
      <c r="N319" s="631"/>
      <c r="O319" s="21">
        <f t="shared" si="54"/>
        <v>1</v>
      </c>
      <c r="P319" s="631"/>
      <c r="Q319" s="21">
        <f t="shared" si="55"/>
        <v>0</v>
      </c>
      <c r="R319" s="21">
        <f t="shared" si="56"/>
        <v>0</v>
      </c>
      <c r="S319" s="308">
        <f t="shared" si="47"/>
        <v>0</v>
      </c>
    </row>
    <row r="320" spans="1:19">
      <c r="A320" s="142"/>
      <c r="B320" s="52"/>
      <c r="C320" s="21">
        <f t="shared" si="48"/>
        <v>1</v>
      </c>
      <c r="D320" s="631"/>
      <c r="E320" s="21">
        <f t="shared" si="49"/>
        <v>0.02</v>
      </c>
      <c r="F320" s="631"/>
      <c r="G320" s="21">
        <f t="shared" si="50"/>
        <v>1</v>
      </c>
      <c r="H320" s="631"/>
      <c r="I320" s="21">
        <f t="shared" si="51"/>
        <v>1</v>
      </c>
      <c r="J320" s="631"/>
      <c r="K320" s="21">
        <f t="shared" si="52"/>
        <v>1</v>
      </c>
      <c r="L320" s="631"/>
      <c r="M320" s="21">
        <f t="shared" si="53"/>
        <v>1</v>
      </c>
      <c r="N320" s="631"/>
      <c r="O320" s="21">
        <f t="shared" si="54"/>
        <v>1</v>
      </c>
      <c r="P320" s="631"/>
      <c r="Q320" s="21">
        <f t="shared" si="55"/>
        <v>0</v>
      </c>
      <c r="R320" s="21">
        <f t="shared" si="56"/>
        <v>0</v>
      </c>
      <c r="S320" s="308">
        <f t="shared" si="47"/>
        <v>0</v>
      </c>
    </row>
    <row r="321" spans="1:19">
      <c r="A321" s="142"/>
      <c r="B321" s="52"/>
      <c r="C321" s="21">
        <f t="shared" si="48"/>
        <v>1</v>
      </c>
      <c r="D321" s="631"/>
      <c r="E321" s="21">
        <f t="shared" si="49"/>
        <v>0.02</v>
      </c>
      <c r="F321" s="631"/>
      <c r="G321" s="21">
        <f t="shared" si="50"/>
        <v>1</v>
      </c>
      <c r="H321" s="631"/>
      <c r="I321" s="21">
        <f t="shared" si="51"/>
        <v>1</v>
      </c>
      <c r="J321" s="631"/>
      <c r="K321" s="21">
        <f t="shared" si="52"/>
        <v>1</v>
      </c>
      <c r="L321" s="631"/>
      <c r="M321" s="21">
        <f t="shared" si="53"/>
        <v>1</v>
      </c>
      <c r="N321" s="631"/>
      <c r="O321" s="21">
        <f t="shared" si="54"/>
        <v>1</v>
      </c>
      <c r="P321" s="631"/>
      <c r="Q321" s="21">
        <f t="shared" si="55"/>
        <v>0</v>
      </c>
      <c r="R321" s="21">
        <f t="shared" si="56"/>
        <v>0</v>
      </c>
      <c r="S321" s="308">
        <f t="shared" si="47"/>
        <v>0</v>
      </c>
    </row>
    <row r="322" spans="1:19">
      <c r="A322" s="142"/>
      <c r="B322" s="52"/>
      <c r="C322" s="21">
        <f t="shared" si="48"/>
        <v>1</v>
      </c>
      <c r="D322" s="631"/>
      <c r="E322" s="21">
        <f t="shared" si="49"/>
        <v>0.02</v>
      </c>
      <c r="F322" s="631"/>
      <c r="G322" s="21">
        <f t="shared" si="50"/>
        <v>1</v>
      </c>
      <c r="H322" s="631"/>
      <c r="I322" s="21">
        <f t="shared" si="51"/>
        <v>1</v>
      </c>
      <c r="J322" s="631"/>
      <c r="K322" s="21">
        <f t="shared" si="52"/>
        <v>1</v>
      </c>
      <c r="L322" s="631"/>
      <c r="M322" s="21">
        <f t="shared" si="53"/>
        <v>1</v>
      </c>
      <c r="N322" s="631"/>
      <c r="O322" s="21">
        <f t="shared" si="54"/>
        <v>1</v>
      </c>
      <c r="P322" s="631"/>
      <c r="Q322" s="21">
        <f t="shared" si="55"/>
        <v>0</v>
      </c>
      <c r="R322" s="21">
        <f t="shared" si="56"/>
        <v>0</v>
      </c>
      <c r="S322" s="308">
        <f t="shared" si="47"/>
        <v>0</v>
      </c>
    </row>
    <row r="323" spans="1:19">
      <c r="A323" s="142"/>
      <c r="B323" s="52"/>
      <c r="C323" s="21">
        <f t="shared" si="48"/>
        <v>1</v>
      </c>
      <c r="D323" s="631"/>
      <c r="E323" s="21">
        <f t="shared" si="49"/>
        <v>0.02</v>
      </c>
      <c r="F323" s="631"/>
      <c r="G323" s="21">
        <f t="shared" si="50"/>
        <v>1</v>
      </c>
      <c r="H323" s="631"/>
      <c r="I323" s="21">
        <f t="shared" si="51"/>
        <v>1</v>
      </c>
      <c r="J323" s="631"/>
      <c r="K323" s="21">
        <f t="shared" si="52"/>
        <v>1</v>
      </c>
      <c r="L323" s="631"/>
      <c r="M323" s="21">
        <f t="shared" si="53"/>
        <v>1</v>
      </c>
      <c r="N323" s="631"/>
      <c r="O323" s="21">
        <f t="shared" si="54"/>
        <v>1</v>
      </c>
      <c r="P323" s="631"/>
      <c r="Q323" s="21">
        <f t="shared" si="55"/>
        <v>0</v>
      </c>
      <c r="R323" s="21">
        <f t="shared" si="56"/>
        <v>0</v>
      </c>
      <c r="S323" s="308">
        <f t="shared" si="47"/>
        <v>0</v>
      </c>
    </row>
    <row r="324" spans="1:19">
      <c r="A324" s="142"/>
      <c r="B324" s="52"/>
      <c r="C324" s="21">
        <f t="shared" si="48"/>
        <v>1</v>
      </c>
      <c r="D324" s="631"/>
      <c r="E324" s="21">
        <f t="shared" si="49"/>
        <v>0.02</v>
      </c>
      <c r="F324" s="631"/>
      <c r="G324" s="21">
        <f t="shared" si="50"/>
        <v>1</v>
      </c>
      <c r="H324" s="631"/>
      <c r="I324" s="21">
        <f t="shared" si="51"/>
        <v>1</v>
      </c>
      <c r="J324" s="631"/>
      <c r="K324" s="21">
        <f t="shared" si="52"/>
        <v>1</v>
      </c>
      <c r="L324" s="631"/>
      <c r="M324" s="21">
        <f t="shared" si="53"/>
        <v>1</v>
      </c>
      <c r="N324" s="631"/>
      <c r="O324" s="21">
        <f t="shared" si="54"/>
        <v>1</v>
      </c>
      <c r="P324" s="631"/>
      <c r="Q324" s="21">
        <f t="shared" si="55"/>
        <v>0</v>
      </c>
      <c r="R324" s="21">
        <f t="shared" si="56"/>
        <v>0</v>
      </c>
      <c r="S324" s="308">
        <f t="shared" si="47"/>
        <v>0</v>
      </c>
    </row>
    <row r="325" spans="1:19">
      <c r="A325" s="142"/>
      <c r="B325" s="52"/>
      <c r="C325" s="21">
        <f t="shared" si="48"/>
        <v>1</v>
      </c>
      <c r="D325" s="631"/>
      <c r="E325" s="21">
        <f t="shared" si="49"/>
        <v>0.02</v>
      </c>
      <c r="F325" s="631"/>
      <c r="G325" s="21">
        <f t="shared" si="50"/>
        <v>1</v>
      </c>
      <c r="H325" s="631"/>
      <c r="I325" s="21">
        <f t="shared" si="51"/>
        <v>1</v>
      </c>
      <c r="J325" s="631"/>
      <c r="K325" s="21">
        <f t="shared" si="52"/>
        <v>1</v>
      </c>
      <c r="L325" s="631"/>
      <c r="M325" s="21">
        <f t="shared" si="53"/>
        <v>1</v>
      </c>
      <c r="N325" s="631"/>
      <c r="O325" s="21">
        <f t="shared" si="54"/>
        <v>1</v>
      </c>
      <c r="P325" s="631"/>
      <c r="Q325" s="21">
        <f t="shared" si="55"/>
        <v>0</v>
      </c>
      <c r="R325" s="21">
        <f t="shared" si="56"/>
        <v>0</v>
      </c>
      <c r="S325" s="308">
        <f t="shared" si="47"/>
        <v>0</v>
      </c>
    </row>
    <row r="326" spans="1:19">
      <c r="A326" s="142"/>
      <c r="B326" s="52"/>
      <c r="C326" s="21">
        <f t="shared" si="48"/>
        <v>1</v>
      </c>
      <c r="D326" s="631"/>
      <c r="E326" s="21">
        <f t="shared" si="49"/>
        <v>0.02</v>
      </c>
      <c r="F326" s="631"/>
      <c r="G326" s="21">
        <f t="shared" si="50"/>
        <v>1</v>
      </c>
      <c r="H326" s="631"/>
      <c r="I326" s="21">
        <f t="shared" si="51"/>
        <v>1</v>
      </c>
      <c r="J326" s="631"/>
      <c r="K326" s="21">
        <f t="shared" si="52"/>
        <v>1</v>
      </c>
      <c r="L326" s="631"/>
      <c r="M326" s="21">
        <f t="shared" si="53"/>
        <v>1</v>
      </c>
      <c r="N326" s="631"/>
      <c r="O326" s="21">
        <f t="shared" si="54"/>
        <v>1</v>
      </c>
      <c r="P326" s="631"/>
      <c r="Q326" s="21">
        <f t="shared" si="55"/>
        <v>0</v>
      </c>
      <c r="R326" s="21">
        <f t="shared" si="56"/>
        <v>0</v>
      </c>
      <c r="S326" s="308">
        <f t="shared" si="47"/>
        <v>0</v>
      </c>
    </row>
    <row r="327" spans="1:19">
      <c r="A327" s="142"/>
      <c r="B327" s="52"/>
      <c r="C327" s="21">
        <f t="shared" si="48"/>
        <v>1</v>
      </c>
      <c r="D327" s="631"/>
      <c r="E327" s="21">
        <f t="shared" si="49"/>
        <v>0.02</v>
      </c>
      <c r="F327" s="631"/>
      <c r="G327" s="21">
        <f t="shared" si="50"/>
        <v>1</v>
      </c>
      <c r="H327" s="631"/>
      <c r="I327" s="21">
        <f t="shared" si="51"/>
        <v>1</v>
      </c>
      <c r="J327" s="631"/>
      <c r="K327" s="21">
        <f t="shared" si="52"/>
        <v>1</v>
      </c>
      <c r="L327" s="631"/>
      <c r="M327" s="21">
        <f t="shared" si="53"/>
        <v>1</v>
      </c>
      <c r="N327" s="631"/>
      <c r="O327" s="21">
        <f t="shared" si="54"/>
        <v>1</v>
      </c>
      <c r="P327" s="631"/>
      <c r="Q327" s="21">
        <f t="shared" si="55"/>
        <v>0</v>
      </c>
      <c r="R327" s="21">
        <f t="shared" si="56"/>
        <v>0</v>
      </c>
      <c r="S327" s="308">
        <f t="shared" si="47"/>
        <v>0</v>
      </c>
    </row>
    <row r="328" spans="1:19">
      <c r="A328" s="142"/>
      <c r="B328" s="52"/>
      <c r="C328" s="21">
        <f t="shared" si="48"/>
        <v>1</v>
      </c>
      <c r="D328" s="631"/>
      <c r="E328" s="21">
        <f t="shared" si="49"/>
        <v>0.02</v>
      </c>
      <c r="F328" s="631"/>
      <c r="G328" s="21">
        <f t="shared" si="50"/>
        <v>1</v>
      </c>
      <c r="H328" s="631"/>
      <c r="I328" s="21">
        <f t="shared" si="51"/>
        <v>1</v>
      </c>
      <c r="J328" s="631"/>
      <c r="K328" s="21">
        <f t="shared" si="52"/>
        <v>1</v>
      </c>
      <c r="L328" s="631"/>
      <c r="M328" s="21">
        <f t="shared" si="53"/>
        <v>1</v>
      </c>
      <c r="N328" s="631"/>
      <c r="O328" s="21">
        <f t="shared" si="54"/>
        <v>1</v>
      </c>
      <c r="P328" s="631"/>
      <c r="Q328" s="21">
        <f t="shared" si="55"/>
        <v>0</v>
      </c>
      <c r="R328" s="21">
        <f t="shared" si="56"/>
        <v>0</v>
      </c>
      <c r="S328" s="308">
        <f t="shared" si="47"/>
        <v>0</v>
      </c>
    </row>
    <row r="329" spans="1:19">
      <c r="A329" s="142"/>
      <c r="B329" s="52"/>
      <c r="C329" s="21">
        <f t="shared" si="48"/>
        <v>1</v>
      </c>
      <c r="D329" s="631"/>
      <c r="E329" s="21">
        <f t="shared" si="49"/>
        <v>0.02</v>
      </c>
      <c r="F329" s="631"/>
      <c r="G329" s="21">
        <f t="shared" si="50"/>
        <v>1</v>
      </c>
      <c r="H329" s="631"/>
      <c r="I329" s="21">
        <f t="shared" si="51"/>
        <v>1</v>
      </c>
      <c r="J329" s="631"/>
      <c r="K329" s="21">
        <f t="shared" si="52"/>
        <v>1</v>
      </c>
      <c r="L329" s="631"/>
      <c r="M329" s="21">
        <f t="shared" si="53"/>
        <v>1</v>
      </c>
      <c r="N329" s="631"/>
      <c r="O329" s="21">
        <f t="shared" si="54"/>
        <v>1</v>
      </c>
      <c r="P329" s="631"/>
      <c r="Q329" s="21">
        <f t="shared" si="55"/>
        <v>0</v>
      </c>
      <c r="R329" s="21">
        <f t="shared" si="56"/>
        <v>0</v>
      </c>
      <c r="S329" s="308">
        <f t="shared" si="47"/>
        <v>0</v>
      </c>
    </row>
    <row r="330" spans="1:19">
      <c r="A330" s="142"/>
      <c r="B330" s="52"/>
      <c r="C330" s="21">
        <f t="shared" si="48"/>
        <v>1</v>
      </c>
      <c r="D330" s="631"/>
      <c r="E330" s="21">
        <f t="shared" si="49"/>
        <v>0.02</v>
      </c>
      <c r="F330" s="631"/>
      <c r="G330" s="21">
        <f t="shared" si="50"/>
        <v>1</v>
      </c>
      <c r="H330" s="631"/>
      <c r="I330" s="21">
        <f t="shared" si="51"/>
        <v>1</v>
      </c>
      <c r="J330" s="631"/>
      <c r="K330" s="21">
        <f t="shared" si="52"/>
        <v>1</v>
      </c>
      <c r="L330" s="631"/>
      <c r="M330" s="21">
        <f t="shared" si="53"/>
        <v>1</v>
      </c>
      <c r="N330" s="631"/>
      <c r="O330" s="21">
        <f t="shared" si="54"/>
        <v>1</v>
      </c>
      <c r="P330" s="631"/>
      <c r="Q330" s="21">
        <f t="shared" si="55"/>
        <v>0</v>
      </c>
      <c r="R330" s="21">
        <f t="shared" si="56"/>
        <v>0</v>
      </c>
      <c r="S330" s="308">
        <f t="shared" si="47"/>
        <v>0</v>
      </c>
    </row>
    <row r="331" spans="1:19">
      <c r="A331" s="142"/>
      <c r="B331" s="52"/>
      <c r="C331" s="21">
        <f t="shared" si="48"/>
        <v>1</v>
      </c>
      <c r="D331" s="631"/>
      <c r="E331" s="21">
        <f t="shared" si="49"/>
        <v>0.02</v>
      </c>
      <c r="F331" s="631"/>
      <c r="G331" s="21">
        <f t="shared" si="50"/>
        <v>1</v>
      </c>
      <c r="H331" s="631"/>
      <c r="I331" s="21">
        <f t="shared" si="51"/>
        <v>1</v>
      </c>
      <c r="J331" s="631"/>
      <c r="K331" s="21">
        <f t="shared" si="52"/>
        <v>1</v>
      </c>
      <c r="L331" s="631"/>
      <c r="M331" s="21">
        <f t="shared" si="53"/>
        <v>1</v>
      </c>
      <c r="N331" s="631"/>
      <c r="O331" s="21">
        <f t="shared" si="54"/>
        <v>1</v>
      </c>
      <c r="P331" s="631"/>
      <c r="Q331" s="21">
        <f t="shared" si="55"/>
        <v>0</v>
      </c>
      <c r="R331" s="21">
        <f t="shared" si="56"/>
        <v>0</v>
      </c>
      <c r="S331" s="308">
        <f t="shared" si="47"/>
        <v>0</v>
      </c>
    </row>
    <row r="332" spans="1:19">
      <c r="A332" s="142"/>
      <c r="B332" s="52"/>
      <c r="C332" s="21">
        <f t="shared" si="48"/>
        <v>1</v>
      </c>
      <c r="D332" s="631"/>
      <c r="E332" s="21">
        <f t="shared" si="49"/>
        <v>0.02</v>
      </c>
      <c r="F332" s="631"/>
      <c r="G332" s="21">
        <f t="shared" si="50"/>
        <v>1</v>
      </c>
      <c r="H332" s="631"/>
      <c r="I332" s="21">
        <f t="shared" si="51"/>
        <v>1</v>
      </c>
      <c r="J332" s="631"/>
      <c r="K332" s="21">
        <f t="shared" si="52"/>
        <v>1</v>
      </c>
      <c r="L332" s="631"/>
      <c r="M332" s="21">
        <f t="shared" si="53"/>
        <v>1</v>
      </c>
      <c r="N332" s="631"/>
      <c r="O332" s="21">
        <f t="shared" si="54"/>
        <v>1</v>
      </c>
      <c r="P332" s="631"/>
      <c r="Q332" s="21">
        <f t="shared" si="55"/>
        <v>0</v>
      </c>
      <c r="R332" s="21">
        <f t="shared" si="56"/>
        <v>0</v>
      </c>
      <c r="S332" s="308">
        <f t="shared" si="47"/>
        <v>0</v>
      </c>
    </row>
    <row r="333" spans="1:19">
      <c r="A333" s="142"/>
      <c r="B333" s="52"/>
      <c r="C333" s="21">
        <f t="shared" si="48"/>
        <v>1</v>
      </c>
      <c r="D333" s="631"/>
      <c r="E333" s="21">
        <f t="shared" si="49"/>
        <v>0.02</v>
      </c>
      <c r="F333" s="631"/>
      <c r="G333" s="21">
        <f t="shared" si="50"/>
        <v>1</v>
      </c>
      <c r="H333" s="631"/>
      <c r="I333" s="21">
        <f t="shared" si="51"/>
        <v>1</v>
      </c>
      <c r="J333" s="631"/>
      <c r="K333" s="21">
        <f t="shared" si="52"/>
        <v>1</v>
      </c>
      <c r="L333" s="631"/>
      <c r="M333" s="21">
        <f t="shared" si="53"/>
        <v>1</v>
      </c>
      <c r="N333" s="631"/>
      <c r="O333" s="21">
        <f t="shared" si="54"/>
        <v>1</v>
      </c>
      <c r="P333" s="631"/>
      <c r="Q333" s="21">
        <f t="shared" si="55"/>
        <v>0</v>
      </c>
      <c r="R333" s="21">
        <f t="shared" si="56"/>
        <v>0</v>
      </c>
      <c r="S333" s="308">
        <f t="shared" si="47"/>
        <v>0</v>
      </c>
    </row>
    <row r="334" spans="1:19">
      <c r="A334" s="142"/>
      <c r="B334" s="52"/>
      <c r="C334" s="21">
        <f t="shared" si="48"/>
        <v>1</v>
      </c>
      <c r="D334" s="631"/>
      <c r="E334" s="21">
        <f t="shared" si="49"/>
        <v>0.02</v>
      </c>
      <c r="F334" s="631"/>
      <c r="G334" s="21">
        <f t="shared" si="50"/>
        <v>1</v>
      </c>
      <c r="H334" s="631"/>
      <c r="I334" s="21">
        <f t="shared" si="51"/>
        <v>1</v>
      </c>
      <c r="J334" s="631"/>
      <c r="K334" s="21">
        <f t="shared" si="52"/>
        <v>1</v>
      </c>
      <c r="L334" s="631"/>
      <c r="M334" s="21">
        <f t="shared" si="53"/>
        <v>1</v>
      </c>
      <c r="N334" s="631"/>
      <c r="O334" s="21">
        <f t="shared" si="54"/>
        <v>1</v>
      </c>
      <c r="P334" s="631"/>
      <c r="Q334" s="21">
        <f t="shared" si="55"/>
        <v>0</v>
      </c>
      <c r="R334" s="21">
        <f t="shared" si="56"/>
        <v>0</v>
      </c>
      <c r="S334" s="308">
        <f t="shared" si="47"/>
        <v>0</v>
      </c>
    </row>
    <row r="335" spans="1:19">
      <c r="A335" s="142"/>
      <c r="B335" s="52"/>
      <c r="C335" s="21">
        <f t="shared" si="48"/>
        <v>1</v>
      </c>
      <c r="D335" s="631"/>
      <c r="E335" s="21">
        <f t="shared" si="49"/>
        <v>0.02</v>
      </c>
      <c r="F335" s="631"/>
      <c r="G335" s="21">
        <f t="shared" si="50"/>
        <v>1</v>
      </c>
      <c r="H335" s="631"/>
      <c r="I335" s="21">
        <f t="shared" si="51"/>
        <v>1</v>
      </c>
      <c r="J335" s="631"/>
      <c r="K335" s="21">
        <f t="shared" si="52"/>
        <v>1</v>
      </c>
      <c r="L335" s="631"/>
      <c r="M335" s="21">
        <f t="shared" si="53"/>
        <v>1</v>
      </c>
      <c r="N335" s="631"/>
      <c r="O335" s="21">
        <f t="shared" si="54"/>
        <v>1</v>
      </c>
      <c r="P335" s="631"/>
      <c r="Q335" s="21">
        <f t="shared" si="55"/>
        <v>0</v>
      </c>
      <c r="R335" s="21">
        <f t="shared" si="56"/>
        <v>0</v>
      </c>
      <c r="S335" s="308">
        <f t="shared" si="47"/>
        <v>0</v>
      </c>
    </row>
    <row r="336" spans="1:19">
      <c r="A336" s="142"/>
      <c r="B336" s="52"/>
      <c r="C336" s="21">
        <f t="shared" si="48"/>
        <v>1</v>
      </c>
      <c r="D336" s="631"/>
      <c r="E336" s="21">
        <f t="shared" si="49"/>
        <v>0.02</v>
      </c>
      <c r="F336" s="631"/>
      <c r="G336" s="21">
        <f t="shared" si="50"/>
        <v>1</v>
      </c>
      <c r="H336" s="631"/>
      <c r="I336" s="21">
        <f t="shared" si="51"/>
        <v>1</v>
      </c>
      <c r="J336" s="631"/>
      <c r="K336" s="21">
        <f t="shared" si="52"/>
        <v>1</v>
      </c>
      <c r="L336" s="631"/>
      <c r="M336" s="21">
        <f t="shared" si="53"/>
        <v>1</v>
      </c>
      <c r="N336" s="631"/>
      <c r="O336" s="21">
        <f t="shared" si="54"/>
        <v>1</v>
      </c>
      <c r="P336" s="631"/>
      <c r="Q336" s="21">
        <f t="shared" si="55"/>
        <v>0</v>
      </c>
      <c r="R336" s="21">
        <f t="shared" si="56"/>
        <v>0</v>
      </c>
      <c r="S336" s="308">
        <f t="shared" si="47"/>
        <v>0</v>
      </c>
    </row>
    <row r="337" spans="1:19">
      <c r="A337" s="142"/>
      <c r="B337" s="52"/>
      <c r="C337" s="21">
        <f t="shared" si="48"/>
        <v>1</v>
      </c>
      <c r="D337" s="631"/>
      <c r="E337" s="21">
        <f t="shared" si="49"/>
        <v>0.02</v>
      </c>
      <c r="F337" s="631"/>
      <c r="G337" s="21">
        <f t="shared" si="50"/>
        <v>1</v>
      </c>
      <c r="H337" s="631"/>
      <c r="I337" s="21">
        <f t="shared" si="51"/>
        <v>1</v>
      </c>
      <c r="J337" s="631"/>
      <c r="K337" s="21">
        <f t="shared" si="52"/>
        <v>1</v>
      </c>
      <c r="L337" s="631"/>
      <c r="M337" s="21">
        <f t="shared" si="53"/>
        <v>1</v>
      </c>
      <c r="N337" s="631"/>
      <c r="O337" s="21">
        <f t="shared" si="54"/>
        <v>1</v>
      </c>
      <c r="P337" s="631"/>
      <c r="Q337" s="21">
        <f t="shared" si="55"/>
        <v>0</v>
      </c>
      <c r="R337" s="21">
        <f t="shared" si="56"/>
        <v>0</v>
      </c>
      <c r="S337" s="308">
        <f t="shared" si="47"/>
        <v>0</v>
      </c>
    </row>
    <row r="338" spans="1:19">
      <c r="A338" s="142"/>
      <c r="B338" s="52"/>
      <c r="C338" s="21">
        <f t="shared" si="48"/>
        <v>1</v>
      </c>
      <c r="D338" s="631"/>
      <c r="E338" s="21">
        <f t="shared" si="49"/>
        <v>0.02</v>
      </c>
      <c r="F338" s="631"/>
      <c r="G338" s="21">
        <f t="shared" si="50"/>
        <v>1</v>
      </c>
      <c r="H338" s="631"/>
      <c r="I338" s="21">
        <f t="shared" si="51"/>
        <v>1</v>
      </c>
      <c r="J338" s="631"/>
      <c r="K338" s="21">
        <f t="shared" si="52"/>
        <v>1</v>
      </c>
      <c r="L338" s="631"/>
      <c r="M338" s="21">
        <f t="shared" si="53"/>
        <v>1</v>
      </c>
      <c r="N338" s="631"/>
      <c r="O338" s="21">
        <f t="shared" si="54"/>
        <v>1</v>
      </c>
      <c r="P338" s="631"/>
      <c r="Q338" s="21">
        <f t="shared" si="55"/>
        <v>0</v>
      </c>
      <c r="R338" s="21">
        <f t="shared" si="56"/>
        <v>0</v>
      </c>
      <c r="S338" s="308">
        <f t="shared" si="47"/>
        <v>0</v>
      </c>
    </row>
    <row r="339" spans="1:19">
      <c r="A339" s="142"/>
      <c r="B339" s="52"/>
      <c r="C339" s="21">
        <f t="shared" si="48"/>
        <v>1</v>
      </c>
      <c r="D339" s="631"/>
      <c r="E339" s="21">
        <f t="shared" si="49"/>
        <v>0.02</v>
      </c>
      <c r="F339" s="631"/>
      <c r="G339" s="21">
        <f t="shared" si="50"/>
        <v>1</v>
      </c>
      <c r="H339" s="631"/>
      <c r="I339" s="21">
        <f t="shared" si="51"/>
        <v>1</v>
      </c>
      <c r="J339" s="631"/>
      <c r="K339" s="21">
        <f t="shared" si="52"/>
        <v>1</v>
      </c>
      <c r="L339" s="631"/>
      <c r="M339" s="21">
        <f t="shared" si="53"/>
        <v>1</v>
      </c>
      <c r="N339" s="631"/>
      <c r="O339" s="21">
        <f t="shared" si="54"/>
        <v>1</v>
      </c>
      <c r="P339" s="631"/>
      <c r="Q339" s="21">
        <f t="shared" si="55"/>
        <v>0</v>
      </c>
      <c r="R339" s="21">
        <f t="shared" si="56"/>
        <v>0</v>
      </c>
      <c r="S339" s="308">
        <f t="shared" si="47"/>
        <v>0</v>
      </c>
    </row>
    <row r="340" spans="1:19">
      <c r="A340" s="142"/>
      <c r="B340" s="52"/>
      <c r="C340" s="21">
        <f t="shared" si="48"/>
        <v>1</v>
      </c>
      <c r="D340" s="631"/>
      <c r="E340" s="21">
        <f t="shared" si="49"/>
        <v>0.02</v>
      </c>
      <c r="F340" s="631"/>
      <c r="G340" s="21">
        <f t="shared" si="50"/>
        <v>1</v>
      </c>
      <c r="H340" s="631"/>
      <c r="I340" s="21">
        <f t="shared" si="51"/>
        <v>1</v>
      </c>
      <c r="J340" s="631"/>
      <c r="K340" s="21">
        <f t="shared" si="52"/>
        <v>1</v>
      </c>
      <c r="L340" s="631"/>
      <c r="M340" s="21">
        <f t="shared" si="53"/>
        <v>1</v>
      </c>
      <c r="N340" s="631"/>
      <c r="O340" s="21">
        <f t="shared" si="54"/>
        <v>1</v>
      </c>
      <c r="P340" s="631"/>
      <c r="Q340" s="21">
        <f t="shared" si="55"/>
        <v>0</v>
      </c>
      <c r="R340" s="21">
        <f t="shared" si="56"/>
        <v>0</v>
      </c>
      <c r="S340" s="308">
        <f t="shared" si="47"/>
        <v>0</v>
      </c>
    </row>
    <row r="341" spans="1:19">
      <c r="A341" s="142"/>
      <c r="B341" s="52"/>
      <c r="C341" s="21">
        <f t="shared" si="48"/>
        <v>1</v>
      </c>
      <c r="D341" s="631"/>
      <c r="E341" s="21">
        <f t="shared" si="49"/>
        <v>0.02</v>
      </c>
      <c r="F341" s="631"/>
      <c r="G341" s="21">
        <f t="shared" si="50"/>
        <v>1</v>
      </c>
      <c r="H341" s="631"/>
      <c r="I341" s="21">
        <f t="shared" si="51"/>
        <v>1</v>
      </c>
      <c r="J341" s="631"/>
      <c r="K341" s="21">
        <f t="shared" si="52"/>
        <v>1</v>
      </c>
      <c r="L341" s="631"/>
      <c r="M341" s="21">
        <f t="shared" si="53"/>
        <v>1</v>
      </c>
      <c r="N341" s="631"/>
      <c r="O341" s="21">
        <f t="shared" si="54"/>
        <v>1</v>
      </c>
      <c r="P341" s="631"/>
      <c r="Q341" s="21">
        <f t="shared" si="55"/>
        <v>0</v>
      </c>
      <c r="R341" s="21">
        <f t="shared" si="56"/>
        <v>0</v>
      </c>
      <c r="S341" s="308">
        <f t="shared" si="47"/>
        <v>0</v>
      </c>
    </row>
    <row r="342" spans="1:19">
      <c r="A342" s="142"/>
      <c r="B342" s="52"/>
      <c r="C342" s="21">
        <f t="shared" si="48"/>
        <v>1</v>
      </c>
      <c r="D342" s="631"/>
      <c r="E342" s="21">
        <f t="shared" si="49"/>
        <v>0.02</v>
      </c>
      <c r="F342" s="631"/>
      <c r="G342" s="21">
        <f t="shared" si="50"/>
        <v>1</v>
      </c>
      <c r="H342" s="631"/>
      <c r="I342" s="21">
        <f t="shared" si="51"/>
        <v>1</v>
      </c>
      <c r="J342" s="631"/>
      <c r="K342" s="21">
        <f t="shared" si="52"/>
        <v>1</v>
      </c>
      <c r="L342" s="631"/>
      <c r="M342" s="21">
        <f t="shared" si="53"/>
        <v>1</v>
      </c>
      <c r="N342" s="631"/>
      <c r="O342" s="21">
        <f t="shared" si="54"/>
        <v>1</v>
      </c>
      <c r="P342" s="631"/>
      <c r="Q342" s="21">
        <f t="shared" si="55"/>
        <v>0</v>
      </c>
      <c r="R342" s="21">
        <f t="shared" si="56"/>
        <v>0</v>
      </c>
      <c r="S342" s="308">
        <f t="shared" si="47"/>
        <v>0</v>
      </c>
    </row>
    <row r="343" spans="1:19">
      <c r="A343" s="142"/>
      <c r="B343" s="52"/>
      <c r="C343" s="21">
        <f t="shared" si="48"/>
        <v>1</v>
      </c>
      <c r="D343" s="631"/>
      <c r="E343" s="21">
        <f t="shared" si="49"/>
        <v>0.02</v>
      </c>
      <c r="F343" s="631"/>
      <c r="G343" s="21">
        <f t="shared" si="50"/>
        <v>1</v>
      </c>
      <c r="H343" s="631"/>
      <c r="I343" s="21">
        <f t="shared" si="51"/>
        <v>1</v>
      </c>
      <c r="J343" s="631"/>
      <c r="K343" s="21">
        <f t="shared" si="52"/>
        <v>1</v>
      </c>
      <c r="L343" s="631"/>
      <c r="M343" s="21">
        <f t="shared" si="53"/>
        <v>1</v>
      </c>
      <c r="N343" s="631"/>
      <c r="O343" s="21">
        <f t="shared" si="54"/>
        <v>1</v>
      </c>
      <c r="P343" s="631"/>
      <c r="Q343" s="21">
        <f t="shared" si="55"/>
        <v>0</v>
      </c>
      <c r="R343" s="21">
        <f t="shared" si="56"/>
        <v>0</v>
      </c>
      <c r="S343" s="308">
        <f t="shared" si="47"/>
        <v>0</v>
      </c>
    </row>
    <row r="344" spans="1:19">
      <c r="A344" s="142"/>
      <c r="B344" s="52"/>
      <c r="C344" s="21">
        <f t="shared" si="48"/>
        <v>1</v>
      </c>
      <c r="D344" s="631"/>
      <c r="E344" s="21">
        <f t="shared" si="49"/>
        <v>0.02</v>
      </c>
      <c r="F344" s="631"/>
      <c r="G344" s="21">
        <f t="shared" si="50"/>
        <v>1</v>
      </c>
      <c r="H344" s="631"/>
      <c r="I344" s="21">
        <f t="shared" si="51"/>
        <v>1</v>
      </c>
      <c r="J344" s="631"/>
      <c r="K344" s="21">
        <f t="shared" si="52"/>
        <v>1</v>
      </c>
      <c r="L344" s="631"/>
      <c r="M344" s="21">
        <f t="shared" si="53"/>
        <v>1</v>
      </c>
      <c r="N344" s="631"/>
      <c r="O344" s="21">
        <f t="shared" si="54"/>
        <v>1</v>
      </c>
      <c r="P344" s="631"/>
      <c r="Q344" s="21">
        <f t="shared" si="55"/>
        <v>0</v>
      </c>
      <c r="R344" s="21">
        <f t="shared" si="56"/>
        <v>0</v>
      </c>
      <c r="S344" s="308">
        <f t="shared" ref="S344:S407" si="57">ROUND(R344*B344/10000,0)</f>
        <v>0</v>
      </c>
    </row>
    <row r="345" spans="1:19">
      <c r="A345" s="142"/>
      <c r="B345" s="52"/>
      <c r="C345" s="21">
        <f t="shared" si="48"/>
        <v>1</v>
      </c>
      <c r="D345" s="631"/>
      <c r="E345" s="21">
        <f t="shared" si="49"/>
        <v>0.02</v>
      </c>
      <c r="F345" s="631"/>
      <c r="G345" s="21">
        <f t="shared" si="50"/>
        <v>1</v>
      </c>
      <c r="H345" s="631"/>
      <c r="I345" s="21">
        <f t="shared" si="51"/>
        <v>1</v>
      </c>
      <c r="J345" s="631"/>
      <c r="K345" s="21">
        <f t="shared" si="52"/>
        <v>1</v>
      </c>
      <c r="L345" s="631"/>
      <c r="M345" s="21">
        <f t="shared" si="53"/>
        <v>1</v>
      </c>
      <c r="N345" s="631"/>
      <c r="O345" s="21">
        <f t="shared" si="54"/>
        <v>1</v>
      </c>
      <c r="P345" s="631"/>
      <c r="Q345" s="21">
        <f t="shared" si="55"/>
        <v>0</v>
      </c>
      <c r="R345" s="21">
        <f t="shared" si="56"/>
        <v>0</v>
      </c>
      <c r="S345" s="308">
        <f t="shared" si="57"/>
        <v>0</v>
      </c>
    </row>
    <row r="346" spans="1:19">
      <c r="A346" s="142"/>
      <c r="B346" s="52"/>
      <c r="C346" s="21">
        <f t="shared" ref="C346:C409" si="58">IF(B346="",1,(LOOKUP(B346,$3:$3,$4:$4)-LOOKUP($B$24,$3:$3,$4:$4)+100)/100)</f>
        <v>1</v>
      </c>
      <c r="D346" s="631"/>
      <c r="E346" s="21">
        <f t="shared" ref="E346:E409" si="59">(SUMIF($5:$5,D346,$6:$6)-SUMIF($5:$5,$D$24,$6:$6)+100)/100</f>
        <v>0.02</v>
      </c>
      <c r="F346" s="631"/>
      <c r="G346" s="21">
        <f t="shared" ref="G346:G409" si="60">(SUMIF($7:$7,F346,$8:$8)-SUMIF($7:$7,$F$24,$8:$8)+100)/100</f>
        <v>1</v>
      </c>
      <c r="H346" s="631"/>
      <c r="I346" s="21">
        <f t="shared" ref="I346:I409" si="61">(SUMIF($9:$9,H346,$10:$10)-SUMIF($9:$9,$H$24,$10:$10)+100)/100</f>
        <v>1</v>
      </c>
      <c r="J346" s="631"/>
      <c r="K346" s="21">
        <f t="shared" ref="K346:K409" si="62">(SUMIF($11:$11,J346,$12:$12)-SUMIF($11:$11,$J$24,$12:$12)+100)/100</f>
        <v>1</v>
      </c>
      <c r="L346" s="631"/>
      <c r="M346" s="21">
        <f t="shared" ref="M346:M409" si="63">(SUMIF($13:$13,L346,$14:$14)-SUMIF($13:$13,$L$24,$14:$14)+100)/100</f>
        <v>1</v>
      </c>
      <c r="N346" s="631"/>
      <c r="O346" s="21">
        <f t="shared" ref="O346:O409" si="64">(SUMIF($15:$15,N346,$16:$16)-SUMIF($15:$15,$N$24,$16:$16)+100)/100</f>
        <v>1</v>
      </c>
      <c r="P346" s="631"/>
      <c r="Q346" s="21">
        <f t="shared" ref="Q346:Q409" si="65">(SUMIF($17:$17,P346,$18:$18)-SUMIF($17:$17,$P$24,$18:$18)+100)/100</f>
        <v>0</v>
      </c>
      <c r="R346" s="21">
        <f t="shared" si="56"/>
        <v>0</v>
      </c>
      <c r="S346" s="308">
        <f t="shared" si="57"/>
        <v>0</v>
      </c>
    </row>
    <row r="347" spans="1:19">
      <c r="A347" s="142"/>
      <c r="B347" s="52"/>
      <c r="C347" s="21">
        <f t="shared" si="58"/>
        <v>1</v>
      </c>
      <c r="D347" s="631"/>
      <c r="E347" s="21">
        <f t="shared" si="59"/>
        <v>0.02</v>
      </c>
      <c r="F347" s="631"/>
      <c r="G347" s="21">
        <f t="shared" si="60"/>
        <v>1</v>
      </c>
      <c r="H347" s="631"/>
      <c r="I347" s="21">
        <f t="shared" si="61"/>
        <v>1</v>
      </c>
      <c r="J347" s="631"/>
      <c r="K347" s="21">
        <f t="shared" si="62"/>
        <v>1</v>
      </c>
      <c r="L347" s="631"/>
      <c r="M347" s="21">
        <f t="shared" si="63"/>
        <v>1</v>
      </c>
      <c r="N347" s="631"/>
      <c r="O347" s="21">
        <f t="shared" si="64"/>
        <v>1</v>
      </c>
      <c r="P347" s="631"/>
      <c r="Q347" s="21">
        <f t="shared" si="65"/>
        <v>0</v>
      </c>
      <c r="R347" s="21">
        <f t="shared" si="56"/>
        <v>0</v>
      </c>
      <c r="S347" s="308">
        <f t="shared" si="57"/>
        <v>0</v>
      </c>
    </row>
    <row r="348" spans="1:19">
      <c r="A348" s="142"/>
      <c r="B348" s="52"/>
      <c r="C348" s="21">
        <f t="shared" si="58"/>
        <v>1</v>
      </c>
      <c r="D348" s="631"/>
      <c r="E348" s="21">
        <f t="shared" si="59"/>
        <v>0.02</v>
      </c>
      <c r="F348" s="631"/>
      <c r="G348" s="21">
        <f t="shared" si="60"/>
        <v>1</v>
      </c>
      <c r="H348" s="631"/>
      <c r="I348" s="21">
        <f t="shared" si="61"/>
        <v>1</v>
      </c>
      <c r="J348" s="631"/>
      <c r="K348" s="21">
        <f t="shared" si="62"/>
        <v>1</v>
      </c>
      <c r="L348" s="631"/>
      <c r="M348" s="21">
        <f t="shared" si="63"/>
        <v>1</v>
      </c>
      <c r="N348" s="631"/>
      <c r="O348" s="21">
        <f t="shared" si="64"/>
        <v>1</v>
      </c>
      <c r="P348" s="631"/>
      <c r="Q348" s="21">
        <f t="shared" si="65"/>
        <v>0</v>
      </c>
      <c r="R348" s="21">
        <f t="shared" si="56"/>
        <v>0</v>
      </c>
      <c r="S348" s="308">
        <f t="shared" si="57"/>
        <v>0</v>
      </c>
    </row>
    <row r="349" spans="1:19">
      <c r="A349" s="142"/>
      <c r="B349" s="52"/>
      <c r="C349" s="21">
        <f t="shared" si="58"/>
        <v>1</v>
      </c>
      <c r="D349" s="631"/>
      <c r="E349" s="21">
        <f t="shared" si="59"/>
        <v>0.02</v>
      </c>
      <c r="F349" s="631"/>
      <c r="G349" s="21">
        <f t="shared" si="60"/>
        <v>1</v>
      </c>
      <c r="H349" s="631"/>
      <c r="I349" s="21">
        <f t="shared" si="61"/>
        <v>1</v>
      </c>
      <c r="J349" s="631"/>
      <c r="K349" s="21">
        <f t="shared" si="62"/>
        <v>1</v>
      </c>
      <c r="L349" s="631"/>
      <c r="M349" s="21">
        <f t="shared" si="63"/>
        <v>1</v>
      </c>
      <c r="N349" s="631"/>
      <c r="O349" s="21">
        <f t="shared" si="64"/>
        <v>1</v>
      </c>
      <c r="P349" s="631"/>
      <c r="Q349" s="21">
        <f t="shared" si="65"/>
        <v>0</v>
      </c>
      <c r="R349" s="21">
        <f t="shared" si="56"/>
        <v>0</v>
      </c>
      <c r="S349" s="308">
        <f t="shared" si="57"/>
        <v>0</v>
      </c>
    </row>
    <row r="350" spans="1:19">
      <c r="A350" s="142"/>
      <c r="B350" s="52"/>
      <c r="C350" s="21">
        <f t="shared" si="58"/>
        <v>1</v>
      </c>
      <c r="D350" s="631"/>
      <c r="E350" s="21">
        <f t="shared" si="59"/>
        <v>0.02</v>
      </c>
      <c r="F350" s="631"/>
      <c r="G350" s="21">
        <f t="shared" si="60"/>
        <v>1</v>
      </c>
      <c r="H350" s="631"/>
      <c r="I350" s="21">
        <f t="shared" si="61"/>
        <v>1</v>
      </c>
      <c r="J350" s="631"/>
      <c r="K350" s="21">
        <f t="shared" si="62"/>
        <v>1</v>
      </c>
      <c r="L350" s="631"/>
      <c r="M350" s="21">
        <f t="shared" si="63"/>
        <v>1</v>
      </c>
      <c r="N350" s="631"/>
      <c r="O350" s="21">
        <f t="shared" si="64"/>
        <v>1</v>
      </c>
      <c r="P350" s="631"/>
      <c r="Q350" s="21">
        <f t="shared" si="65"/>
        <v>0</v>
      </c>
      <c r="R350" s="21">
        <f t="shared" si="56"/>
        <v>0</v>
      </c>
      <c r="S350" s="308">
        <f t="shared" si="57"/>
        <v>0</v>
      </c>
    </row>
    <row r="351" spans="1:19">
      <c r="A351" s="142"/>
      <c r="B351" s="52"/>
      <c r="C351" s="21">
        <f t="shared" si="58"/>
        <v>1</v>
      </c>
      <c r="D351" s="631"/>
      <c r="E351" s="21">
        <f t="shared" si="59"/>
        <v>0.02</v>
      </c>
      <c r="F351" s="631"/>
      <c r="G351" s="21">
        <f t="shared" si="60"/>
        <v>1</v>
      </c>
      <c r="H351" s="631"/>
      <c r="I351" s="21">
        <f t="shared" si="61"/>
        <v>1</v>
      </c>
      <c r="J351" s="631"/>
      <c r="K351" s="21">
        <f t="shared" si="62"/>
        <v>1</v>
      </c>
      <c r="L351" s="631"/>
      <c r="M351" s="21">
        <f t="shared" si="63"/>
        <v>1</v>
      </c>
      <c r="N351" s="631"/>
      <c r="O351" s="21">
        <f t="shared" si="64"/>
        <v>1</v>
      </c>
      <c r="P351" s="631"/>
      <c r="Q351" s="21">
        <f t="shared" si="65"/>
        <v>0</v>
      </c>
      <c r="R351" s="21">
        <f t="shared" si="56"/>
        <v>0</v>
      </c>
      <c r="S351" s="308">
        <f t="shared" si="57"/>
        <v>0</v>
      </c>
    </row>
    <row r="352" spans="1:19">
      <c r="A352" s="142"/>
      <c r="B352" s="52"/>
      <c r="C352" s="21">
        <f t="shared" si="58"/>
        <v>1</v>
      </c>
      <c r="D352" s="631"/>
      <c r="E352" s="21">
        <f t="shared" si="59"/>
        <v>0.02</v>
      </c>
      <c r="F352" s="631"/>
      <c r="G352" s="21">
        <f t="shared" si="60"/>
        <v>1</v>
      </c>
      <c r="H352" s="631"/>
      <c r="I352" s="21">
        <f t="shared" si="61"/>
        <v>1</v>
      </c>
      <c r="J352" s="631"/>
      <c r="K352" s="21">
        <f t="shared" si="62"/>
        <v>1</v>
      </c>
      <c r="L352" s="631"/>
      <c r="M352" s="21">
        <f t="shared" si="63"/>
        <v>1</v>
      </c>
      <c r="N352" s="631"/>
      <c r="O352" s="21">
        <f t="shared" si="64"/>
        <v>1</v>
      </c>
      <c r="P352" s="631"/>
      <c r="Q352" s="21">
        <f t="shared" si="65"/>
        <v>0</v>
      </c>
      <c r="R352" s="21">
        <f t="shared" si="56"/>
        <v>0</v>
      </c>
      <c r="S352" s="308">
        <f t="shared" si="57"/>
        <v>0</v>
      </c>
    </row>
    <row r="353" spans="1:19">
      <c r="A353" s="142"/>
      <c r="B353" s="52"/>
      <c r="C353" s="21">
        <f t="shared" si="58"/>
        <v>1</v>
      </c>
      <c r="D353" s="631"/>
      <c r="E353" s="21">
        <f t="shared" si="59"/>
        <v>0.02</v>
      </c>
      <c r="F353" s="631"/>
      <c r="G353" s="21">
        <f t="shared" si="60"/>
        <v>1</v>
      </c>
      <c r="H353" s="631"/>
      <c r="I353" s="21">
        <f t="shared" si="61"/>
        <v>1</v>
      </c>
      <c r="J353" s="631"/>
      <c r="K353" s="21">
        <f t="shared" si="62"/>
        <v>1</v>
      </c>
      <c r="L353" s="631"/>
      <c r="M353" s="21">
        <f t="shared" si="63"/>
        <v>1</v>
      </c>
      <c r="N353" s="631"/>
      <c r="O353" s="21">
        <f t="shared" si="64"/>
        <v>1</v>
      </c>
      <c r="P353" s="631"/>
      <c r="Q353" s="21">
        <f t="shared" si="65"/>
        <v>0</v>
      </c>
      <c r="R353" s="21">
        <f t="shared" si="56"/>
        <v>0</v>
      </c>
      <c r="S353" s="308">
        <f t="shared" si="57"/>
        <v>0</v>
      </c>
    </row>
    <row r="354" spans="1:19">
      <c r="A354" s="142"/>
      <c r="B354" s="52"/>
      <c r="C354" s="21">
        <f t="shared" si="58"/>
        <v>1</v>
      </c>
      <c r="D354" s="631"/>
      <c r="E354" s="21">
        <f t="shared" si="59"/>
        <v>0.02</v>
      </c>
      <c r="F354" s="631"/>
      <c r="G354" s="21">
        <f t="shared" si="60"/>
        <v>1</v>
      </c>
      <c r="H354" s="631"/>
      <c r="I354" s="21">
        <f t="shared" si="61"/>
        <v>1</v>
      </c>
      <c r="J354" s="631"/>
      <c r="K354" s="21">
        <f t="shared" si="62"/>
        <v>1</v>
      </c>
      <c r="L354" s="631"/>
      <c r="M354" s="21">
        <f t="shared" si="63"/>
        <v>1</v>
      </c>
      <c r="N354" s="631"/>
      <c r="O354" s="21">
        <f t="shared" si="64"/>
        <v>1</v>
      </c>
      <c r="P354" s="631"/>
      <c r="Q354" s="21">
        <f t="shared" si="65"/>
        <v>0</v>
      </c>
      <c r="R354" s="21">
        <f t="shared" si="56"/>
        <v>0</v>
      </c>
      <c r="S354" s="308">
        <f t="shared" si="57"/>
        <v>0</v>
      </c>
    </row>
    <row r="355" spans="1:19">
      <c r="A355" s="142"/>
      <c r="B355" s="52"/>
      <c r="C355" s="21">
        <f t="shared" si="58"/>
        <v>1</v>
      </c>
      <c r="D355" s="631"/>
      <c r="E355" s="21">
        <f t="shared" si="59"/>
        <v>0.02</v>
      </c>
      <c r="F355" s="631"/>
      <c r="G355" s="21">
        <f t="shared" si="60"/>
        <v>1</v>
      </c>
      <c r="H355" s="631"/>
      <c r="I355" s="21">
        <f t="shared" si="61"/>
        <v>1</v>
      </c>
      <c r="J355" s="631"/>
      <c r="K355" s="21">
        <f t="shared" si="62"/>
        <v>1</v>
      </c>
      <c r="L355" s="631"/>
      <c r="M355" s="21">
        <f t="shared" si="63"/>
        <v>1</v>
      </c>
      <c r="N355" s="631"/>
      <c r="O355" s="21">
        <f t="shared" si="64"/>
        <v>1</v>
      </c>
      <c r="P355" s="631"/>
      <c r="Q355" s="21">
        <f t="shared" si="65"/>
        <v>0</v>
      </c>
      <c r="R355" s="21">
        <f t="shared" si="56"/>
        <v>0</v>
      </c>
      <c r="S355" s="308">
        <f t="shared" si="57"/>
        <v>0</v>
      </c>
    </row>
    <row r="356" spans="1:19">
      <c r="A356" s="142"/>
      <c r="B356" s="52"/>
      <c r="C356" s="21">
        <f t="shared" si="58"/>
        <v>1</v>
      </c>
      <c r="D356" s="631"/>
      <c r="E356" s="21">
        <f t="shared" si="59"/>
        <v>0.02</v>
      </c>
      <c r="F356" s="631"/>
      <c r="G356" s="21">
        <f t="shared" si="60"/>
        <v>1</v>
      </c>
      <c r="H356" s="631"/>
      <c r="I356" s="21">
        <f t="shared" si="61"/>
        <v>1</v>
      </c>
      <c r="J356" s="631"/>
      <c r="K356" s="21">
        <f t="shared" si="62"/>
        <v>1</v>
      </c>
      <c r="L356" s="631"/>
      <c r="M356" s="21">
        <f t="shared" si="63"/>
        <v>1</v>
      </c>
      <c r="N356" s="631"/>
      <c r="O356" s="21">
        <f t="shared" si="64"/>
        <v>1</v>
      </c>
      <c r="P356" s="631"/>
      <c r="Q356" s="21">
        <f t="shared" si="65"/>
        <v>0</v>
      </c>
      <c r="R356" s="21">
        <f t="shared" si="56"/>
        <v>0</v>
      </c>
      <c r="S356" s="308">
        <f t="shared" si="57"/>
        <v>0</v>
      </c>
    </row>
    <row r="357" spans="1:19">
      <c r="A357" s="142"/>
      <c r="B357" s="52"/>
      <c r="C357" s="21">
        <f t="shared" si="58"/>
        <v>1</v>
      </c>
      <c r="D357" s="631"/>
      <c r="E357" s="21">
        <f t="shared" si="59"/>
        <v>0.02</v>
      </c>
      <c r="F357" s="631"/>
      <c r="G357" s="21">
        <f t="shared" si="60"/>
        <v>1</v>
      </c>
      <c r="H357" s="631"/>
      <c r="I357" s="21">
        <f t="shared" si="61"/>
        <v>1</v>
      </c>
      <c r="J357" s="631"/>
      <c r="K357" s="21">
        <f t="shared" si="62"/>
        <v>1</v>
      </c>
      <c r="L357" s="631"/>
      <c r="M357" s="21">
        <f t="shared" si="63"/>
        <v>1</v>
      </c>
      <c r="N357" s="631"/>
      <c r="O357" s="21">
        <f t="shared" si="64"/>
        <v>1</v>
      </c>
      <c r="P357" s="631"/>
      <c r="Q357" s="21">
        <f t="shared" si="65"/>
        <v>0</v>
      </c>
      <c r="R357" s="21">
        <f t="shared" si="56"/>
        <v>0</v>
      </c>
      <c r="S357" s="308">
        <f t="shared" si="57"/>
        <v>0</v>
      </c>
    </row>
    <row r="358" spans="1:19">
      <c r="A358" s="142"/>
      <c r="B358" s="52"/>
      <c r="C358" s="21">
        <f t="shared" si="58"/>
        <v>1</v>
      </c>
      <c r="D358" s="631"/>
      <c r="E358" s="21">
        <f t="shared" si="59"/>
        <v>0.02</v>
      </c>
      <c r="F358" s="631"/>
      <c r="G358" s="21">
        <f t="shared" si="60"/>
        <v>1</v>
      </c>
      <c r="H358" s="631"/>
      <c r="I358" s="21">
        <f t="shared" si="61"/>
        <v>1</v>
      </c>
      <c r="J358" s="631"/>
      <c r="K358" s="21">
        <f t="shared" si="62"/>
        <v>1</v>
      </c>
      <c r="L358" s="631"/>
      <c r="M358" s="21">
        <f t="shared" si="63"/>
        <v>1</v>
      </c>
      <c r="N358" s="631"/>
      <c r="O358" s="21">
        <f t="shared" si="64"/>
        <v>1</v>
      </c>
      <c r="P358" s="631"/>
      <c r="Q358" s="21">
        <f t="shared" si="65"/>
        <v>0</v>
      </c>
      <c r="R358" s="21">
        <f t="shared" ref="R358:R421" si="66">IF(B358="",0,ROUND($R$24*C358*E358*G358*I358*K358*M358*O358*Q358,0))</f>
        <v>0</v>
      </c>
      <c r="S358" s="308">
        <f t="shared" si="57"/>
        <v>0</v>
      </c>
    </row>
    <row r="359" spans="1:19">
      <c r="A359" s="142"/>
      <c r="B359" s="52"/>
      <c r="C359" s="21">
        <f t="shared" si="58"/>
        <v>1</v>
      </c>
      <c r="D359" s="631"/>
      <c r="E359" s="21">
        <f t="shared" si="59"/>
        <v>0.02</v>
      </c>
      <c r="F359" s="631"/>
      <c r="G359" s="21">
        <f t="shared" si="60"/>
        <v>1</v>
      </c>
      <c r="H359" s="631"/>
      <c r="I359" s="21">
        <f t="shared" si="61"/>
        <v>1</v>
      </c>
      <c r="J359" s="631"/>
      <c r="K359" s="21">
        <f t="shared" si="62"/>
        <v>1</v>
      </c>
      <c r="L359" s="631"/>
      <c r="M359" s="21">
        <f t="shared" si="63"/>
        <v>1</v>
      </c>
      <c r="N359" s="631"/>
      <c r="O359" s="21">
        <f t="shared" si="64"/>
        <v>1</v>
      </c>
      <c r="P359" s="631"/>
      <c r="Q359" s="21">
        <f t="shared" si="65"/>
        <v>0</v>
      </c>
      <c r="R359" s="21">
        <f t="shared" si="66"/>
        <v>0</v>
      </c>
      <c r="S359" s="308">
        <f t="shared" si="57"/>
        <v>0</v>
      </c>
    </row>
    <row r="360" spans="1:19">
      <c r="A360" s="142"/>
      <c r="B360" s="52"/>
      <c r="C360" s="21">
        <f t="shared" si="58"/>
        <v>1</v>
      </c>
      <c r="D360" s="631"/>
      <c r="E360" s="21">
        <f t="shared" si="59"/>
        <v>0.02</v>
      </c>
      <c r="F360" s="631"/>
      <c r="G360" s="21">
        <f t="shared" si="60"/>
        <v>1</v>
      </c>
      <c r="H360" s="631"/>
      <c r="I360" s="21">
        <f t="shared" si="61"/>
        <v>1</v>
      </c>
      <c r="J360" s="631"/>
      <c r="K360" s="21">
        <f t="shared" si="62"/>
        <v>1</v>
      </c>
      <c r="L360" s="631"/>
      <c r="M360" s="21">
        <f t="shared" si="63"/>
        <v>1</v>
      </c>
      <c r="N360" s="631"/>
      <c r="O360" s="21">
        <f t="shared" si="64"/>
        <v>1</v>
      </c>
      <c r="P360" s="631"/>
      <c r="Q360" s="21">
        <f t="shared" si="65"/>
        <v>0</v>
      </c>
      <c r="R360" s="21">
        <f t="shared" si="66"/>
        <v>0</v>
      </c>
      <c r="S360" s="308">
        <f t="shared" si="57"/>
        <v>0</v>
      </c>
    </row>
    <row r="361" spans="1:19">
      <c r="A361" s="142"/>
      <c r="B361" s="52"/>
      <c r="C361" s="21">
        <f t="shared" si="58"/>
        <v>1</v>
      </c>
      <c r="D361" s="631"/>
      <c r="E361" s="21">
        <f t="shared" si="59"/>
        <v>0.02</v>
      </c>
      <c r="F361" s="631"/>
      <c r="G361" s="21">
        <f t="shared" si="60"/>
        <v>1</v>
      </c>
      <c r="H361" s="631"/>
      <c r="I361" s="21">
        <f t="shared" si="61"/>
        <v>1</v>
      </c>
      <c r="J361" s="631"/>
      <c r="K361" s="21">
        <f t="shared" si="62"/>
        <v>1</v>
      </c>
      <c r="L361" s="631"/>
      <c r="M361" s="21">
        <f t="shared" si="63"/>
        <v>1</v>
      </c>
      <c r="N361" s="631"/>
      <c r="O361" s="21">
        <f t="shared" si="64"/>
        <v>1</v>
      </c>
      <c r="P361" s="631"/>
      <c r="Q361" s="21">
        <f t="shared" si="65"/>
        <v>0</v>
      </c>
      <c r="R361" s="21">
        <f t="shared" si="66"/>
        <v>0</v>
      </c>
      <c r="S361" s="308">
        <f t="shared" si="57"/>
        <v>0</v>
      </c>
    </row>
    <row r="362" spans="1:19">
      <c r="A362" s="142"/>
      <c r="B362" s="52"/>
      <c r="C362" s="21">
        <f t="shared" si="58"/>
        <v>1</v>
      </c>
      <c r="D362" s="631"/>
      <c r="E362" s="21">
        <f t="shared" si="59"/>
        <v>0.02</v>
      </c>
      <c r="F362" s="631"/>
      <c r="G362" s="21">
        <f t="shared" si="60"/>
        <v>1</v>
      </c>
      <c r="H362" s="631"/>
      <c r="I362" s="21">
        <f t="shared" si="61"/>
        <v>1</v>
      </c>
      <c r="J362" s="631"/>
      <c r="K362" s="21">
        <f t="shared" si="62"/>
        <v>1</v>
      </c>
      <c r="L362" s="631"/>
      <c r="M362" s="21">
        <f t="shared" si="63"/>
        <v>1</v>
      </c>
      <c r="N362" s="631"/>
      <c r="O362" s="21">
        <f t="shared" si="64"/>
        <v>1</v>
      </c>
      <c r="P362" s="631"/>
      <c r="Q362" s="21">
        <f t="shared" si="65"/>
        <v>0</v>
      </c>
      <c r="R362" s="21">
        <f t="shared" si="66"/>
        <v>0</v>
      </c>
      <c r="S362" s="308">
        <f t="shared" si="57"/>
        <v>0</v>
      </c>
    </row>
    <row r="363" spans="1:19">
      <c r="A363" s="142"/>
      <c r="B363" s="52"/>
      <c r="C363" s="21">
        <f t="shared" si="58"/>
        <v>1</v>
      </c>
      <c r="D363" s="631"/>
      <c r="E363" s="21">
        <f t="shared" si="59"/>
        <v>0.02</v>
      </c>
      <c r="F363" s="631"/>
      <c r="G363" s="21">
        <f t="shared" si="60"/>
        <v>1</v>
      </c>
      <c r="H363" s="631"/>
      <c r="I363" s="21">
        <f t="shared" si="61"/>
        <v>1</v>
      </c>
      <c r="J363" s="631"/>
      <c r="K363" s="21">
        <f t="shared" si="62"/>
        <v>1</v>
      </c>
      <c r="L363" s="631"/>
      <c r="M363" s="21">
        <f t="shared" si="63"/>
        <v>1</v>
      </c>
      <c r="N363" s="631"/>
      <c r="O363" s="21">
        <f t="shared" si="64"/>
        <v>1</v>
      </c>
      <c r="P363" s="631"/>
      <c r="Q363" s="21">
        <f t="shared" si="65"/>
        <v>0</v>
      </c>
      <c r="R363" s="21">
        <f t="shared" si="66"/>
        <v>0</v>
      </c>
      <c r="S363" s="308">
        <f t="shared" si="57"/>
        <v>0</v>
      </c>
    </row>
    <row r="364" spans="1:19">
      <c r="A364" s="142"/>
      <c r="B364" s="52"/>
      <c r="C364" s="21">
        <f t="shared" si="58"/>
        <v>1</v>
      </c>
      <c r="D364" s="631"/>
      <c r="E364" s="21">
        <f t="shared" si="59"/>
        <v>0.02</v>
      </c>
      <c r="F364" s="631"/>
      <c r="G364" s="21">
        <f t="shared" si="60"/>
        <v>1</v>
      </c>
      <c r="H364" s="631"/>
      <c r="I364" s="21">
        <f t="shared" si="61"/>
        <v>1</v>
      </c>
      <c r="J364" s="631"/>
      <c r="K364" s="21">
        <f t="shared" si="62"/>
        <v>1</v>
      </c>
      <c r="L364" s="631"/>
      <c r="M364" s="21">
        <f t="shared" si="63"/>
        <v>1</v>
      </c>
      <c r="N364" s="631"/>
      <c r="O364" s="21">
        <f t="shared" si="64"/>
        <v>1</v>
      </c>
      <c r="P364" s="631"/>
      <c r="Q364" s="21">
        <f t="shared" si="65"/>
        <v>0</v>
      </c>
      <c r="R364" s="21">
        <f t="shared" si="66"/>
        <v>0</v>
      </c>
      <c r="S364" s="308">
        <f t="shared" si="57"/>
        <v>0</v>
      </c>
    </row>
    <row r="365" spans="1:19">
      <c r="A365" s="142"/>
      <c r="B365" s="52"/>
      <c r="C365" s="21">
        <f t="shared" si="58"/>
        <v>1</v>
      </c>
      <c r="D365" s="631"/>
      <c r="E365" s="21">
        <f t="shared" si="59"/>
        <v>0.02</v>
      </c>
      <c r="F365" s="631"/>
      <c r="G365" s="21">
        <f t="shared" si="60"/>
        <v>1</v>
      </c>
      <c r="H365" s="631"/>
      <c r="I365" s="21">
        <f t="shared" si="61"/>
        <v>1</v>
      </c>
      <c r="J365" s="631"/>
      <c r="K365" s="21">
        <f t="shared" si="62"/>
        <v>1</v>
      </c>
      <c r="L365" s="631"/>
      <c r="M365" s="21">
        <f t="shared" si="63"/>
        <v>1</v>
      </c>
      <c r="N365" s="631"/>
      <c r="O365" s="21">
        <f t="shared" si="64"/>
        <v>1</v>
      </c>
      <c r="P365" s="631"/>
      <c r="Q365" s="21">
        <f t="shared" si="65"/>
        <v>0</v>
      </c>
      <c r="R365" s="21">
        <f t="shared" si="66"/>
        <v>0</v>
      </c>
      <c r="S365" s="308">
        <f t="shared" si="57"/>
        <v>0</v>
      </c>
    </row>
    <row r="366" spans="1:19">
      <c r="A366" s="142"/>
      <c r="B366" s="52"/>
      <c r="C366" s="21">
        <f t="shared" si="58"/>
        <v>1</v>
      </c>
      <c r="D366" s="631"/>
      <c r="E366" s="21">
        <f t="shared" si="59"/>
        <v>0.02</v>
      </c>
      <c r="F366" s="631"/>
      <c r="G366" s="21">
        <f t="shared" si="60"/>
        <v>1</v>
      </c>
      <c r="H366" s="631"/>
      <c r="I366" s="21">
        <f t="shared" si="61"/>
        <v>1</v>
      </c>
      <c r="J366" s="631"/>
      <c r="K366" s="21">
        <f t="shared" si="62"/>
        <v>1</v>
      </c>
      <c r="L366" s="631"/>
      <c r="M366" s="21">
        <f t="shared" si="63"/>
        <v>1</v>
      </c>
      <c r="N366" s="631"/>
      <c r="O366" s="21">
        <f t="shared" si="64"/>
        <v>1</v>
      </c>
      <c r="P366" s="631"/>
      <c r="Q366" s="21">
        <f t="shared" si="65"/>
        <v>0</v>
      </c>
      <c r="R366" s="21">
        <f t="shared" si="66"/>
        <v>0</v>
      </c>
      <c r="S366" s="308">
        <f t="shared" si="57"/>
        <v>0</v>
      </c>
    </row>
    <row r="367" spans="1:19">
      <c r="A367" s="142"/>
      <c r="B367" s="52"/>
      <c r="C367" s="21">
        <f t="shared" si="58"/>
        <v>1</v>
      </c>
      <c r="D367" s="631"/>
      <c r="E367" s="21">
        <f t="shared" si="59"/>
        <v>0.02</v>
      </c>
      <c r="F367" s="631"/>
      <c r="G367" s="21">
        <f t="shared" si="60"/>
        <v>1</v>
      </c>
      <c r="H367" s="631"/>
      <c r="I367" s="21">
        <f t="shared" si="61"/>
        <v>1</v>
      </c>
      <c r="J367" s="631"/>
      <c r="K367" s="21">
        <f t="shared" si="62"/>
        <v>1</v>
      </c>
      <c r="L367" s="631"/>
      <c r="M367" s="21">
        <f t="shared" si="63"/>
        <v>1</v>
      </c>
      <c r="N367" s="631"/>
      <c r="O367" s="21">
        <f t="shared" si="64"/>
        <v>1</v>
      </c>
      <c r="P367" s="631"/>
      <c r="Q367" s="21">
        <f t="shared" si="65"/>
        <v>0</v>
      </c>
      <c r="R367" s="21">
        <f t="shared" si="66"/>
        <v>0</v>
      </c>
      <c r="S367" s="308">
        <f t="shared" si="57"/>
        <v>0</v>
      </c>
    </row>
    <row r="368" spans="1:19">
      <c r="A368" s="142"/>
      <c r="B368" s="52"/>
      <c r="C368" s="21">
        <f t="shared" si="58"/>
        <v>1</v>
      </c>
      <c r="D368" s="631"/>
      <c r="E368" s="21">
        <f t="shared" si="59"/>
        <v>0.02</v>
      </c>
      <c r="F368" s="631"/>
      <c r="G368" s="21">
        <f t="shared" si="60"/>
        <v>1</v>
      </c>
      <c r="H368" s="631"/>
      <c r="I368" s="21">
        <f t="shared" si="61"/>
        <v>1</v>
      </c>
      <c r="J368" s="631"/>
      <c r="K368" s="21">
        <f t="shared" si="62"/>
        <v>1</v>
      </c>
      <c r="L368" s="631"/>
      <c r="M368" s="21">
        <f t="shared" si="63"/>
        <v>1</v>
      </c>
      <c r="N368" s="631"/>
      <c r="O368" s="21">
        <f t="shared" si="64"/>
        <v>1</v>
      </c>
      <c r="P368" s="631"/>
      <c r="Q368" s="21">
        <f t="shared" si="65"/>
        <v>0</v>
      </c>
      <c r="R368" s="21">
        <f t="shared" si="66"/>
        <v>0</v>
      </c>
      <c r="S368" s="308">
        <f t="shared" si="57"/>
        <v>0</v>
      </c>
    </row>
    <row r="369" spans="1:19">
      <c r="A369" s="142"/>
      <c r="B369" s="52"/>
      <c r="C369" s="21">
        <f t="shared" si="58"/>
        <v>1</v>
      </c>
      <c r="D369" s="631"/>
      <c r="E369" s="21">
        <f t="shared" si="59"/>
        <v>0.02</v>
      </c>
      <c r="F369" s="631"/>
      <c r="G369" s="21">
        <f t="shared" si="60"/>
        <v>1</v>
      </c>
      <c r="H369" s="631"/>
      <c r="I369" s="21">
        <f t="shared" si="61"/>
        <v>1</v>
      </c>
      <c r="J369" s="631"/>
      <c r="K369" s="21">
        <f t="shared" si="62"/>
        <v>1</v>
      </c>
      <c r="L369" s="631"/>
      <c r="M369" s="21">
        <f t="shared" si="63"/>
        <v>1</v>
      </c>
      <c r="N369" s="631"/>
      <c r="O369" s="21">
        <f t="shared" si="64"/>
        <v>1</v>
      </c>
      <c r="P369" s="631"/>
      <c r="Q369" s="21">
        <f t="shared" si="65"/>
        <v>0</v>
      </c>
      <c r="R369" s="21">
        <f t="shared" si="66"/>
        <v>0</v>
      </c>
      <c r="S369" s="308">
        <f t="shared" si="57"/>
        <v>0</v>
      </c>
    </row>
    <row r="370" spans="1:19">
      <c r="A370" s="142"/>
      <c r="B370" s="52"/>
      <c r="C370" s="21">
        <f t="shared" si="58"/>
        <v>1</v>
      </c>
      <c r="D370" s="631"/>
      <c r="E370" s="21">
        <f t="shared" si="59"/>
        <v>0.02</v>
      </c>
      <c r="F370" s="631"/>
      <c r="G370" s="21">
        <f t="shared" si="60"/>
        <v>1</v>
      </c>
      <c r="H370" s="631"/>
      <c r="I370" s="21">
        <f t="shared" si="61"/>
        <v>1</v>
      </c>
      <c r="J370" s="631"/>
      <c r="K370" s="21">
        <f t="shared" si="62"/>
        <v>1</v>
      </c>
      <c r="L370" s="631"/>
      <c r="M370" s="21">
        <f t="shared" si="63"/>
        <v>1</v>
      </c>
      <c r="N370" s="631"/>
      <c r="O370" s="21">
        <f t="shared" si="64"/>
        <v>1</v>
      </c>
      <c r="P370" s="631"/>
      <c r="Q370" s="21">
        <f t="shared" si="65"/>
        <v>0</v>
      </c>
      <c r="R370" s="21">
        <f t="shared" si="66"/>
        <v>0</v>
      </c>
      <c r="S370" s="308">
        <f t="shared" si="57"/>
        <v>0</v>
      </c>
    </row>
    <row r="371" spans="1:19">
      <c r="A371" s="142"/>
      <c r="B371" s="52"/>
      <c r="C371" s="21">
        <f t="shared" si="58"/>
        <v>1</v>
      </c>
      <c r="D371" s="631"/>
      <c r="E371" s="21">
        <f t="shared" si="59"/>
        <v>0.02</v>
      </c>
      <c r="F371" s="631"/>
      <c r="G371" s="21">
        <f t="shared" si="60"/>
        <v>1</v>
      </c>
      <c r="H371" s="631"/>
      <c r="I371" s="21">
        <f t="shared" si="61"/>
        <v>1</v>
      </c>
      <c r="J371" s="631"/>
      <c r="K371" s="21">
        <f t="shared" si="62"/>
        <v>1</v>
      </c>
      <c r="L371" s="631"/>
      <c r="M371" s="21">
        <f t="shared" si="63"/>
        <v>1</v>
      </c>
      <c r="N371" s="631"/>
      <c r="O371" s="21">
        <f t="shared" si="64"/>
        <v>1</v>
      </c>
      <c r="P371" s="631"/>
      <c r="Q371" s="21">
        <f t="shared" si="65"/>
        <v>0</v>
      </c>
      <c r="R371" s="21">
        <f t="shared" si="66"/>
        <v>0</v>
      </c>
      <c r="S371" s="308">
        <f t="shared" si="57"/>
        <v>0</v>
      </c>
    </row>
    <row r="372" spans="1:19">
      <c r="A372" s="142"/>
      <c r="B372" s="52"/>
      <c r="C372" s="21">
        <f t="shared" si="58"/>
        <v>1</v>
      </c>
      <c r="D372" s="631"/>
      <c r="E372" s="21">
        <f t="shared" si="59"/>
        <v>0.02</v>
      </c>
      <c r="F372" s="631"/>
      <c r="G372" s="21">
        <f t="shared" si="60"/>
        <v>1</v>
      </c>
      <c r="H372" s="631"/>
      <c r="I372" s="21">
        <f t="shared" si="61"/>
        <v>1</v>
      </c>
      <c r="J372" s="631"/>
      <c r="K372" s="21">
        <f t="shared" si="62"/>
        <v>1</v>
      </c>
      <c r="L372" s="631"/>
      <c r="M372" s="21">
        <f t="shared" si="63"/>
        <v>1</v>
      </c>
      <c r="N372" s="631"/>
      <c r="O372" s="21">
        <f t="shared" si="64"/>
        <v>1</v>
      </c>
      <c r="P372" s="631"/>
      <c r="Q372" s="21">
        <f t="shared" si="65"/>
        <v>0</v>
      </c>
      <c r="R372" s="21">
        <f t="shared" si="66"/>
        <v>0</v>
      </c>
      <c r="S372" s="308">
        <f t="shared" si="57"/>
        <v>0</v>
      </c>
    </row>
    <row r="373" spans="1:19">
      <c r="A373" s="142"/>
      <c r="B373" s="52"/>
      <c r="C373" s="21">
        <f t="shared" si="58"/>
        <v>1</v>
      </c>
      <c r="D373" s="631"/>
      <c r="E373" s="21">
        <f t="shared" si="59"/>
        <v>0.02</v>
      </c>
      <c r="F373" s="631"/>
      <c r="G373" s="21">
        <f t="shared" si="60"/>
        <v>1</v>
      </c>
      <c r="H373" s="631"/>
      <c r="I373" s="21">
        <f t="shared" si="61"/>
        <v>1</v>
      </c>
      <c r="J373" s="631"/>
      <c r="K373" s="21">
        <f t="shared" si="62"/>
        <v>1</v>
      </c>
      <c r="L373" s="631"/>
      <c r="M373" s="21">
        <f t="shared" si="63"/>
        <v>1</v>
      </c>
      <c r="N373" s="631"/>
      <c r="O373" s="21">
        <f t="shared" si="64"/>
        <v>1</v>
      </c>
      <c r="P373" s="631"/>
      <c r="Q373" s="21">
        <f t="shared" si="65"/>
        <v>0</v>
      </c>
      <c r="R373" s="21">
        <f t="shared" si="66"/>
        <v>0</v>
      </c>
      <c r="S373" s="308">
        <f t="shared" si="57"/>
        <v>0</v>
      </c>
    </row>
    <row r="374" spans="1:19">
      <c r="A374" s="142"/>
      <c r="B374" s="52"/>
      <c r="C374" s="21">
        <f t="shared" si="58"/>
        <v>1</v>
      </c>
      <c r="D374" s="631"/>
      <c r="E374" s="21">
        <f t="shared" si="59"/>
        <v>0.02</v>
      </c>
      <c r="F374" s="631"/>
      <c r="G374" s="21">
        <f t="shared" si="60"/>
        <v>1</v>
      </c>
      <c r="H374" s="631"/>
      <c r="I374" s="21">
        <f t="shared" si="61"/>
        <v>1</v>
      </c>
      <c r="J374" s="631"/>
      <c r="K374" s="21">
        <f t="shared" si="62"/>
        <v>1</v>
      </c>
      <c r="L374" s="631"/>
      <c r="M374" s="21">
        <f t="shared" si="63"/>
        <v>1</v>
      </c>
      <c r="N374" s="631"/>
      <c r="O374" s="21">
        <f t="shared" si="64"/>
        <v>1</v>
      </c>
      <c r="P374" s="631"/>
      <c r="Q374" s="21">
        <f t="shared" si="65"/>
        <v>0</v>
      </c>
      <c r="R374" s="21">
        <f t="shared" si="66"/>
        <v>0</v>
      </c>
      <c r="S374" s="308">
        <f t="shared" si="57"/>
        <v>0</v>
      </c>
    </row>
    <row r="375" spans="1:19">
      <c r="A375" s="142"/>
      <c r="B375" s="52"/>
      <c r="C375" s="21">
        <f t="shared" si="58"/>
        <v>1</v>
      </c>
      <c r="D375" s="631"/>
      <c r="E375" s="21">
        <f t="shared" si="59"/>
        <v>0.02</v>
      </c>
      <c r="F375" s="631"/>
      <c r="G375" s="21">
        <f t="shared" si="60"/>
        <v>1</v>
      </c>
      <c r="H375" s="631"/>
      <c r="I375" s="21">
        <f t="shared" si="61"/>
        <v>1</v>
      </c>
      <c r="J375" s="631"/>
      <c r="K375" s="21">
        <f t="shared" si="62"/>
        <v>1</v>
      </c>
      <c r="L375" s="631"/>
      <c r="M375" s="21">
        <f t="shared" si="63"/>
        <v>1</v>
      </c>
      <c r="N375" s="631"/>
      <c r="O375" s="21">
        <f t="shared" si="64"/>
        <v>1</v>
      </c>
      <c r="P375" s="631"/>
      <c r="Q375" s="21">
        <f t="shared" si="65"/>
        <v>0</v>
      </c>
      <c r="R375" s="21">
        <f t="shared" si="66"/>
        <v>0</v>
      </c>
      <c r="S375" s="308">
        <f t="shared" si="57"/>
        <v>0</v>
      </c>
    </row>
    <row r="376" spans="1:19">
      <c r="A376" s="142"/>
      <c r="B376" s="52"/>
      <c r="C376" s="21">
        <f t="shared" si="58"/>
        <v>1</v>
      </c>
      <c r="D376" s="631"/>
      <c r="E376" s="21">
        <f t="shared" si="59"/>
        <v>0.02</v>
      </c>
      <c r="F376" s="631"/>
      <c r="G376" s="21">
        <f t="shared" si="60"/>
        <v>1</v>
      </c>
      <c r="H376" s="631"/>
      <c r="I376" s="21">
        <f t="shared" si="61"/>
        <v>1</v>
      </c>
      <c r="J376" s="631"/>
      <c r="K376" s="21">
        <f t="shared" si="62"/>
        <v>1</v>
      </c>
      <c r="L376" s="631"/>
      <c r="M376" s="21">
        <f t="shared" si="63"/>
        <v>1</v>
      </c>
      <c r="N376" s="631"/>
      <c r="O376" s="21">
        <f t="shared" si="64"/>
        <v>1</v>
      </c>
      <c r="P376" s="631"/>
      <c r="Q376" s="21">
        <f t="shared" si="65"/>
        <v>0</v>
      </c>
      <c r="R376" s="21">
        <f t="shared" si="66"/>
        <v>0</v>
      </c>
      <c r="S376" s="308">
        <f t="shared" si="57"/>
        <v>0</v>
      </c>
    </row>
    <row r="377" spans="1:19">
      <c r="A377" s="142"/>
      <c r="B377" s="52"/>
      <c r="C377" s="21">
        <f t="shared" si="58"/>
        <v>1</v>
      </c>
      <c r="D377" s="631"/>
      <c r="E377" s="21">
        <f t="shared" si="59"/>
        <v>0.02</v>
      </c>
      <c r="F377" s="631"/>
      <c r="G377" s="21">
        <f t="shared" si="60"/>
        <v>1</v>
      </c>
      <c r="H377" s="631"/>
      <c r="I377" s="21">
        <f t="shared" si="61"/>
        <v>1</v>
      </c>
      <c r="J377" s="631"/>
      <c r="K377" s="21">
        <f t="shared" si="62"/>
        <v>1</v>
      </c>
      <c r="L377" s="631"/>
      <c r="M377" s="21">
        <f t="shared" si="63"/>
        <v>1</v>
      </c>
      <c r="N377" s="631"/>
      <c r="O377" s="21">
        <f t="shared" si="64"/>
        <v>1</v>
      </c>
      <c r="P377" s="631"/>
      <c r="Q377" s="21">
        <f t="shared" si="65"/>
        <v>0</v>
      </c>
      <c r="R377" s="21">
        <f t="shared" si="66"/>
        <v>0</v>
      </c>
      <c r="S377" s="308">
        <f t="shared" si="57"/>
        <v>0</v>
      </c>
    </row>
    <row r="378" spans="1:19">
      <c r="A378" s="142"/>
      <c r="B378" s="52"/>
      <c r="C378" s="21">
        <f t="shared" si="58"/>
        <v>1</v>
      </c>
      <c r="D378" s="631"/>
      <c r="E378" s="21">
        <f t="shared" si="59"/>
        <v>0.02</v>
      </c>
      <c r="F378" s="631"/>
      <c r="G378" s="21">
        <f t="shared" si="60"/>
        <v>1</v>
      </c>
      <c r="H378" s="631"/>
      <c r="I378" s="21">
        <f t="shared" si="61"/>
        <v>1</v>
      </c>
      <c r="J378" s="631"/>
      <c r="K378" s="21">
        <f t="shared" si="62"/>
        <v>1</v>
      </c>
      <c r="L378" s="631"/>
      <c r="M378" s="21">
        <f t="shared" si="63"/>
        <v>1</v>
      </c>
      <c r="N378" s="631"/>
      <c r="O378" s="21">
        <f t="shared" si="64"/>
        <v>1</v>
      </c>
      <c r="P378" s="631"/>
      <c r="Q378" s="21">
        <f t="shared" si="65"/>
        <v>0</v>
      </c>
      <c r="R378" s="21">
        <f t="shared" si="66"/>
        <v>0</v>
      </c>
      <c r="S378" s="308">
        <f t="shared" si="57"/>
        <v>0</v>
      </c>
    </row>
    <row r="379" spans="1:19">
      <c r="A379" s="142"/>
      <c r="B379" s="52"/>
      <c r="C379" s="21">
        <f t="shared" si="58"/>
        <v>1</v>
      </c>
      <c r="D379" s="631"/>
      <c r="E379" s="21">
        <f t="shared" si="59"/>
        <v>0.02</v>
      </c>
      <c r="F379" s="631"/>
      <c r="G379" s="21">
        <f t="shared" si="60"/>
        <v>1</v>
      </c>
      <c r="H379" s="631"/>
      <c r="I379" s="21">
        <f t="shared" si="61"/>
        <v>1</v>
      </c>
      <c r="J379" s="631"/>
      <c r="K379" s="21">
        <f t="shared" si="62"/>
        <v>1</v>
      </c>
      <c r="L379" s="631"/>
      <c r="M379" s="21">
        <f t="shared" si="63"/>
        <v>1</v>
      </c>
      <c r="N379" s="631"/>
      <c r="O379" s="21">
        <f t="shared" si="64"/>
        <v>1</v>
      </c>
      <c r="P379" s="631"/>
      <c r="Q379" s="21">
        <f t="shared" si="65"/>
        <v>0</v>
      </c>
      <c r="R379" s="21">
        <f t="shared" si="66"/>
        <v>0</v>
      </c>
      <c r="S379" s="308">
        <f t="shared" si="57"/>
        <v>0</v>
      </c>
    </row>
    <row r="380" spans="1:19">
      <c r="A380" s="142"/>
      <c r="B380" s="52"/>
      <c r="C380" s="21">
        <f t="shared" si="58"/>
        <v>1</v>
      </c>
      <c r="D380" s="631"/>
      <c r="E380" s="21">
        <f t="shared" si="59"/>
        <v>0.02</v>
      </c>
      <c r="F380" s="631"/>
      <c r="G380" s="21">
        <f t="shared" si="60"/>
        <v>1</v>
      </c>
      <c r="H380" s="631"/>
      <c r="I380" s="21">
        <f t="shared" si="61"/>
        <v>1</v>
      </c>
      <c r="J380" s="631"/>
      <c r="K380" s="21">
        <f t="shared" si="62"/>
        <v>1</v>
      </c>
      <c r="L380" s="631"/>
      <c r="M380" s="21">
        <f t="shared" si="63"/>
        <v>1</v>
      </c>
      <c r="N380" s="631"/>
      <c r="O380" s="21">
        <f t="shared" si="64"/>
        <v>1</v>
      </c>
      <c r="P380" s="631"/>
      <c r="Q380" s="21">
        <f t="shared" si="65"/>
        <v>0</v>
      </c>
      <c r="R380" s="21">
        <f t="shared" si="66"/>
        <v>0</v>
      </c>
      <c r="S380" s="308">
        <f t="shared" si="57"/>
        <v>0</v>
      </c>
    </row>
    <row r="381" spans="1:19">
      <c r="A381" s="142"/>
      <c r="B381" s="52"/>
      <c r="C381" s="21">
        <f t="shared" si="58"/>
        <v>1</v>
      </c>
      <c r="D381" s="631"/>
      <c r="E381" s="21">
        <f t="shared" si="59"/>
        <v>0.02</v>
      </c>
      <c r="F381" s="631"/>
      <c r="G381" s="21">
        <f t="shared" si="60"/>
        <v>1</v>
      </c>
      <c r="H381" s="631"/>
      <c r="I381" s="21">
        <f t="shared" si="61"/>
        <v>1</v>
      </c>
      <c r="J381" s="631"/>
      <c r="K381" s="21">
        <f t="shared" si="62"/>
        <v>1</v>
      </c>
      <c r="L381" s="631"/>
      <c r="M381" s="21">
        <f t="shared" si="63"/>
        <v>1</v>
      </c>
      <c r="N381" s="631"/>
      <c r="O381" s="21">
        <f t="shared" si="64"/>
        <v>1</v>
      </c>
      <c r="P381" s="631"/>
      <c r="Q381" s="21">
        <f t="shared" si="65"/>
        <v>0</v>
      </c>
      <c r="R381" s="21">
        <f t="shared" si="66"/>
        <v>0</v>
      </c>
      <c r="S381" s="308">
        <f t="shared" si="57"/>
        <v>0</v>
      </c>
    </row>
    <row r="382" spans="1:19">
      <c r="A382" s="142"/>
      <c r="B382" s="52"/>
      <c r="C382" s="21">
        <f t="shared" si="58"/>
        <v>1</v>
      </c>
      <c r="D382" s="631"/>
      <c r="E382" s="21">
        <f t="shared" si="59"/>
        <v>0.02</v>
      </c>
      <c r="F382" s="631"/>
      <c r="G382" s="21">
        <f t="shared" si="60"/>
        <v>1</v>
      </c>
      <c r="H382" s="631"/>
      <c r="I382" s="21">
        <f t="shared" si="61"/>
        <v>1</v>
      </c>
      <c r="J382" s="631"/>
      <c r="K382" s="21">
        <f t="shared" si="62"/>
        <v>1</v>
      </c>
      <c r="L382" s="631"/>
      <c r="M382" s="21">
        <f t="shared" si="63"/>
        <v>1</v>
      </c>
      <c r="N382" s="631"/>
      <c r="O382" s="21">
        <f t="shared" si="64"/>
        <v>1</v>
      </c>
      <c r="P382" s="631"/>
      <c r="Q382" s="21">
        <f t="shared" si="65"/>
        <v>0</v>
      </c>
      <c r="R382" s="21">
        <f t="shared" si="66"/>
        <v>0</v>
      </c>
      <c r="S382" s="308">
        <f t="shared" si="57"/>
        <v>0</v>
      </c>
    </row>
    <row r="383" spans="1:19">
      <c r="A383" s="142"/>
      <c r="B383" s="52"/>
      <c r="C383" s="21">
        <f t="shared" si="58"/>
        <v>1</v>
      </c>
      <c r="D383" s="631"/>
      <c r="E383" s="21">
        <f t="shared" si="59"/>
        <v>0.02</v>
      </c>
      <c r="F383" s="631"/>
      <c r="G383" s="21">
        <f t="shared" si="60"/>
        <v>1</v>
      </c>
      <c r="H383" s="631"/>
      <c r="I383" s="21">
        <f t="shared" si="61"/>
        <v>1</v>
      </c>
      <c r="J383" s="631"/>
      <c r="K383" s="21">
        <f t="shared" si="62"/>
        <v>1</v>
      </c>
      <c r="L383" s="631"/>
      <c r="M383" s="21">
        <f t="shared" si="63"/>
        <v>1</v>
      </c>
      <c r="N383" s="631"/>
      <c r="O383" s="21">
        <f t="shared" si="64"/>
        <v>1</v>
      </c>
      <c r="P383" s="631"/>
      <c r="Q383" s="21">
        <f t="shared" si="65"/>
        <v>0</v>
      </c>
      <c r="R383" s="21">
        <f t="shared" si="66"/>
        <v>0</v>
      </c>
      <c r="S383" s="308">
        <f t="shared" si="57"/>
        <v>0</v>
      </c>
    </row>
    <row r="384" spans="1:19">
      <c r="A384" s="142"/>
      <c r="B384" s="52"/>
      <c r="C384" s="21">
        <f t="shared" si="58"/>
        <v>1</v>
      </c>
      <c r="D384" s="631"/>
      <c r="E384" s="21">
        <f t="shared" si="59"/>
        <v>0.02</v>
      </c>
      <c r="F384" s="631"/>
      <c r="G384" s="21">
        <f t="shared" si="60"/>
        <v>1</v>
      </c>
      <c r="H384" s="631"/>
      <c r="I384" s="21">
        <f t="shared" si="61"/>
        <v>1</v>
      </c>
      <c r="J384" s="631"/>
      <c r="K384" s="21">
        <f t="shared" si="62"/>
        <v>1</v>
      </c>
      <c r="L384" s="631"/>
      <c r="M384" s="21">
        <f t="shared" si="63"/>
        <v>1</v>
      </c>
      <c r="N384" s="631"/>
      <c r="O384" s="21">
        <f t="shared" si="64"/>
        <v>1</v>
      </c>
      <c r="P384" s="631"/>
      <c r="Q384" s="21">
        <f t="shared" si="65"/>
        <v>0</v>
      </c>
      <c r="R384" s="21">
        <f t="shared" si="66"/>
        <v>0</v>
      </c>
      <c r="S384" s="308">
        <f t="shared" si="57"/>
        <v>0</v>
      </c>
    </row>
    <row r="385" spans="1:19">
      <c r="A385" s="142"/>
      <c r="B385" s="52"/>
      <c r="C385" s="21">
        <f t="shared" si="58"/>
        <v>1</v>
      </c>
      <c r="D385" s="631"/>
      <c r="E385" s="21">
        <f t="shared" si="59"/>
        <v>0.02</v>
      </c>
      <c r="F385" s="631"/>
      <c r="G385" s="21">
        <f t="shared" si="60"/>
        <v>1</v>
      </c>
      <c r="H385" s="631"/>
      <c r="I385" s="21">
        <f t="shared" si="61"/>
        <v>1</v>
      </c>
      <c r="J385" s="631"/>
      <c r="K385" s="21">
        <f t="shared" si="62"/>
        <v>1</v>
      </c>
      <c r="L385" s="631"/>
      <c r="M385" s="21">
        <f t="shared" si="63"/>
        <v>1</v>
      </c>
      <c r="N385" s="631"/>
      <c r="O385" s="21">
        <f t="shared" si="64"/>
        <v>1</v>
      </c>
      <c r="P385" s="631"/>
      <c r="Q385" s="21">
        <f t="shared" si="65"/>
        <v>0</v>
      </c>
      <c r="R385" s="21">
        <f t="shared" si="66"/>
        <v>0</v>
      </c>
      <c r="S385" s="308">
        <f t="shared" si="57"/>
        <v>0</v>
      </c>
    </row>
    <row r="386" spans="1:19">
      <c r="A386" s="142"/>
      <c r="B386" s="52"/>
      <c r="C386" s="21">
        <f t="shared" si="58"/>
        <v>1</v>
      </c>
      <c r="D386" s="631"/>
      <c r="E386" s="21">
        <f t="shared" si="59"/>
        <v>0.02</v>
      </c>
      <c r="F386" s="631"/>
      <c r="G386" s="21">
        <f t="shared" si="60"/>
        <v>1</v>
      </c>
      <c r="H386" s="631"/>
      <c r="I386" s="21">
        <f t="shared" si="61"/>
        <v>1</v>
      </c>
      <c r="J386" s="631"/>
      <c r="K386" s="21">
        <f t="shared" si="62"/>
        <v>1</v>
      </c>
      <c r="L386" s="631"/>
      <c r="M386" s="21">
        <f t="shared" si="63"/>
        <v>1</v>
      </c>
      <c r="N386" s="631"/>
      <c r="O386" s="21">
        <f t="shared" si="64"/>
        <v>1</v>
      </c>
      <c r="P386" s="631"/>
      <c r="Q386" s="21">
        <f t="shared" si="65"/>
        <v>0</v>
      </c>
      <c r="R386" s="21">
        <f t="shared" si="66"/>
        <v>0</v>
      </c>
      <c r="S386" s="308">
        <f t="shared" si="57"/>
        <v>0</v>
      </c>
    </row>
    <row r="387" spans="1:19">
      <c r="A387" s="142"/>
      <c r="B387" s="52"/>
      <c r="C387" s="21">
        <f t="shared" si="58"/>
        <v>1</v>
      </c>
      <c r="D387" s="631"/>
      <c r="E387" s="21">
        <f t="shared" si="59"/>
        <v>0.02</v>
      </c>
      <c r="F387" s="631"/>
      <c r="G387" s="21">
        <f t="shared" si="60"/>
        <v>1</v>
      </c>
      <c r="H387" s="631"/>
      <c r="I387" s="21">
        <f t="shared" si="61"/>
        <v>1</v>
      </c>
      <c r="J387" s="631"/>
      <c r="K387" s="21">
        <f t="shared" si="62"/>
        <v>1</v>
      </c>
      <c r="L387" s="631"/>
      <c r="M387" s="21">
        <f t="shared" si="63"/>
        <v>1</v>
      </c>
      <c r="N387" s="631"/>
      <c r="O387" s="21">
        <f t="shared" si="64"/>
        <v>1</v>
      </c>
      <c r="P387" s="631"/>
      <c r="Q387" s="21">
        <f t="shared" si="65"/>
        <v>0</v>
      </c>
      <c r="R387" s="21">
        <f t="shared" si="66"/>
        <v>0</v>
      </c>
      <c r="S387" s="308">
        <f t="shared" si="57"/>
        <v>0</v>
      </c>
    </row>
    <row r="388" spans="1:19">
      <c r="A388" s="142"/>
      <c r="B388" s="52"/>
      <c r="C388" s="21">
        <f t="shared" si="58"/>
        <v>1</v>
      </c>
      <c r="D388" s="631"/>
      <c r="E388" s="21">
        <f t="shared" si="59"/>
        <v>0.02</v>
      </c>
      <c r="F388" s="631"/>
      <c r="G388" s="21">
        <f t="shared" si="60"/>
        <v>1</v>
      </c>
      <c r="H388" s="631"/>
      <c r="I388" s="21">
        <f t="shared" si="61"/>
        <v>1</v>
      </c>
      <c r="J388" s="631"/>
      <c r="K388" s="21">
        <f t="shared" si="62"/>
        <v>1</v>
      </c>
      <c r="L388" s="631"/>
      <c r="M388" s="21">
        <f t="shared" si="63"/>
        <v>1</v>
      </c>
      <c r="N388" s="631"/>
      <c r="O388" s="21">
        <f t="shared" si="64"/>
        <v>1</v>
      </c>
      <c r="P388" s="631"/>
      <c r="Q388" s="21">
        <f t="shared" si="65"/>
        <v>0</v>
      </c>
      <c r="R388" s="21">
        <f t="shared" si="66"/>
        <v>0</v>
      </c>
      <c r="S388" s="308">
        <f t="shared" si="57"/>
        <v>0</v>
      </c>
    </row>
    <row r="389" spans="1:19">
      <c r="A389" s="142"/>
      <c r="B389" s="52"/>
      <c r="C389" s="21">
        <f t="shared" si="58"/>
        <v>1</v>
      </c>
      <c r="D389" s="631"/>
      <c r="E389" s="21">
        <f t="shared" si="59"/>
        <v>0.02</v>
      </c>
      <c r="F389" s="631"/>
      <c r="G389" s="21">
        <f t="shared" si="60"/>
        <v>1</v>
      </c>
      <c r="H389" s="631"/>
      <c r="I389" s="21">
        <f t="shared" si="61"/>
        <v>1</v>
      </c>
      <c r="J389" s="631"/>
      <c r="K389" s="21">
        <f t="shared" si="62"/>
        <v>1</v>
      </c>
      <c r="L389" s="631"/>
      <c r="M389" s="21">
        <f t="shared" si="63"/>
        <v>1</v>
      </c>
      <c r="N389" s="631"/>
      <c r="O389" s="21">
        <f t="shared" si="64"/>
        <v>1</v>
      </c>
      <c r="P389" s="631"/>
      <c r="Q389" s="21">
        <f t="shared" si="65"/>
        <v>0</v>
      </c>
      <c r="R389" s="21">
        <f t="shared" si="66"/>
        <v>0</v>
      </c>
      <c r="S389" s="308">
        <f t="shared" si="57"/>
        <v>0</v>
      </c>
    </row>
    <row r="390" spans="1:19">
      <c r="A390" s="142"/>
      <c r="B390" s="52"/>
      <c r="C390" s="21">
        <f t="shared" si="58"/>
        <v>1</v>
      </c>
      <c r="D390" s="631"/>
      <c r="E390" s="21">
        <f t="shared" si="59"/>
        <v>0.02</v>
      </c>
      <c r="F390" s="631"/>
      <c r="G390" s="21">
        <f t="shared" si="60"/>
        <v>1</v>
      </c>
      <c r="H390" s="631"/>
      <c r="I390" s="21">
        <f t="shared" si="61"/>
        <v>1</v>
      </c>
      <c r="J390" s="631"/>
      <c r="K390" s="21">
        <f t="shared" si="62"/>
        <v>1</v>
      </c>
      <c r="L390" s="631"/>
      <c r="M390" s="21">
        <f t="shared" si="63"/>
        <v>1</v>
      </c>
      <c r="N390" s="631"/>
      <c r="O390" s="21">
        <f t="shared" si="64"/>
        <v>1</v>
      </c>
      <c r="P390" s="631"/>
      <c r="Q390" s="21">
        <f t="shared" si="65"/>
        <v>0</v>
      </c>
      <c r="R390" s="21">
        <f t="shared" si="66"/>
        <v>0</v>
      </c>
      <c r="S390" s="308">
        <f t="shared" si="57"/>
        <v>0</v>
      </c>
    </row>
    <row r="391" spans="1:19">
      <c r="A391" s="142"/>
      <c r="B391" s="52"/>
      <c r="C391" s="21">
        <f t="shared" si="58"/>
        <v>1</v>
      </c>
      <c r="D391" s="631"/>
      <c r="E391" s="21">
        <f t="shared" si="59"/>
        <v>0.02</v>
      </c>
      <c r="F391" s="631"/>
      <c r="G391" s="21">
        <f t="shared" si="60"/>
        <v>1</v>
      </c>
      <c r="H391" s="631"/>
      <c r="I391" s="21">
        <f t="shared" si="61"/>
        <v>1</v>
      </c>
      <c r="J391" s="631"/>
      <c r="K391" s="21">
        <f t="shared" si="62"/>
        <v>1</v>
      </c>
      <c r="L391" s="631"/>
      <c r="M391" s="21">
        <f t="shared" si="63"/>
        <v>1</v>
      </c>
      <c r="N391" s="631"/>
      <c r="O391" s="21">
        <f t="shared" si="64"/>
        <v>1</v>
      </c>
      <c r="P391" s="631"/>
      <c r="Q391" s="21">
        <f t="shared" si="65"/>
        <v>0</v>
      </c>
      <c r="R391" s="21">
        <f t="shared" si="66"/>
        <v>0</v>
      </c>
      <c r="S391" s="308">
        <f t="shared" si="57"/>
        <v>0</v>
      </c>
    </row>
    <row r="392" spans="1:19">
      <c r="A392" s="142"/>
      <c r="B392" s="52"/>
      <c r="C392" s="21">
        <f t="shared" si="58"/>
        <v>1</v>
      </c>
      <c r="D392" s="631"/>
      <c r="E392" s="21">
        <f t="shared" si="59"/>
        <v>0.02</v>
      </c>
      <c r="F392" s="631"/>
      <c r="G392" s="21">
        <f t="shared" si="60"/>
        <v>1</v>
      </c>
      <c r="H392" s="631"/>
      <c r="I392" s="21">
        <f t="shared" si="61"/>
        <v>1</v>
      </c>
      <c r="J392" s="631"/>
      <c r="K392" s="21">
        <f t="shared" si="62"/>
        <v>1</v>
      </c>
      <c r="L392" s="631"/>
      <c r="M392" s="21">
        <f t="shared" si="63"/>
        <v>1</v>
      </c>
      <c r="N392" s="631"/>
      <c r="O392" s="21">
        <f t="shared" si="64"/>
        <v>1</v>
      </c>
      <c r="P392" s="631"/>
      <c r="Q392" s="21">
        <f t="shared" si="65"/>
        <v>0</v>
      </c>
      <c r="R392" s="21">
        <f t="shared" si="66"/>
        <v>0</v>
      </c>
      <c r="S392" s="308">
        <f t="shared" si="57"/>
        <v>0</v>
      </c>
    </row>
    <row r="393" spans="1:19">
      <c r="A393" s="142"/>
      <c r="B393" s="52"/>
      <c r="C393" s="21">
        <f t="shared" si="58"/>
        <v>1</v>
      </c>
      <c r="D393" s="631"/>
      <c r="E393" s="21">
        <f t="shared" si="59"/>
        <v>0.02</v>
      </c>
      <c r="F393" s="631"/>
      <c r="G393" s="21">
        <f t="shared" si="60"/>
        <v>1</v>
      </c>
      <c r="H393" s="631"/>
      <c r="I393" s="21">
        <f t="shared" si="61"/>
        <v>1</v>
      </c>
      <c r="J393" s="631"/>
      <c r="K393" s="21">
        <f t="shared" si="62"/>
        <v>1</v>
      </c>
      <c r="L393" s="631"/>
      <c r="M393" s="21">
        <f t="shared" si="63"/>
        <v>1</v>
      </c>
      <c r="N393" s="631"/>
      <c r="O393" s="21">
        <f t="shared" si="64"/>
        <v>1</v>
      </c>
      <c r="P393" s="631"/>
      <c r="Q393" s="21">
        <f t="shared" si="65"/>
        <v>0</v>
      </c>
      <c r="R393" s="21">
        <f t="shared" si="66"/>
        <v>0</v>
      </c>
      <c r="S393" s="308">
        <f t="shared" si="57"/>
        <v>0</v>
      </c>
    </row>
    <row r="394" spans="1:19">
      <c r="A394" s="142"/>
      <c r="B394" s="52"/>
      <c r="C394" s="21">
        <f t="shared" si="58"/>
        <v>1</v>
      </c>
      <c r="D394" s="631"/>
      <c r="E394" s="21">
        <f t="shared" si="59"/>
        <v>0.02</v>
      </c>
      <c r="F394" s="631"/>
      <c r="G394" s="21">
        <f t="shared" si="60"/>
        <v>1</v>
      </c>
      <c r="H394" s="631"/>
      <c r="I394" s="21">
        <f t="shared" si="61"/>
        <v>1</v>
      </c>
      <c r="J394" s="631"/>
      <c r="K394" s="21">
        <f t="shared" si="62"/>
        <v>1</v>
      </c>
      <c r="L394" s="631"/>
      <c r="M394" s="21">
        <f t="shared" si="63"/>
        <v>1</v>
      </c>
      <c r="N394" s="631"/>
      <c r="O394" s="21">
        <f t="shared" si="64"/>
        <v>1</v>
      </c>
      <c r="P394" s="631"/>
      <c r="Q394" s="21">
        <f t="shared" si="65"/>
        <v>0</v>
      </c>
      <c r="R394" s="21">
        <f t="shared" si="66"/>
        <v>0</v>
      </c>
      <c r="S394" s="308">
        <f t="shared" si="57"/>
        <v>0</v>
      </c>
    </row>
    <row r="395" spans="1:19">
      <c r="A395" s="142"/>
      <c r="B395" s="52"/>
      <c r="C395" s="21">
        <f t="shared" si="58"/>
        <v>1</v>
      </c>
      <c r="D395" s="631"/>
      <c r="E395" s="21">
        <f t="shared" si="59"/>
        <v>0.02</v>
      </c>
      <c r="F395" s="631"/>
      <c r="G395" s="21">
        <f t="shared" si="60"/>
        <v>1</v>
      </c>
      <c r="H395" s="631"/>
      <c r="I395" s="21">
        <f t="shared" si="61"/>
        <v>1</v>
      </c>
      <c r="J395" s="631"/>
      <c r="K395" s="21">
        <f t="shared" si="62"/>
        <v>1</v>
      </c>
      <c r="L395" s="631"/>
      <c r="M395" s="21">
        <f t="shared" si="63"/>
        <v>1</v>
      </c>
      <c r="N395" s="631"/>
      <c r="O395" s="21">
        <f t="shared" si="64"/>
        <v>1</v>
      </c>
      <c r="P395" s="631"/>
      <c r="Q395" s="21">
        <f t="shared" si="65"/>
        <v>0</v>
      </c>
      <c r="R395" s="21">
        <f t="shared" si="66"/>
        <v>0</v>
      </c>
      <c r="S395" s="308">
        <f t="shared" si="57"/>
        <v>0</v>
      </c>
    </row>
    <row r="396" spans="1:19">
      <c r="A396" s="142"/>
      <c r="B396" s="52"/>
      <c r="C396" s="21">
        <f t="shared" si="58"/>
        <v>1</v>
      </c>
      <c r="D396" s="631"/>
      <c r="E396" s="21">
        <f t="shared" si="59"/>
        <v>0.02</v>
      </c>
      <c r="F396" s="631"/>
      <c r="G396" s="21">
        <f t="shared" si="60"/>
        <v>1</v>
      </c>
      <c r="H396" s="631"/>
      <c r="I396" s="21">
        <f t="shared" si="61"/>
        <v>1</v>
      </c>
      <c r="J396" s="631"/>
      <c r="K396" s="21">
        <f t="shared" si="62"/>
        <v>1</v>
      </c>
      <c r="L396" s="631"/>
      <c r="M396" s="21">
        <f t="shared" si="63"/>
        <v>1</v>
      </c>
      <c r="N396" s="631"/>
      <c r="O396" s="21">
        <f t="shared" si="64"/>
        <v>1</v>
      </c>
      <c r="P396" s="631"/>
      <c r="Q396" s="21">
        <f t="shared" si="65"/>
        <v>0</v>
      </c>
      <c r="R396" s="21">
        <f t="shared" si="66"/>
        <v>0</v>
      </c>
      <c r="S396" s="308">
        <f t="shared" si="57"/>
        <v>0</v>
      </c>
    </row>
    <row r="397" spans="1:19">
      <c r="A397" s="142"/>
      <c r="B397" s="52"/>
      <c r="C397" s="21">
        <f t="shared" si="58"/>
        <v>1</v>
      </c>
      <c r="D397" s="631"/>
      <c r="E397" s="21">
        <f t="shared" si="59"/>
        <v>0.02</v>
      </c>
      <c r="F397" s="631"/>
      <c r="G397" s="21">
        <f t="shared" si="60"/>
        <v>1</v>
      </c>
      <c r="H397" s="631"/>
      <c r="I397" s="21">
        <f t="shared" si="61"/>
        <v>1</v>
      </c>
      <c r="J397" s="631"/>
      <c r="K397" s="21">
        <f t="shared" si="62"/>
        <v>1</v>
      </c>
      <c r="L397" s="631"/>
      <c r="M397" s="21">
        <f t="shared" si="63"/>
        <v>1</v>
      </c>
      <c r="N397" s="631"/>
      <c r="O397" s="21">
        <f t="shared" si="64"/>
        <v>1</v>
      </c>
      <c r="P397" s="631"/>
      <c r="Q397" s="21">
        <f t="shared" si="65"/>
        <v>0</v>
      </c>
      <c r="R397" s="21">
        <f t="shared" si="66"/>
        <v>0</v>
      </c>
      <c r="S397" s="308">
        <f t="shared" si="57"/>
        <v>0</v>
      </c>
    </row>
    <row r="398" spans="1:19">
      <c r="A398" s="142"/>
      <c r="B398" s="52"/>
      <c r="C398" s="21">
        <f t="shared" si="58"/>
        <v>1</v>
      </c>
      <c r="D398" s="631"/>
      <c r="E398" s="21">
        <f t="shared" si="59"/>
        <v>0.02</v>
      </c>
      <c r="F398" s="631"/>
      <c r="G398" s="21">
        <f t="shared" si="60"/>
        <v>1</v>
      </c>
      <c r="H398" s="631"/>
      <c r="I398" s="21">
        <f t="shared" si="61"/>
        <v>1</v>
      </c>
      <c r="J398" s="631"/>
      <c r="K398" s="21">
        <f t="shared" si="62"/>
        <v>1</v>
      </c>
      <c r="L398" s="631"/>
      <c r="M398" s="21">
        <f t="shared" si="63"/>
        <v>1</v>
      </c>
      <c r="N398" s="631"/>
      <c r="O398" s="21">
        <f t="shared" si="64"/>
        <v>1</v>
      </c>
      <c r="P398" s="631"/>
      <c r="Q398" s="21">
        <f t="shared" si="65"/>
        <v>0</v>
      </c>
      <c r="R398" s="21">
        <f t="shared" si="66"/>
        <v>0</v>
      </c>
      <c r="S398" s="308">
        <f t="shared" si="57"/>
        <v>0</v>
      </c>
    </row>
    <row r="399" spans="1:19">
      <c r="A399" s="142"/>
      <c r="B399" s="52"/>
      <c r="C399" s="21">
        <f t="shared" si="58"/>
        <v>1</v>
      </c>
      <c r="D399" s="631"/>
      <c r="E399" s="21">
        <f t="shared" si="59"/>
        <v>0.02</v>
      </c>
      <c r="F399" s="631"/>
      <c r="G399" s="21">
        <f t="shared" si="60"/>
        <v>1</v>
      </c>
      <c r="H399" s="631"/>
      <c r="I399" s="21">
        <f t="shared" si="61"/>
        <v>1</v>
      </c>
      <c r="J399" s="631"/>
      <c r="K399" s="21">
        <f t="shared" si="62"/>
        <v>1</v>
      </c>
      <c r="L399" s="631"/>
      <c r="M399" s="21">
        <f t="shared" si="63"/>
        <v>1</v>
      </c>
      <c r="N399" s="631"/>
      <c r="O399" s="21">
        <f t="shared" si="64"/>
        <v>1</v>
      </c>
      <c r="P399" s="631"/>
      <c r="Q399" s="21">
        <f t="shared" si="65"/>
        <v>0</v>
      </c>
      <c r="R399" s="21">
        <f t="shared" si="66"/>
        <v>0</v>
      </c>
      <c r="S399" s="308">
        <f t="shared" si="57"/>
        <v>0</v>
      </c>
    </row>
    <row r="400" spans="1:19">
      <c r="A400" s="142"/>
      <c r="B400" s="52"/>
      <c r="C400" s="21">
        <f t="shared" si="58"/>
        <v>1</v>
      </c>
      <c r="D400" s="631"/>
      <c r="E400" s="21">
        <f t="shared" si="59"/>
        <v>0.02</v>
      </c>
      <c r="F400" s="631"/>
      <c r="G400" s="21">
        <f t="shared" si="60"/>
        <v>1</v>
      </c>
      <c r="H400" s="631"/>
      <c r="I400" s="21">
        <f t="shared" si="61"/>
        <v>1</v>
      </c>
      <c r="J400" s="631"/>
      <c r="K400" s="21">
        <f t="shared" si="62"/>
        <v>1</v>
      </c>
      <c r="L400" s="631"/>
      <c r="M400" s="21">
        <f t="shared" si="63"/>
        <v>1</v>
      </c>
      <c r="N400" s="631"/>
      <c r="O400" s="21">
        <f t="shared" si="64"/>
        <v>1</v>
      </c>
      <c r="P400" s="631"/>
      <c r="Q400" s="21">
        <f t="shared" si="65"/>
        <v>0</v>
      </c>
      <c r="R400" s="21">
        <f t="shared" si="66"/>
        <v>0</v>
      </c>
      <c r="S400" s="308">
        <f t="shared" si="57"/>
        <v>0</v>
      </c>
    </row>
    <row r="401" spans="1:19">
      <c r="A401" s="142"/>
      <c r="B401" s="52"/>
      <c r="C401" s="21">
        <f t="shared" si="58"/>
        <v>1</v>
      </c>
      <c r="D401" s="631"/>
      <c r="E401" s="21">
        <f t="shared" si="59"/>
        <v>0.02</v>
      </c>
      <c r="F401" s="631"/>
      <c r="G401" s="21">
        <f t="shared" si="60"/>
        <v>1</v>
      </c>
      <c r="H401" s="631"/>
      <c r="I401" s="21">
        <f t="shared" si="61"/>
        <v>1</v>
      </c>
      <c r="J401" s="631"/>
      <c r="K401" s="21">
        <f t="shared" si="62"/>
        <v>1</v>
      </c>
      <c r="L401" s="631"/>
      <c r="M401" s="21">
        <f t="shared" si="63"/>
        <v>1</v>
      </c>
      <c r="N401" s="631"/>
      <c r="O401" s="21">
        <f t="shared" si="64"/>
        <v>1</v>
      </c>
      <c r="P401" s="631"/>
      <c r="Q401" s="21">
        <f t="shared" si="65"/>
        <v>0</v>
      </c>
      <c r="R401" s="21">
        <f t="shared" si="66"/>
        <v>0</v>
      </c>
      <c r="S401" s="308">
        <f t="shared" si="57"/>
        <v>0</v>
      </c>
    </row>
    <row r="402" spans="1:19">
      <c r="A402" s="142"/>
      <c r="B402" s="52"/>
      <c r="C402" s="21">
        <f t="shared" si="58"/>
        <v>1</v>
      </c>
      <c r="D402" s="631"/>
      <c r="E402" s="21">
        <f t="shared" si="59"/>
        <v>0.02</v>
      </c>
      <c r="F402" s="631"/>
      <c r="G402" s="21">
        <f t="shared" si="60"/>
        <v>1</v>
      </c>
      <c r="H402" s="631"/>
      <c r="I402" s="21">
        <f t="shared" si="61"/>
        <v>1</v>
      </c>
      <c r="J402" s="631"/>
      <c r="K402" s="21">
        <f t="shared" si="62"/>
        <v>1</v>
      </c>
      <c r="L402" s="631"/>
      <c r="M402" s="21">
        <f t="shared" si="63"/>
        <v>1</v>
      </c>
      <c r="N402" s="631"/>
      <c r="O402" s="21">
        <f t="shared" si="64"/>
        <v>1</v>
      </c>
      <c r="P402" s="631"/>
      <c r="Q402" s="21">
        <f t="shared" si="65"/>
        <v>0</v>
      </c>
      <c r="R402" s="21">
        <f t="shared" si="66"/>
        <v>0</v>
      </c>
      <c r="S402" s="308">
        <f t="shared" si="57"/>
        <v>0</v>
      </c>
    </row>
    <row r="403" spans="1:19">
      <c r="A403" s="142"/>
      <c r="B403" s="52"/>
      <c r="C403" s="21">
        <f t="shared" si="58"/>
        <v>1</v>
      </c>
      <c r="D403" s="631"/>
      <c r="E403" s="21">
        <f t="shared" si="59"/>
        <v>0.02</v>
      </c>
      <c r="F403" s="631"/>
      <c r="G403" s="21">
        <f t="shared" si="60"/>
        <v>1</v>
      </c>
      <c r="H403" s="631"/>
      <c r="I403" s="21">
        <f t="shared" si="61"/>
        <v>1</v>
      </c>
      <c r="J403" s="631"/>
      <c r="K403" s="21">
        <f t="shared" si="62"/>
        <v>1</v>
      </c>
      <c r="L403" s="631"/>
      <c r="M403" s="21">
        <f t="shared" si="63"/>
        <v>1</v>
      </c>
      <c r="N403" s="631"/>
      <c r="O403" s="21">
        <f t="shared" si="64"/>
        <v>1</v>
      </c>
      <c r="P403" s="631"/>
      <c r="Q403" s="21">
        <f t="shared" si="65"/>
        <v>0</v>
      </c>
      <c r="R403" s="21">
        <f t="shared" si="66"/>
        <v>0</v>
      </c>
      <c r="S403" s="308">
        <f t="shared" si="57"/>
        <v>0</v>
      </c>
    </row>
    <row r="404" spans="1:19">
      <c r="A404" s="142"/>
      <c r="B404" s="52"/>
      <c r="C404" s="21">
        <f t="shared" si="58"/>
        <v>1</v>
      </c>
      <c r="D404" s="631"/>
      <c r="E404" s="21">
        <f t="shared" si="59"/>
        <v>0.02</v>
      </c>
      <c r="F404" s="631"/>
      <c r="G404" s="21">
        <f t="shared" si="60"/>
        <v>1</v>
      </c>
      <c r="H404" s="631"/>
      <c r="I404" s="21">
        <f t="shared" si="61"/>
        <v>1</v>
      </c>
      <c r="J404" s="631"/>
      <c r="K404" s="21">
        <f t="shared" si="62"/>
        <v>1</v>
      </c>
      <c r="L404" s="631"/>
      <c r="M404" s="21">
        <f t="shared" si="63"/>
        <v>1</v>
      </c>
      <c r="N404" s="631"/>
      <c r="O404" s="21">
        <f t="shared" si="64"/>
        <v>1</v>
      </c>
      <c r="P404" s="631"/>
      <c r="Q404" s="21">
        <f t="shared" si="65"/>
        <v>0</v>
      </c>
      <c r="R404" s="21">
        <f t="shared" si="66"/>
        <v>0</v>
      </c>
      <c r="S404" s="308">
        <f t="shared" si="57"/>
        <v>0</v>
      </c>
    </row>
    <row r="405" spans="1:19">
      <c r="A405" s="142"/>
      <c r="B405" s="52"/>
      <c r="C405" s="21">
        <f t="shared" si="58"/>
        <v>1</v>
      </c>
      <c r="D405" s="631"/>
      <c r="E405" s="21">
        <f t="shared" si="59"/>
        <v>0.02</v>
      </c>
      <c r="F405" s="631"/>
      <c r="G405" s="21">
        <f t="shared" si="60"/>
        <v>1</v>
      </c>
      <c r="H405" s="631"/>
      <c r="I405" s="21">
        <f t="shared" si="61"/>
        <v>1</v>
      </c>
      <c r="J405" s="631"/>
      <c r="K405" s="21">
        <f t="shared" si="62"/>
        <v>1</v>
      </c>
      <c r="L405" s="631"/>
      <c r="M405" s="21">
        <f t="shared" si="63"/>
        <v>1</v>
      </c>
      <c r="N405" s="631"/>
      <c r="O405" s="21">
        <f t="shared" si="64"/>
        <v>1</v>
      </c>
      <c r="P405" s="631"/>
      <c r="Q405" s="21">
        <f t="shared" si="65"/>
        <v>0</v>
      </c>
      <c r="R405" s="21">
        <f t="shared" si="66"/>
        <v>0</v>
      </c>
      <c r="S405" s="308">
        <f t="shared" si="57"/>
        <v>0</v>
      </c>
    </row>
    <row r="406" spans="1:19">
      <c r="A406" s="142"/>
      <c r="B406" s="52"/>
      <c r="C406" s="21">
        <f t="shared" si="58"/>
        <v>1</v>
      </c>
      <c r="D406" s="631"/>
      <c r="E406" s="21">
        <f t="shared" si="59"/>
        <v>0.02</v>
      </c>
      <c r="F406" s="631"/>
      <c r="G406" s="21">
        <f t="shared" si="60"/>
        <v>1</v>
      </c>
      <c r="H406" s="631"/>
      <c r="I406" s="21">
        <f t="shared" si="61"/>
        <v>1</v>
      </c>
      <c r="J406" s="631"/>
      <c r="K406" s="21">
        <f t="shared" si="62"/>
        <v>1</v>
      </c>
      <c r="L406" s="631"/>
      <c r="M406" s="21">
        <f t="shared" si="63"/>
        <v>1</v>
      </c>
      <c r="N406" s="631"/>
      <c r="O406" s="21">
        <f t="shared" si="64"/>
        <v>1</v>
      </c>
      <c r="P406" s="631"/>
      <c r="Q406" s="21">
        <f t="shared" si="65"/>
        <v>0</v>
      </c>
      <c r="R406" s="21">
        <f t="shared" si="66"/>
        <v>0</v>
      </c>
      <c r="S406" s="308">
        <f t="shared" si="57"/>
        <v>0</v>
      </c>
    </row>
    <row r="407" spans="1:19">
      <c r="A407" s="142"/>
      <c r="B407" s="52"/>
      <c r="C407" s="21">
        <f t="shared" si="58"/>
        <v>1</v>
      </c>
      <c r="D407" s="631"/>
      <c r="E407" s="21">
        <f t="shared" si="59"/>
        <v>0.02</v>
      </c>
      <c r="F407" s="631"/>
      <c r="G407" s="21">
        <f t="shared" si="60"/>
        <v>1</v>
      </c>
      <c r="H407" s="631"/>
      <c r="I407" s="21">
        <f t="shared" si="61"/>
        <v>1</v>
      </c>
      <c r="J407" s="631"/>
      <c r="K407" s="21">
        <f t="shared" si="62"/>
        <v>1</v>
      </c>
      <c r="L407" s="631"/>
      <c r="M407" s="21">
        <f t="shared" si="63"/>
        <v>1</v>
      </c>
      <c r="N407" s="631"/>
      <c r="O407" s="21">
        <f t="shared" si="64"/>
        <v>1</v>
      </c>
      <c r="P407" s="631"/>
      <c r="Q407" s="21">
        <f t="shared" si="65"/>
        <v>0</v>
      </c>
      <c r="R407" s="21">
        <f t="shared" si="66"/>
        <v>0</v>
      </c>
      <c r="S407" s="308">
        <f t="shared" si="57"/>
        <v>0</v>
      </c>
    </row>
    <row r="408" spans="1:19">
      <c r="A408" s="142"/>
      <c r="B408" s="52"/>
      <c r="C408" s="21">
        <f t="shared" si="58"/>
        <v>1</v>
      </c>
      <c r="D408" s="631"/>
      <c r="E408" s="21">
        <f t="shared" si="59"/>
        <v>0.02</v>
      </c>
      <c r="F408" s="631"/>
      <c r="G408" s="21">
        <f t="shared" si="60"/>
        <v>1</v>
      </c>
      <c r="H408" s="631"/>
      <c r="I408" s="21">
        <f t="shared" si="61"/>
        <v>1</v>
      </c>
      <c r="J408" s="631"/>
      <c r="K408" s="21">
        <f t="shared" si="62"/>
        <v>1</v>
      </c>
      <c r="L408" s="631"/>
      <c r="M408" s="21">
        <f t="shared" si="63"/>
        <v>1</v>
      </c>
      <c r="N408" s="631"/>
      <c r="O408" s="21">
        <f t="shared" si="64"/>
        <v>1</v>
      </c>
      <c r="P408" s="631"/>
      <c r="Q408" s="21">
        <f t="shared" si="65"/>
        <v>0</v>
      </c>
      <c r="R408" s="21">
        <f t="shared" si="66"/>
        <v>0</v>
      </c>
      <c r="S408" s="308">
        <f t="shared" ref="S408:S471" si="67">ROUND(R408*B408/10000,0)</f>
        <v>0</v>
      </c>
    </row>
    <row r="409" spans="1:19">
      <c r="A409" s="142"/>
      <c r="B409" s="52"/>
      <c r="C409" s="21">
        <f t="shared" si="58"/>
        <v>1</v>
      </c>
      <c r="D409" s="631"/>
      <c r="E409" s="21">
        <f t="shared" si="59"/>
        <v>0.02</v>
      </c>
      <c r="F409" s="631"/>
      <c r="G409" s="21">
        <f t="shared" si="60"/>
        <v>1</v>
      </c>
      <c r="H409" s="631"/>
      <c r="I409" s="21">
        <f t="shared" si="61"/>
        <v>1</v>
      </c>
      <c r="J409" s="631"/>
      <c r="K409" s="21">
        <f t="shared" si="62"/>
        <v>1</v>
      </c>
      <c r="L409" s="631"/>
      <c r="M409" s="21">
        <f t="shared" si="63"/>
        <v>1</v>
      </c>
      <c r="N409" s="631"/>
      <c r="O409" s="21">
        <f t="shared" si="64"/>
        <v>1</v>
      </c>
      <c r="P409" s="631"/>
      <c r="Q409" s="21">
        <f t="shared" si="65"/>
        <v>0</v>
      </c>
      <c r="R409" s="21">
        <f t="shared" si="66"/>
        <v>0</v>
      </c>
      <c r="S409" s="308">
        <f t="shared" si="67"/>
        <v>0</v>
      </c>
    </row>
    <row r="410" spans="1:19">
      <c r="A410" s="142"/>
      <c r="B410" s="52"/>
      <c r="C410" s="21">
        <f t="shared" ref="C410:C473" si="68">IF(B410="",1,(LOOKUP(B410,$3:$3,$4:$4)-LOOKUP($B$24,$3:$3,$4:$4)+100)/100)</f>
        <v>1</v>
      </c>
      <c r="D410" s="631"/>
      <c r="E410" s="21">
        <f t="shared" ref="E410:E473" si="69">(SUMIF($5:$5,D410,$6:$6)-SUMIF($5:$5,$D$24,$6:$6)+100)/100</f>
        <v>0.02</v>
      </c>
      <c r="F410" s="631"/>
      <c r="G410" s="21">
        <f t="shared" ref="G410:G473" si="70">(SUMIF($7:$7,F410,$8:$8)-SUMIF($7:$7,$F$24,$8:$8)+100)/100</f>
        <v>1</v>
      </c>
      <c r="H410" s="631"/>
      <c r="I410" s="21">
        <f t="shared" ref="I410:I473" si="71">(SUMIF($9:$9,H410,$10:$10)-SUMIF($9:$9,$H$24,$10:$10)+100)/100</f>
        <v>1</v>
      </c>
      <c r="J410" s="631"/>
      <c r="K410" s="21">
        <f t="shared" ref="K410:K473" si="72">(SUMIF($11:$11,J410,$12:$12)-SUMIF($11:$11,$J$24,$12:$12)+100)/100</f>
        <v>1</v>
      </c>
      <c r="L410" s="631"/>
      <c r="M410" s="21">
        <f t="shared" ref="M410:M473" si="73">(SUMIF($13:$13,L410,$14:$14)-SUMIF($13:$13,$L$24,$14:$14)+100)/100</f>
        <v>1</v>
      </c>
      <c r="N410" s="631"/>
      <c r="O410" s="21">
        <f t="shared" ref="O410:O473" si="74">(SUMIF($15:$15,N410,$16:$16)-SUMIF($15:$15,$N$24,$16:$16)+100)/100</f>
        <v>1</v>
      </c>
      <c r="P410" s="631"/>
      <c r="Q410" s="21">
        <f t="shared" ref="Q410:Q473" si="75">(SUMIF($17:$17,P410,$18:$18)-SUMIF($17:$17,$P$24,$18:$18)+100)/100</f>
        <v>0</v>
      </c>
      <c r="R410" s="21">
        <f t="shared" si="66"/>
        <v>0</v>
      </c>
      <c r="S410" s="308">
        <f t="shared" si="67"/>
        <v>0</v>
      </c>
    </row>
    <row r="411" spans="1:19">
      <c r="A411" s="142"/>
      <c r="B411" s="52"/>
      <c r="C411" s="21">
        <f t="shared" si="68"/>
        <v>1</v>
      </c>
      <c r="D411" s="631"/>
      <c r="E411" s="21">
        <f t="shared" si="69"/>
        <v>0.02</v>
      </c>
      <c r="F411" s="631"/>
      <c r="G411" s="21">
        <f t="shared" si="70"/>
        <v>1</v>
      </c>
      <c r="H411" s="631"/>
      <c r="I411" s="21">
        <f t="shared" si="71"/>
        <v>1</v>
      </c>
      <c r="J411" s="631"/>
      <c r="K411" s="21">
        <f t="shared" si="72"/>
        <v>1</v>
      </c>
      <c r="L411" s="631"/>
      <c r="M411" s="21">
        <f t="shared" si="73"/>
        <v>1</v>
      </c>
      <c r="N411" s="631"/>
      <c r="O411" s="21">
        <f t="shared" si="74"/>
        <v>1</v>
      </c>
      <c r="P411" s="631"/>
      <c r="Q411" s="21">
        <f t="shared" si="75"/>
        <v>0</v>
      </c>
      <c r="R411" s="21">
        <f t="shared" si="66"/>
        <v>0</v>
      </c>
      <c r="S411" s="308">
        <f t="shared" si="67"/>
        <v>0</v>
      </c>
    </row>
    <row r="412" spans="1:19">
      <c r="A412" s="142"/>
      <c r="B412" s="52"/>
      <c r="C412" s="21">
        <f t="shared" si="68"/>
        <v>1</v>
      </c>
      <c r="D412" s="631"/>
      <c r="E412" s="21">
        <f t="shared" si="69"/>
        <v>0.02</v>
      </c>
      <c r="F412" s="631"/>
      <c r="G412" s="21">
        <f t="shared" si="70"/>
        <v>1</v>
      </c>
      <c r="H412" s="631"/>
      <c r="I412" s="21">
        <f t="shared" si="71"/>
        <v>1</v>
      </c>
      <c r="J412" s="631"/>
      <c r="K412" s="21">
        <f t="shared" si="72"/>
        <v>1</v>
      </c>
      <c r="L412" s="631"/>
      <c r="M412" s="21">
        <f t="shared" si="73"/>
        <v>1</v>
      </c>
      <c r="N412" s="631"/>
      <c r="O412" s="21">
        <f t="shared" si="74"/>
        <v>1</v>
      </c>
      <c r="P412" s="631"/>
      <c r="Q412" s="21">
        <f t="shared" si="75"/>
        <v>0</v>
      </c>
      <c r="R412" s="21">
        <f t="shared" si="66"/>
        <v>0</v>
      </c>
      <c r="S412" s="308">
        <f t="shared" si="67"/>
        <v>0</v>
      </c>
    </row>
    <row r="413" spans="1:19">
      <c r="A413" s="142"/>
      <c r="B413" s="52"/>
      <c r="C413" s="21">
        <f t="shared" si="68"/>
        <v>1</v>
      </c>
      <c r="D413" s="631"/>
      <c r="E413" s="21">
        <f t="shared" si="69"/>
        <v>0.02</v>
      </c>
      <c r="F413" s="631"/>
      <c r="G413" s="21">
        <f t="shared" si="70"/>
        <v>1</v>
      </c>
      <c r="H413" s="631"/>
      <c r="I413" s="21">
        <f t="shared" si="71"/>
        <v>1</v>
      </c>
      <c r="J413" s="631"/>
      <c r="K413" s="21">
        <f t="shared" si="72"/>
        <v>1</v>
      </c>
      <c r="L413" s="631"/>
      <c r="M413" s="21">
        <f t="shared" si="73"/>
        <v>1</v>
      </c>
      <c r="N413" s="631"/>
      <c r="O413" s="21">
        <f t="shared" si="74"/>
        <v>1</v>
      </c>
      <c r="P413" s="631"/>
      <c r="Q413" s="21">
        <f t="shared" si="75"/>
        <v>0</v>
      </c>
      <c r="R413" s="21">
        <f t="shared" si="66"/>
        <v>0</v>
      </c>
      <c r="S413" s="308">
        <f t="shared" si="67"/>
        <v>0</v>
      </c>
    </row>
    <row r="414" spans="1:19">
      <c r="A414" s="142"/>
      <c r="B414" s="52"/>
      <c r="C414" s="21">
        <f t="shared" si="68"/>
        <v>1</v>
      </c>
      <c r="D414" s="631"/>
      <c r="E414" s="21">
        <f t="shared" si="69"/>
        <v>0.02</v>
      </c>
      <c r="F414" s="631"/>
      <c r="G414" s="21">
        <f t="shared" si="70"/>
        <v>1</v>
      </c>
      <c r="H414" s="631"/>
      <c r="I414" s="21">
        <f t="shared" si="71"/>
        <v>1</v>
      </c>
      <c r="J414" s="631"/>
      <c r="K414" s="21">
        <f t="shared" si="72"/>
        <v>1</v>
      </c>
      <c r="L414" s="631"/>
      <c r="M414" s="21">
        <f t="shared" si="73"/>
        <v>1</v>
      </c>
      <c r="N414" s="631"/>
      <c r="O414" s="21">
        <f t="shared" si="74"/>
        <v>1</v>
      </c>
      <c r="P414" s="631"/>
      <c r="Q414" s="21">
        <f t="shared" si="75"/>
        <v>0</v>
      </c>
      <c r="R414" s="21">
        <f t="shared" si="66"/>
        <v>0</v>
      </c>
      <c r="S414" s="308">
        <f t="shared" si="67"/>
        <v>0</v>
      </c>
    </row>
    <row r="415" spans="1:19">
      <c r="A415" s="142"/>
      <c r="B415" s="52"/>
      <c r="C415" s="21">
        <f t="shared" si="68"/>
        <v>1</v>
      </c>
      <c r="D415" s="631"/>
      <c r="E415" s="21">
        <f t="shared" si="69"/>
        <v>0.02</v>
      </c>
      <c r="F415" s="631"/>
      <c r="G415" s="21">
        <f t="shared" si="70"/>
        <v>1</v>
      </c>
      <c r="H415" s="631"/>
      <c r="I415" s="21">
        <f t="shared" si="71"/>
        <v>1</v>
      </c>
      <c r="J415" s="631"/>
      <c r="K415" s="21">
        <f t="shared" si="72"/>
        <v>1</v>
      </c>
      <c r="L415" s="631"/>
      <c r="M415" s="21">
        <f t="shared" si="73"/>
        <v>1</v>
      </c>
      <c r="N415" s="631"/>
      <c r="O415" s="21">
        <f t="shared" si="74"/>
        <v>1</v>
      </c>
      <c r="P415" s="631"/>
      <c r="Q415" s="21">
        <f t="shared" si="75"/>
        <v>0</v>
      </c>
      <c r="R415" s="21">
        <f t="shared" si="66"/>
        <v>0</v>
      </c>
      <c r="S415" s="308">
        <f t="shared" si="67"/>
        <v>0</v>
      </c>
    </row>
    <row r="416" spans="1:19">
      <c r="A416" s="142"/>
      <c r="B416" s="52"/>
      <c r="C416" s="21">
        <f t="shared" si="68"/>
        <v>1</v>
      </c>
      <c r="D416" s="631"/>
      <c r="E416" s="21">
        <f t="shared" si="69"/>
        <v>0.02</v>
      </c>
      <c r="F416" s="631"/>
      <c r="G416" s="21">
        <f t="shared" si="70"/>
        <v>1</v>
      </c>
      <c r="H416" s="631"/>
      <c r="I416" s="21">
        <f t="shared" si="71"/>
        <v>1</v>
      </c>
      <c r="J416" s="631"/>
      <c r="K416" s="21">
        <f t="shared" si="72"/>
        <v>1</v>
      </c>
      <c r="L416" s="631"/>
      <c r="M416" s="21">
        <f t="shared" si="73"/>
        <v>1</v>
      </c>
      <c r="N416" s="631"/>
      <c r="O416" s="21">
        <f t="shared" si="74"/>
        <v>1</v>
      </c>
      <c r="P416" s="631"/>
      <c r="Q416" s="21">
        <f t="shared" si="75"/>
        <v>0</v>
      </c>
      <c r="R416" s="21">
        <f t="shared" si="66"/>
        <v>0</v>
      </c>
      <c r="S416" s="308">
        <f t="shared" si="67"/>
        <v>0</v>
      </c>
    </row>
    <row r="417" spans="1:19">
      <c r="A417" s="142"/>
      <c r="B417" s="52"/>
      <c r="C417" s="21">
        <f t="shared" si="68"/>
        <v>1</v>
      </c>
      <c r="D417" s="631"/>
      <c r="E417" s="21">
        <f t="shared" si="69"/>
        <v>0.02</v>
      </c>
      <c r="F417" s="631"/>
      <c r="G417" s="21">
        <f t="shared" si="70"/>
        <v>1</v>
      </c>
      <c r="H417" s="631"/>
      <c r="I417" s="21">
        <f t="shared" si="71"/>
        <v>1</v>
      </c>
      <c r="J417" s="631"/>
      <c r="K417" s="21">
        <f t="shared" si="72"/>
        <v>1</v>
      </c>
      <c r="L417" s="631"/>
      <c r="M417" s="21">
        <f t="shared" si="73"/>
        <v>1</v>
      </c>
      <c r="N417" s="631"/>
      <c r="O417" s="21">
        <f t="shared" si="74"/>
        <v>1</v>
      </c>
      <c r="P417" s="631"/>
      <c r="Q417" s="21">
        <f t="shared" si="75"/>
        <v>0</v>
      </c>
      <c r="R417" s="21">
        <f t="shared" si="66"/>
        <v>0</v>
      </c>
      <c r="S417" s="308">
        <f t="shared" si="67"/>
        <v>0</v>
      </c>
    </row>
    <row r="418" spans="1:19">
      <c r="A418" s="142"/>
      <c r="B418" s="52"/>
      <c r="C418" s="21">
        <f t="shared" si="68"/>
        <v>1</v>
      </c>
      <c r="D418" s="631"/>
      <c r="E418" s="21">
        <f t="shared" si="69"/>
        <v>0.02</v>
      </c>
      <c r="F418" s="631"/>
      <c r="G418" s="21">
        <f t="shared" si="70"/>
        <v>1</v>
      </c>
      <c r="H418" s="631"/>
      <c r="I418" s="21">
        <f t="shared" si="71"/>
        <v>1</v>
      </c>
      <c r="J418" s="631"/>
      <c r="K418" s="21">
        <f t="shared" si="72"/>
        <v>1</v>
      </c>
      <c r="L418" s="631"/>
      <c r="M418" s="21">
        <f t="shared" si="73"/>
        <v>1</v>
      </c>
      <c r="N418" s="631"/>
      <c r="O418" s="21">
        <f t="shared" si="74"/>
        <v>1</v>
      </c>
      <c r="P418" s="631"/>
      <c r="Q418" s="21">
        <f t="shared" si="75"/>
        <v>0</v>
      </c>
      <c r="R418" s="21">
        <f t="shared" si="66"/>
        <v>0</v>
      </c>
      <c r="S418" s="308">
        <f t="shared" si="67"/>
        <v>0</v>
      </c>
    </row>
    <row r="419" spans="1:19">
      <c r="A419" s="142"/>
      <c r="B419" s="52"/>
      <c r="C419" s="21">
        <f t="shared" si="68"/>
        <v>1</v>
      </c>
      <c r="D419" s="631"/>
      <c r="E419" s="21">
        <f t="shared" si="69"/>
        <v>0.02</v>
      </c>
      <c r="F419" s="631"/>
      <c r="G419" s="21">
        <f t="shared" si="70"/>
        <v>1</v>
      </c>
      <c r="H419" s="631"/>
      <c r="I419" s="21">
        <f t="shared" si="71"/>
        <v>1</v>
      </c>
      <c r="J419" s="631"/>
      <c r="K419" s="21">
        <f t="shared" si="72"/>
        <v>1</v>
      </c>
      <c r="L419" s="631"/>
      <c r="M419" s="21">
        <f t="shared" si="73"/>
        <v>1</v>
      </c>
      <c r="N419" s="631"/>
      <c r="O419" s="21">
        <f t="shared" si="74"/>
        <v>1</v>
      </c>
      <c r="P419" s="631"/>
      <c r="Q419" s="21">
        <f t="shared" si="75"/>
        <v>0</v>
      </c>
      <c r="R419" s="21">
        <f t="shared" si="66"/>
        <v>0</v>
      </c>
      <c r="S419" s="308">
        <f t="shared" si="67"/>
        <v>0</v>
      </c>
    </row>
    <row r="420" spans="1:19">
      <c r="A420" s="142"/>
      <c r="B420" s="52"/>
      <c r="C420" s="21">
        <f t="shared" si="68"/>
        <v>1</v>
      </c>
      <c r="D420" s="631"/>
      <c r="E420" s="21">
        <f t="shared" si="69"/>
        <v>0.02</v>
      </c>
      <c r="F420" s="631"/>
      <c r="G420" s="21">
        <f t="shared" si="70"/>
        <v>1</v>
      </c>
      <c r="H420" s="631"/>
      <c r="I420" s="21">
        <f t="shared" si="71"/>
        <v>1</v>
      </c>
      <c r="J420" s="631"/>
      <c r="K420" s="21">
        <f t="shared" si="72"/>
        <v>1</v>
      </c>
      <c r="L420" s="631"/>
      <c r="M420" s="21">
        <f t="shared" si="73"/>
        <v>1</v>
      </c>
      <c r="N420" s="631"/>
      <c r="O420" s="21">
        <f t="shared" si="74"/>
        <v>1</v>
      </c>
      <c r="P420" s="631"/>
      <c r="Q420" s="21">
        <f t="shared" si="75"/>
        <v>0</v>
      </c>
      <c r="R420" s="21">
        <f t="shared" si="66"/>
        <v>0</v>
      </c>
      <c r="S420" s="308">
        <f t="shared" si="67"/>
        <v>0</v>
      </c>
    </row>
    <row r="421" spans="1:19">
      <c r="A421" s="142"/>
      <c r="B421" s="52"/>
      <c r="C421" s="21">
        <f t="shared" si="68"/>
        <v>1</v>
      </c>
      <c r="D421" s="631"/>
      <c r="E421" s="21">
        <f t="shared" si="69"/>
        <v>0.02</v>
      </c>
      <c r="F421" s="631"/>
      <c r="G421" s="21">
        <f t="shared" si="70"/>
        <v>1</v>
      </c>
      <c r="H421" s="631"/>
      <c r="I421" s="21">
        <f t="shared" si="71"/>
        <v>1</v>
      </c>
      <c r="J421" s="631"/>
      <c r="K421" s="21">
        <f t="shared" si="72"/>
        <v>1</v>
      </c>
      <c r="L421" s="631"/>
      <c r="M421" s="21">
        <f t="shared" si="73"/>
        <v>1</v>
      </c>
      <c r="N421" s="631"/>
      <c r="O421" s="21">
        <f t="shared" si="74"/>
        <v>1</v>
      </c>
      <c r="P421" s="631"/>
      <c r="Q421" s="21">
        <f t="shared" si="75"/>
        <v>0</v>
      </c>
      <c r="R421" s="21">
        <f t="shared" si="66"/>
        <v>0</v>
      </c>
      <c r="S421" s="308">
        <f t="shared" si="67"/>
        <v>0</v>
      </c>
    </row>
    <row r="422" spans="1:19">
      <c r="A422" s="142"/>
      <c r="B422" s="52"/>
      <c r="C422" s="21">
        <f t="shared" si="68"/>
        <v>1</v>
      </c>
      <c r="D422" s="631"/>
      <c r="E422" s="21">
        <f t="shared" si="69"/>
        <v>0.02</v>
      </c>
      <c r="F422" s="631"/>
      <c r="G422" s="21">
        <f t="shared" si="70"/>
        <v>1</v>
      </c>
      <c r="H422" s="631"/>
      <c r="I422" s="21">
        <f t="shared" si="71"/>
        <v>1</v>
      </c>
      <c r="J422" s="631"/>
      <c r="K422" s="21">
        <f t="shared" si="72"/>
        <v>1</v>
      </c>
      <c r="L422" s="631"/>
      <c r="M422" s="21">
        <f t="shared" si="73"/>
        <v>1</v>
      </c>
      <c r="N422" s="631"/>
      <c r="O422" s="21">
        <f t="shared" si="74"/>
        <v>1</v>
      </c>
      <c r="P422" s="631"/>
      <c r="Q422" s="21">
        <f t="shared" si="75"/>
        <v>0</v>
      </c>
      <c r="R422" s="21">
        <f t="shared" ref="R422:R485" si="76">IF(B422="",0,ROUND($R$24*C422*E422*G422*I422*K422*M422*O422*Q422,0))</f>
        <v>0</v>
      </c>
      <c r="S422" s="308">
        <f t="shared" si="67"/>
        <v>0</v>
      </c>
    </row>
    <row r="423" spans="1:19">
      <c r="A423" s="142"/>
      <c r="B423" s="52"/>
      <c r="C423" s="21">
        <f t="shared" si="68"/>
        <v>1</v>
      </c>
      <c r="D423" s="631"/>
      <c r="E423" s="21">
        <f t="shared" si="69"/>
        <v>0.02</v>
      </c>
      <c r="F423" s="631"/>
      <c r="G423" s="21">
        <f t="shared" si="70"/>
        <v>1</v>
      </c>
      <c r="H423" s="631"/>
      <c r="I423" s="21">
        <f t="shared" si="71"/>
        <v>1</v>
      </c>
      <c r="J423" s="631"/>
      <c r="K423" s="21">
        <f t="shared" si="72"/>
        <v>1</v>
      </c>
      <c r="L423" s="631"/>
      <c r="M423" s="21">
        <f t="shared" si="73"/>
        <v>1</v>
      </c>
      <c r="N423" s="631"/>
      <c r="O423" s="21">
        <f t="shared" si="74"/>
        <v>1</v>
      </c>
      <c r="P423" s="631"/>
      <c r="Q423" s="21">
        <f t="shared" si="75"/>
        <v>0</v>
      </c>
      <c r="R423" s="21">
        <f t="shared" si="76"/>
        <v>0</v>
      </c>
      <c r="S423" s="308">
        <f t="shared" si="67"/>
        <v>0</v>
      </c>
    </row>
    <row r="424" spans="1:19">
      <c r="A424" s="142"/>
      <c r="B424" s="52"/>
      <c r="C424" s="21">
        <f t="shared" si="68"/>
        <v>1</v>
      </c>
      <c r="D424" s="631"/>
      <c r="E424" s="21">
        <f t="shared" si="69"/>
        <v>0.02</v>
      </c>
      <c r="F424" s="631"/>
      <c r="G424" s="21">
        <f t="shared" si="70"/>
        <v>1</v>
      </c>
      <c r="H424" s="631"/>
      <c r="I424" s="21">
        <f t="shared" si="71"/>
        <v>1</v>
      </c>
      <c r="J424" s="631"/>
      <c r="K424" s="21">
        <f t="shared" si="72"/>
        <v>1</v>
      </c>
      <c r="L424" s="631"/>
      <c r="M424" s="21">
        <f t="shared" si="73"/>
        <v>1</v>
      </c>
      <c r="N424" s="631"/>
      <c r="O424" s="21">
        <f t="shared" si="74"/>
        <v>1</v>
      </c>
      <c r="P424" s="631"/>
      <c r="Q424" s="21">
        <f t="shared" si="75"/>
        <v>0</v>
      </c>
      <c r="R424" s="21">
        <f t="shared" si="76"/>
        <v>0</v>
      </c>
      <c r="S424" s="308">
        <f t="shared" si="67"/>
        <v>0</v>
      </c>
    </row>
    <row r="425" spans="1:19">
      <c r="A425" s="142"/>
      <c r="B425" s="52"/>
      <c r="C425" s="21">
        <f t="shared" si="68"/>
        <v>1</v>
      </c>
      <c r="D425" s="631"/>
      <c r="E425" s="21">
        <f t="shared" si="69"/>
        <v>0.02</v>
      </c>
      <c r="F425" s="631"/>
      <c r="G425" s="21">
        <f t="shared" si="70"/>
        <v>1</v>
      </c>
      <c r="H425" s="631"/>
      <c r="I425" s="21">
        <f t="shared" si="71"/>
        <v>1</v>
      </c>
      <c r="J425" s="631"/>
      <c r="K425" s="21">
        <f t="shared" si="72"/>
        <v>1</v>
      </c>
      <c r="L425" s="631"/>
      <c r="M425" s="21">
        <f t="shared" si="73"/>
        <v>1</v>
      </c>
      <c r="N425" s="631"/>
      <c r="O425" s="21">
        <f t="shared" si="74"/>
        <v>1</v>
      </c>
      <c r="P425" s="631"/>
      <c r="Q425" s="21">
        <f t="shared" si="75"/>
        <v>0</v>
      </c>
      <c r="R425" s="21">
        <f t="shared" si="76"/>
        <v>0</v>
      </c>
      <c r="S425" s="308">
        <f t="shared" si="67"/>
        <v>0</v>
      </c>
    </row>
    <row r="426" spans="1:19">
      <c r="A426" s="142"/>
      <c r="B426" s="52"/>
      <c r="C426" s="21">
        <f t="shared" si="68"/>
        <v>1</v>
      </c>
      <c r="D426" s="631"/>
      <c r="E426" s="21">
        <f t="shared" si="69"/>
        <v>0.02</v>
      </c>
      <c r="F426" s="631"/>
      <c r="G426" s="21">
        <f t="shared" si="70"/>
        <v>1</v>
      </c>
      <c r="H426" s="631"/>
      <c r="I426" s="21">
        <f t="shared" si="71"/>
        <v>1</v>
      </c>
      <c r="J426" s="631"/>
      <c r="K426" s="21">
        <f t="shared" si="72"/>
        <v>1</v>
      </c>
      <c r="L426" s="631"/>
      <c r="M426" s="21">
        <f t="shared" si="73"/>
        <v>1</v>
      </c>
      <c r="N426" s="631"/>
      <c r="O426" s="21">
        <f t="shared" si="74"/>
        <v>1</v>
      </c>
      <c r="P426" s="631"/>
      <c r="Q426" s="21">
        <f t="shared" si="75"/>
        <v>0</v>
      </c>
      <c r="R426" s="21">
        <f t="shared" si="76"/>
        <v>0</v>
      </c>
      <c r="S426" s="308">
        <f t="shared" si="67"/>
        <v>0</v>
      </c>
    </row>
    <row r="427" spans="1:19">
      <c r="A427" s="142"/>
      <c r="B427" s="52"/>
      <c r="C427" s="21">
        <f t="shared" si="68"/>
        <v>1</v>
      </c>
      <c r="D427" s="631"/>
      <c r="E427" s="21">
        <f t="shared" si="69"/>
        <v>0.02</v>
      </c>
      <c r="F427" s="631"/>
      <c r="G427" s="21">
        <f t="shared" si="70"/>
        <v>1</v>
      </c>
      <c r="H427" s="631"/>
      <c r="I427" s="21">
        <f t="shared" si="71"/>
        <v>1</v>
      </c>
      <c r="J427" s="631"/>
      <c r="K427" s="21">
        <f t="shared" si="72"/>
        <v>1</v>
      </c>
      <c r="L427" s="631"/>
      <c r="M427" s="21">
        <f t="shared" si="73"/>
        <v>1</v>
      </c>
      <c r="N427" s="631"/>
      <c r="O427" s="21">
        <f t="shared" si="74"/>
        <v>1</v>
      </c>
      <c r="P427" s="631"/>
      <c r="Q427" s="21">
        <f t="shared" si="75"/>
        <v>0</v>
      </c>
      <c r="R427" s="21">
        <f t="shared" si="76"/>
        <v>0</v>
      </c>
      <c r="S427" s="308">
        <f t="shared" si="67"/>
        <v>0</v>
      </c>
    </row>
    <row r="428" spans="1:19">
      <c r="A428" s="142"/>
      <c r="B428" s="52"/>
      <c r="C428" s="21">
        <f t="shared" si="68"/>
        <v>1</v>
      </c>
      <c r="D428" s="631"/>
      <c r="E428" s="21">
        <f t="shared" si="69"/>
        <v>0.02</v>
      </c>
      <c r="F428" s="631"/>
      <c r="G428" s="21">
        <f t="shared" si="70"/>
        <v>1</v>
      </c>
      <c r="H428" s="631"/>
      <c r="I428" s="21">
        <f t="shared" si="71"/>
        <v>1</v>
      </c>
      <c r="J428" s="631"/>
      <c r="K428" s="21">
        <f t="shared" si="72"/>
        <v>1</v>
      </c>
      <c r="L428" s="631"/>
      <c r="M428" s="21">
        <f t="shared" si="73"/>
        <v>1</v>
      </c>
      <c r="N428" s="631"/>
      <c r="O428" s="21">
        <f t="shared" si="74"/>
        <v>1</v>
      </c>
      <c r="P428" s="631"/>
      <c r="Q428" s="21">
        <f t="shared" si="75"/>
        <v>0</v>
      </c>
      <c r="R428" s="21">
        <f t="shared" si="76"/>
        <v>0</v>
      </c>
      <c r="S428" s="308">
        <f t="shared" si="67"/>
        <v>0</v>
      </c>
    </row>
    <row r="429" spans="1:19">
      <c r="A429" s="142"/>
      <c r="B429" s="52"/>
      <c r="C429" s="21">
        <f t="shared" si="68"/>
        <v>1</v>
      </c>
      <c r="D429" s="631"/>
      <c r="E429" s="21">
        <f t="shared" si="69"/>
        <v>0.02</v>
      </c>
      <c r="F429" s="631"/>
      <c r="G429" s="21">
        <f t="shared" si="70"/>
        <v>1</v>
      </c>
      <c r="H429" s="631"/>
      <c r="I429" s="21">
        <f t="shared" si="71"/>
        <v>1</v>
      </c>
      <c r="J429" s="631"/>
      <c r="K429" s="21">
        <f t="shared" si="72"/>
        <v>1</v>
      </c>
      <c r="L429" s="631"/>
      <c r="M429" s="21">
        <f t="shared" si="73"/>
        <v>1</v>
      </c>
      <c r="N429" s="631"/>
      <c r="O429" s="21">
        <f t="shared" si="74"/>
        <v>1</v>
      </c>
      <c r="P429" s="631"/>
      <c r="Q429" s="21">
        <f t="shared" si="75"/>
        <v>0</v>
      </c>
      <c r="R429" s="21">
        <f t="shared" si="76"/>
        <v>0</v>
      </c>
      <c r="S429" s="308">
        <f t="shared" si="67"/>
        <v>0</v>
      </c>
    </row>
    <row r="430" spans="1:19">
      <c r="A430" s="142"/>
      <c r="B430" s="52"/>
      <c r="C430" s="21">
        <f t="shared" si="68"/>
        <v>1</v>
      </c>
      <c r="D430" s="631"/>
      <c r="E430" s="21">
        <f t="shared" si="69"/>
        <v>0.02</v>
      </c>
      <c r="F430" s="631"/>
      <c r="G430" s="21">
        <f t="shared" si="70"/>
        <v>1</v>
      </c>
      <c r="H430" s="631"/>
      <c r="I430" s="21">
        <f t="shared" si="71"/>
        <v>1</v>
      </c>
      <c r="J430" s="631"/>
      <c r="K430" s="21">
        <f t="shared" si="72"/>
        <v>1</v>
      </c>
      <c r="L430" s="631"/>
      <c r="M430" s="21">
        <f t="shared" si="73"/>
        <v>1</v>
      </c>
      <c r="N430" s="631"/>
      <c r="O430" s="21">
        <f t="shared" si="74"/>
        <v>1</v>
      </c>
      <c r="P430" s="631"/>
      <c r="Q430" s="21">
        <f t="shared" si="75"/>
        <v>0</v>
      </c>
      <c r="R430" s="21">
        <f t="shared" si="76"/>
        <v>0</v>
      </c>
      <c r="S430" s="308">
        <f t="shared" si="67"/>
        <v>0</v>
      </c>
    </row>
    <row r="431" spans="1:19">
      <c r="A431" s="142"/>
      <c r="B431" s="52"/>
      <c r="C431" s="21">
        <f t="shared" si="68"/>
        <v>1</v>
      </c>
      <c r="D431" s="631"/>
      <c r="E431" s="21">
        <f t="shared" si="69"/>
        <v>0.02</v>
      </c>
      <c r="F431" s="631"/>
      <c r="G431" s="21">
        <f t="shared" si="70"/>
        <v>1</v>
      </c>
      <c r="H431" s="631"/>
      <c r="I431" s="21">
        <f t="shared" si="71"/>
        <v>1</v>
      </c>
      <c r="J431" s="631"/>
      <c r="K431" s="21">
        <f t="shared" si="72"/>
        <v>1</v>
      </c>
      <c r="L431" s="631"/>
      <c r="M431" s="21">
        <f t="shared" si="73"/>
        <v>1</v>
      </c>
      <c r="N431" s="631"/>
      <c r="O431" s="21">
        <f t="shared" si="74"/>
        <v>1</v>
      </c>
      <c r="P431" s="631"/>
      <c r="Q431" s="21">
        <f t="shared" si="75"/>
        <v>0</v>
      </c>
      <c r="R431" s="21">
        <f t="shared" si="76"/>
        <v>0</v>
      </c>
      <c r="S431" s="308">
        <f t="shared" si="67"/>
        <v>0</v>
      </c>
    </row>
    <row r="432" spans="1:19">
      <c r="A432" s="142"/>
      <c r="B432" s="52"/>
      <c r="C432" s="21">
        <f t="shared" si="68"/>
        <v>1</v>
      </c>
      <c r="D432" s="631"/>
      <c r="E432" s="21">
        <f t="shared" si="69"/>
        <v>0.02</v>
      </c>
      <c r="F432" s="631"/>
      <c r="G432" s="21">
        <f t="shared" si="70"/>
        <v>1</v>
      </c>
      <c r="H432" s="631"/>
      <c r="I432" s="21">
        <f t="shared" si="71"/>
        <v>1</v>
      </c>
      <c r="J432" s="631"/>
      <c r="K432" s="21">
        <f t="shared" si="72"/>
        <v>1</v>
      </c>
      <c r="L432" s="631"/>
      <c r="M432" s="21">
        <f t="shared" si="73"/>
        <v>1</v>
      </c>
      <c r="N432" s="631"/>
      <c r="O432" s="21">
        <f t="shared" si="74"/>
        <v>1</v>
      </c>
      <c r="P432" s="631"/>
      <c r="Q432" s="21">
        <f t="shared" si="75"/>
        <v>0</v>
      </c>
      <c r="R432" s="21">
        <f t="shared" si="76"/>
        <v>0</v>
      </c>
      <c r="S432" s="308">
        <f t="shared" si="67"/>
        <v>0</v>
      </c>
    </row>
    <row r="433" spans="1:19">
      <c r="A433" s="142"/>
      <c r="B433" s="52"/>
      <c r="C433" s="21">
        <f t="shared" si="68"/>
        <v>1</v>
      </c>
      <c r="D433" s="631"/>
      <c r="E433" s="21">
        <f t="shared" si="69"/>
        <v>0.02</v>
      </c>
      <c r="F433" s="631"/>
      <c r="G433" s="21">
        <f t="shared" si="70"/>
        <v>1</v>
      </c>
      <c r="H433" s="631"/>
      <c r="I433" s="21">
        <f t="shared" si="71"/>
        <v>1</v>
      </c>
      <c r="J433" s="631"/>
      <c r="K433" s="21">
        <f t="shared" si="72"/>
        <v>1</v>
      </c>
      <c r="L433" s="631"/>
      <c r="M433" s="21">
        <f t="shared" si="73"/>
        <v>1</v>
      </c>
      <c r="N433" s="631"/>
      <c r="O433" s="21">
        <f t="shared" si="74"/>
        <v>1</v>
      </c>
      <c r="P433" s="631"/>
      <c r="Q433" s="21">
        <f t="shared" si="75"/>
        <v>0</v>
      </c>
      <c r="R433" s="21">
        <f t="shared" si="76"/>
        <v>0</v>
      </c>
      <c r="S433" s="308">
        <f t="shared" si="67"/>
        <v>0</v>
      </c>
    </row>
    <row r="434" spans="1:19">
      <c r="A434" s="142"/>
      <c r="B434" s="52"/>
      <c r="C434" s="21">
        <f t="shared" si="68"/>
        <v>1</v>
      </c>
      <c r="D434" s="631"/>
      <c r="E434" s="21">
        <f t="shared" si="69"/>
        <v>0.02</v>
      </c>
      <c r="F434" s="631"/>
      <c r="G434" s="21">
        <f t="shared" si="70"/>
        <v>1</v>
      </c>
      <c r="H434" s="631"/>
      <c r="I434" s="21">
        <f t="shared" si="71"/>
        <v>1</v>
      </c>
      <c r="J434" s="631"/>
      <c r="K434" s="21">
        <f t="shared" si="72"/>
        <v>1</v>
      </c>
      <c r="L434" s="631"/>
      <c r="M434" s="21">
        <f t="shared" si="73"/>
        <v>1</v>
      </c>
      <c r="N434" s="631"/>
      <c r="O434" s="21">
        <f t="shared" si="74"/>
        <v>1</v>
      </c>
      <c r="P434" s="631"/>
      <c r="Q434" s="21">
        <f t="shared" si="75"/>
        <v>0</v>
      </c>
      <c r="R434" s="21">
        <f t="shared" si="76"/>
        <v>0</v>
      </c>
      <c r="S434" s="308">
        <f t="shared" si="67"/>
        <v>0</v>
      </c>
    </row>
    <row r="435" spans="1:19">
      <c r="A435" s="142"/>
      <c r="B435" s="52"/>
      <c r="C435" s="21">
        <f t="shared" si="68"/>
        <v>1</v>
      </c>
      <c r="D435" s="631"/>
      <c r="E435" s="21">
        <f t="shared" si="69"/>
        <v>0.02</v>
      </c>
      <c r="F435" s="631"/>
      <c r="G435" s="21">
        <f t="shared" si="70"/>
        <v>1</v>
      </c>
      <c r="H435" s="631"/>
      <c r="I435" s="21">
        <f t="shared" si="71"/>
        <v>1</v>
      </c>
      <c r="J435" s="631"/>
      <c r="K435" s="21">
        <f t="shared" si="72"/>
        <v>1</v>
      </c>
      <c r="L435" s="631"/>
      <c r="M435" s="21">
        <f t="shared" si="73"/>
        <v>1</v>
      </c>
      <c r="N435" s="631"/>
      <c r="O435" s="21">
        <f t="shared" si="74"/>
        <v>1</v>
      </c>
      <c r="P435" s="631"/>
      <c r="Q435" s="21">
        <f t="shared" si="75"/>
        <v>0</v>
      </c>
      <c r="R435" s="21">
        <f t="shared" si="76"/>
        <v>0</v>
      </c>
      <c r="S435" s="308">
        <f t="shared" si="67"/>
        <v>0</v>
      </c>
    </row>
    <row r="436" spans="1:19">
      <c r="A436" s="142"/>
      <c r="B436" s="52"/>
      <c r="C436" s="21">
        <f t="shared" si="68"/>
        <v>1</v>
      </c>
      <c r="D436" s="631"/>
      <c r="E436" s="21">
        <f t="shared" si="69"/>
        <v>0.02</v>
      </c>
      <c r="F436" s="631"/>
      <c r="G436" s="21">
        <f t="shared" si="70"/>
        <v>1</v>
      </c>
      <c r="H436" s="631"/>
      <c r="I436" s="21">
        <f t="shared" si="71"/>
        <v>1</v>
      </c>
      <c r="J436" s="631"/>
      <c r="K436" s="21">
        <f t="shared" si="72"/>
        <v>1</v>
      </c>
      <c r="L436" s="631"/>
      <c r="M436" s="21">
        <f t="shared" si="73"/>
        <v>1</v>
      </c>
      <c r="N436" s="631"/>
      <c r="O436" s="21">
        <f t="shared" si="74"/>
        <v>1</v>
      </c>
      <c r="P436" s="631"/>
      <c r="Q436" s="21">
        <f t="shared" si="75"/>
        <v>0</v>
      </c>
      <c r="R436" s="21">
        <f t="shared" si="76"/>
        <v>0</v>
      </c>
      <c r="S436" s="308">
        <f t="shared" si="67"/>
        <v>0</v>
      </c>
    </row>
    <row r="437" spans="1:19">
      <c r="A437" s="142"/>
      <c r="B437" s="52"/>
      <c r="C437" s="21">
        <f t="shared" si="68"/>
        <v>1</v>
      </c>
      <c r="D437" s="631"/>
      <c r="E437" s="21">
        <f t="shared" si="69"/>
        <v>0.02</v>
      </c>
      <c r="F437" s="631"/>
      <c r="G437" s="21">
        <f t="shared" si="70"/>
        <v>1</v>
      </c>
      <c r="H437" s="631"/>
      <c r="I437" s="21">
        <f t="shared" si="71"/>
        <v>1</v>
      </c>
      <c r="J437" s="631"/>
      <c r="K437" s="21">
        <f t="shared" si="72"/>
        <v>1</v>
      </c>
      <c r="L437" s="631"/>
      <c r="M437" s="21">
        <f t="shared" si="73"/>
        <v>1</v>
      </c>
      <c r="N437" s="631"/>
      <c r="O437" s="21">
        <f t="shared" si="74"/>
        <v>1</v>
      </c>
      <c r="P437" s="631"/>
      <c r="Q437" s="21">
        <f t="shared" si="75"/>
        <v>0</v>
      </c>
      <c r="R437" s="21">
        <f t="shared" si="76"/>
        <v>0</v>
      </c>
      <c r="S437" s="308">
        <f t="shared" si="67"/>
        <v>0</v>
      </c>
    </row>
    <row r="438" spans="1:19">
      <c r="A438" s="142"/>
      <c r="B438" s="52"/>
      <c r="C438" s="21">
        <f t="shared" si="68"/>
        <v>1</v>
      </c>
      <c r="D438" s="631"/>
      <c r="E438" s="21">
        <f t="shared" si="69"/>
        <v>0.02</v>
      </c>
      <c r="F438" s="631"/>
      <c r="G438" s="21">
        <f t="shared" si="70"/>
        <v>1</v>
      </c>
      <c r="H438" s="631"/>
      <c r="I438" s="21">
        <f t="shared" si="71"/>
        <v>1</v>
      </c>
      <c r="J438" s="631"/>
      <c r="K438" s="21">
        <f t="shared" si="72"/>
        <v>1</v>
      </c>
      <c r="L438" s="631"/>
      <c r="M438" s="21">
        <f t="shared" si="73"/>
        <v>1</v>
      </c>
      <c r="N438" s="631"/>
      <c r="O438" s="21">
        <f t="shared" si="74"/>
        <v>1</v>
      </c>
      <c r="P438" s="631"/>
      <c r="Q438" s="21">
        <f t="shared" si="75"/>
        <v>0</v>
      </c>
      <c r="R438" s="21">
        <f t="shared" si="76"/>
        <v>0</v>
      </c>
      <c r="S438" s="308">
        <f t="shared" si="67"/>
        <v>0</v>
      </c>
    </row>
    <row r="439" spans="1:19">
      <c r="A439" s="142"/>
      <c r="B439" s="52"/>
      <c r="C439" s="21">
        <f t="shared" si="68"/>
        <v>1</v>
      </c>
      <c r="D439" s="631"/>
      <c r="E439" s="21">
        <f t="shared" si="69"/>
        <v>0.02</v>
      </c>
      <c r="F439" s="631"/>
      <c r="G439" s="21">
        <f t="shared" si="70"/>
        <v>1</v>
      </c>
      <c r="H439" s="631"/>
      <c r="I439" s="21">
        <f t="shared" si="71"/>
        <v>1</v>
      </c>
      <c r="J439" s="631"/>
      <c r="K439" s="21">
        <f t="shared" si="72"/>
        <v>1</v>
      </c>
      <c r="L439" s="631"/>
      <c r="M439" s="21">
        <f t="shared" si="73"/>
        <v>1</v>
      </c>
      <c r="N439" s="631"/>
      <c r="O439" s="21">
        <f t="shared" si="74"/>
        <v>1</v>
      </c>
      <c r="P439" s="631"/>
      <c r="Q439" s="21">
        <f t="shared" si="75"/>
        <v>0</v>
      </c>
      <c r="R439" s="21">
        <f t="shared" si="76"/>
        <v>0</v>
      </c>
      <c r="S439" s="308">
        <f t="shared" si="67"/>
        <v>0</v>
      </c>
    </row>
    <row r="440" spans="1:19">
      <c r="A440" s="142"/>
      <c r="B440" s="52"/>
      <c r="C440" s="21">
        <f t="shared" si="68"/>
        <v>1</v>
      </c>
      <c r="D440" s="631"/>
      <c r="E440" s="21">
        <f t="shared" si="69"/>
        <v>0.02</v>
      </c>
      <c r="F440" s="631"/>
      <c r="G440" s="21">
        <f t="shared" si="70"/>
        <v>1</v>
      </c>
      <c r="H440" s="631"/>
      <c r="I440" s="21">
        <f t="shared" si="71"/>
        <v>1</v>
      </c>
      <c r="J440" s="631"/>
      <c r="K440" s="21">
        <f t="shared" si="72"/>
        <v>1</v>
      </c>
      <c r="L440" s="631"/>
      <c r="M440" s="21">
        <f t="shared" si="73"/>
        <v>1</v>
      </c>
      <c r="N440" s="631"/>
      <c r="O440" s="21">
        <f t="shared" si="74"/>
        <v>1</v>
      </c>
      <c r="P440" s="631"/>
      <c r="Q440" s="21">
        <f t="shared" si="75"/>
        <v>0</v>
      </c>
      <c r="R440" s="21">
        <f t="shared" si="76"/>
        <v>0</v>
      </c>
      <c r="S440" s="308">
        <f t="shared" si="67"/>
        <v>0</v>
      </c>
    </row>
    <row r="441" spans="1:19">
      <c r="A441" s="142"/>
      <c r="B441" s="52"/>
      <c r="C441" s="21">
        <f t="shared" si="68"/>
        <v>1</v>
      </c>
      <c r="D441" s="631"/>
      <c r="E441" s="21">
        <f t="shared" si="69"/>
        <v>0.02</v>
      </c>
      <c r="F441" s="631"/>
      <c r="G441" s="21">
        <f t="shared" si="70"/>
        <v>1</v>
      </c>
      <c r="H441" s="631"/>
      <c r="I441" s="21">
        <f t="shared" si="71"/>
        <v>1</v>
      </c>
      <c r="J441" s="631"/>
      <c r="K441" s="21">
        <f t="shared" si="72"/>
        <v>1</v>
      </c>
      <c r="L441" s="631"/>
      <c r="M441" s="21">
        <f t="shared" si="73"/>
        <v>1</v>
      </c>
      <c r="N441" s="631"/>
      <c r="O441" s="21">
        <f t="shared" si="74"/>
        <v>1</v>
      </c>
      <c r="P441" s="631"/>
      <c r="Q441" s="21">
        <f t="shared" si="75"/>
        <v>0</v>
      </c>
      <c r="R441" s="21">
        <f t="shared" si="76"/>
        <v>0</v>
      </c>
      <c r="S441" s="308">
        <f t="shared" si="67"/>
        <v>0</v>
      </c>
    </row>
    <row r="442" spans="1:19">
      <c r="A442" s="142"/>
      <c r="B442" s="52"/>
      <c r="C442" s="21">
        <f t="shared" si="68"/>
        <v>1</v>
      </c>
      <c r="D442" s="631"/>
      <c r="E442" s="21">
        <f t="shared" si="69"/>
        <v>0.02</v>
      </c>
      <c r="F442" s="631"/>
      <c r="G442" s="21">
        <f t="shared" si="70"/>
        <v>1</v>
      </c>
      <c r="H442" s="631"/>
      <c r="I442" s="21">
        <f t="shared" si="71"/>
        <v>1</v>
      </c>
      <c r="J442" s="631"/>
      <c r="K442" s="21">
        <f t="shared" si="72"/>
        <v>1</v>
      </c>
      <c r="L442" s="631"/>
      <c r="M442" s="21">
        <f t="shared" si="73"/>
        <v>1</v>
      </c>
      <c r="N442" s="631"/>
      <c r="O442" s="21">
        <f t="shared" si="74"/>
        <v>1</v>
      </c>
      <c r="P442" s="631"/>
      <c r="Q442" s="21">
        <f t="shared" si="75"/>
        <v>0</v>
      </c>
      <c r="R442" s="21">
        <f t="shared" si="76"/>
        <v>0</v>
      </c>
      <c r="S442" s="308">
        <f t="shared" si="67"/>
        <v>0</v>
      </c>
    </row>
    <row r="443" spans="1:19">
      <c r="A443" s="142"/>
      <c r="B443" s="52"/>
      <c r="C443" s="21">
        <f t="shared" si="68"/>
        <v>1</v>
      </c>
      <c r="D443" s="631"/>
      <c r="E443" s="21">
        <f t="shared" si="69"/>
        <v>0.02</v>
      </c>
      <c r="F443" s="631"/>
      <c r="G443" s="21">
        <f t="shared" si="70"/>
        <v>1</v>
      </c>
      <c r="H443" s="631"/>
      <c r="I443" s="21">
        <f t="shared" si="71"/>
        <v>1</v>
      </c>
      <c r="J443" s="631"/>
      <c r="K443" s="21">
        <f t="shared" si="72"/>
        <v>1</v>
      </c>
      <c r="L443" s="631"/>
      <c r="M443" s="21">
        <f t="shared" si="73"/>
        <v>1</v>
      </c>
      <c r="N443" s="631"/>
      <c r="O443" s="21">
        <f t="shared" si="74"/>
        <v>1</v>
      </c>
      <c r="P443" s="631"/>
      <c r="Q443" s="21">
        <f t="shared" si="75"/>
        <v>0</v>
      </c>
      <c r="R443" s="21">
        <f t="shared" si="76"/>
        <v>0</v>
      </c>
      <c r="S443" s="308">
        <f t="shared" si="67"/>
        <v>0</v>
      </c>
    </row>
    <row r="444" spans="1:19">
      <c r="A444" s="142"/>
      <c r="B444" s="52"/>
      <c r="C444" s="21">
        <f t="shared" si="68"/>
        <v>1</v>
      </c>
      <c r="D444" s="631"/>
      <c r="E444" s="21">
        <f t="shared" si="69"/>
        <v>0.02</v>
      </c>
      <c r="F444" s="631"/>
      <c r="G444" s="21">
        <f t="shared" si="70"/>
        <v>1</v>
      </c>
      <c r="H444" s="631"/>
      <c r="I444" s="21">
        <f t="shared" si="71"/>
        <v>1</v>
      </c>
      <c r="J444" s="631"/>
      <c r="K444" s="21">
        <f t="shared" si="72"/>
        <v>1</v>
      </c>
      <c r="L444" s="631"/>
      <c r="M444" s="21">
        <f t="shared" si="73"/>
        <v>1</v>
      </c>
      <c r="N444" s="631"/>
      <c r="O444" s="21">
        <f t="shared" si="74"/>
        <v>1</v>
      </c>
      <c r="P444" s="631"/>
      <c r="Q444" s="21">
        <f t="shared" si="75"/>
        <v>0</v>
      </c>
      <c r="R444" s="21">
        <f t="shared" si="76"/>
        <v>0</v>
      </c>
      <c r="S444" s="308">
        <f t="shared" si="67"/>
        <v>0</v>
      </c>
    </row>
    <row r="445" spans="1:19">
      <c r="A445" s="142"/>
      <c r="B445" s="52"/>
      <c r="C445" s="21">
        <f t="shared" si="68"/>
        <v>1</v>
      </c>
      <c r="D445" s="631"/>
      <c r="E445" s="21">
        <f t="shared" si="69"/>
        <v>0.02</v>
      </c>
      <c r="F445" s="631"/>
      <c r="G445" s="21">
        <f t="shared" si="70"/>
        <v>1</v>
      </c>
      <c r="H445" s="631"/>
      <c r="I445" s="21">
        <f t="shared" si="71"/>
        <v>1</v>
      </c>
      <c r="J445" s="631"/>
      <c r="K445" s="21">
        <f t="shared" si="72"/>
        <v>1</v>
      </c>
      <c r="L445" s="631"/>
      <c r="M445" s="21">
        <f t="shared" si="73"/>
        <v>1</v>
      </c>
      <c r="N445" s="631"/>
      <c r="O445" s="21">
        <f t="shared" si="74"/>
        <v>1</v>
      </c>
      <c r="P445" s="631"/>
      <c r="Q445" s="21">
        <f t="shared" si="75"/>
        <v>0</v>
      </c>
      <c r="R445" s="21">
        <f t="shared" si="76"/>
        <v>0</v>
      </c>
      <c r="S445" s="308">
        <f t="shared" si="67"/>
        <v>0</v>
      </c>
    </row>
    <row r="446" spans="1:19">
      <c r="A446" s="142"/>
      <c r="B446" s="52"/>
      <c r="C446" s="21">
        <f t="shared" si="68"/>
        <v>1</v>
      </c>
      <c r="D446" s="631"/>
      <c r="E446" s="21">
        <f t="shared" si="69"/>
        <v>0.02</v>
      </c>
      <c r="F446" s="631"/>
      <c r="G446" s="21">
        <f t="shared" si="70"/>
        <v>1</v>
      </c>
      <c r="H446" s="631"/>
      <c r="I446" s="21">
        <f t="shared" si="71"/>
        <v>1</v>
      </c>
      <c r="J446" s="631"/>
      <c r="K446" s="21">
        <f t="shared" si="72"/>
        <v>1</v>
      </c>
      <c r="L446" s="631"/>
      <c r="M446" s="21">
        <f t="shared" si="73"/>
        <v>1</v>
      </c>
      <c r="N446" s="631"/>
      <c r="O446" s="21">
        <f t="shared" si="74"/>
        <v>1</v>
      </c>
      <c r="P446" s="631"/>
      <c r="Q446" s="21">
        <f t="shared" si="75"/>
        <v>0</v>
      </c>
      <c r="R446" s="21">
        <f t="shared" si="76"/>
        <v>0</v>
      </c>
      <c r="S446" s="308">
        <f t="shared" si="67"/>
        <v>0</v>
      </c>
    </row>
    <row r="447" spans="1:19">
      <c r="A447" s="142"/>
      <c r="B447" s="52"/>
      <c r="C447" s="21">
        <f t="shared" si="68"/>
        <v>1</v>
      </c>
      <c r="D447" s="631"/>
      <c r="E447" s="21">
        <f t="shared" si="69"/>
        <v>0.02</v>
      </c>
      <c r="F447" s="631"/>
      <c r="G447" s="21">
        <f t="shared" si="70"/>
        <v>1</v>
      </c>
      <c r="H447" s="631"/>
      <c r="I447" s="21">
        <f t="shared" si="71"/>
        <v>1</v>
      </c>
      <c r="J447" s="631"/>
      <c r="K447" s="21">
        <f t="shared" si="72"/>
        <v>1</v>
      </c>
      <c r="L447" s="631"/>
      <c r="M447" s="21">
        <f t="shared" si="73"/>
        <v>1</v>
      </c>
      <c r="N447" s="631"/>
      <c r="O447" s="21">
        <f t="shared" si="74"/>
        <v>1</v>
      </c>
      <c r="P447" s="631"/>
      <c r="Q447" s="21">
        <f t="shared" si="75"/>
        <v>0</v>
      </c>
      <c r="R447" s="21">
        <f t="shared" si="76"/>
        <v>0</v>
      </c>
      <c r="S447" s="308">
        <f t="shared" si="67"/>
        <v>0</v>
      </c>
    </row>
    <row r="448" spans="1:19">
      <c r="A448" s="142"/>
      <c r="B448" s="52"/>
      <c r="C448" s="21">
        <f t="shared" si="68"/>
        <v>1</v>
      </c>
      <c r="D448" s="631"/>
      <c r="E448" s="21">
        <f t="shared" si="69"/>
        <v>0.02</v>
      </c>
      <c r="F448" s="631"/>
      <c r="G448" s="21">
        <f t="shared" si="70"/>
        <v>1</v>
      </c>
      <c r="H448" s="631"/>
      <c r="I448" s="21">
        <f t="shared" si="71"/>
        <v>1</v>
      </c>
      <c r="J448" s="631"/>
      <c r="K448" s="21">
        <f t="shared" si="72"/>
        <v>1</v>
      </c>
      <c r="L448" s="631"/>
      <c r="M448" s="21">
        <f t="shared" si="73"/>
        <v>1</v>
      </c>
      <c r="N448" s="631"/>
      <c r="O448" s="21">
        <f t="shared" si="74"/>
        <v>1</v>
      </c>
      <c r="P448" s="631"/>
      <c r="Q448" s="21">
        <f t="shared" si="75"/>
        <v>0</v>
      </c>
      <c r="R448" s="21">
        <f t="shared" si="76"/>
        <v>0</v>
      </c>
      <c r="S448" s="308">
        <f t="shared" si="67"/>
        <v>0</v>
      </c>
    </row>
    <row r="449" spans="1:19">
      <c r="A449" s="142"/>
      <c r="B449" s="52"/>
      <c r="C449" s="21">
        <f t="shared" si="68"/>
        <v>1</v>
      </c>
      <c r="D449" s="631"/>
      <c r="E449" s="21">
        <f t="shared" si="69"/>
        <v>0.02</v>
      </c>
      <c r="F449" s="631"/>
      <c r="G449" s="21">
        <f t="shared" si="70"/>
        <v>1</v>
      </c>
      <c r="H449" s="631"/>
      <c r="I449" s="21">
        <f t="shared" si="71"/>
        <v>1</v>
      </c>
      <c r="J449" s="631"/>
      <c r="K449" s="21">
        <f t="shared" si="72"/>
        <v>1</v>
      </c>
      <c r="L449" s="631"/>
      <c r="M449" s="21">
        <f t="shared" si="73"/>
        <v>1</v>
      </c>
      <c r="N449" s="631"/>
      <c r="O449" s="21">
        <f t="shared" si="74"/>
        <v>1</v>
      </c>
      <c r="P449" s="631"/>
      <c r="Q449" s="21">
        <f t="shared" si="75"/>
        <v>0</v>
      </c>
      <c r="R449" s="21">
        <f t="shared" si="76"/>
        <v>0</v>
      </c>
      <c r="S449" s="308">
        <f t="shared" si="67"/>
        <v>0</v>
      </c>
    </row>
    <row r="450" spans="1:19">
      <c r="A450" s="142"/>
      <c r="B450" s="52"/>
      <c r="C450" s="21">
        <f t="shared" si="68"/>
        <v>1</v>
      </c>
      <c r="D450" s="631"/>
      <c r="E450" s="21">
        <f t="shared" si="69"/>
        <v>0.02</v>
      </c>
      <c r="F450" s="631"/>
      <c r="G450" s="21">
        <f t="shared" si="70"/>
        <v>1</v>
      </c>
      <c r="H450" s="631"/>
      <c r="I450" s="21">
        <f t="shared" si="71"/>
        <v>1</v>
      </c>
      <c r="J450" s="631"/>
      <c r="K450" s="21">
        <f t="shared" si="72"/>
        <v>1</v>
      </c>
      <c r="L450" s="631"/>
      <c r="M450" s="21">
        <f t="shared" si="73"/>
        <v>1</v>
      </c>
      <c r="N450" s="631"/>
      <c r="O450" s="21">
        <f t="shared" si="74"/>
        <v>1</v>
      </c>
      <c r="P450" s="631"/>
      <c r="Q450" s="21">
        <f t="shared" si="75"/>
        <v>0</v>
      </c>
      <c r="R450" s="21">
        <f t="shared" si="76"/>
        <v>0</v>
      </c>
      <c r="S450" s="308">
        <f t="shared" si="67"/>
        <v>0</v>
      </c>
    </row>
    <row r="451" spans="1:19">
      <c r="A451" s="142"/>
      <c r="B451" s="52"/>
      <c r="C451" s="21">
        <f t="shared" si="68"/>
        <v>1</v>
      </c>
      <c r="D451" s="631"/>
      <c r="E451" s="21">
        <f t="shared" si="69"/>
        <v>0.02</v>
      </c>
      <c r="F451" s="631"/>
      <c r="G451" s="21">
        <f t="shared" si="70"/>
        <v>1</v>
      </c>
      <c r="H451" s="631"/>
      <c r="I451" s="21">
        <f t="shared" si="71"/>
        <v>1</v>
      </c>
      <c r="J451" s="631"/>
      <c r="K451" s="21">
        <f t="shared" si="72"/>
        <v>1</v>
      </c>
      <c r="L451" s="631"/>
      <c r="M451" s="21">
        <f t="shared" si="73"/>
        <v>1</v>
      </c>
      <c r="N451" s="631"/>
      <c r="O451" s="21">
        <f t="shared" si="74"/>
        <v>1</v>
      </c>
      <c r="P451" s="631"/>
      <c r="Q451" s="21">
        <f t="shared" si="75"/>
        <v>0</v>
      </c>
      <c r="R451" s="21">
        <f t="shared" si="76"/>
        <v>0</v>
      </c>
      <c r="S451" s="308">
        <f t="shared" si="67"/>
        <v>0</v>
      </c>
    </row>
    <row r="452" spans="1:19">
      <c r="A452" s="142"/>
      <c r="B452" s="52"/>
      <c r="C452" s="21">
        <f t="shared" si="68"/>
        <v>1</v>
      </c>
      <c r="D452" s="631"/>
      <c r="E452" s="21">
        <f t="shared" si="69"/>
        <v>0.02</v>
      </c>
      <c r="F452" s="631"/>
      <c r="G452" s="21">
        <f t="shared" si="70"/>
        <v>1</v>
      </c>
      <c r="H452" s="631"/>
      <c r="I452" s="21">
        <f t="shared" si="71"/>
        <v>1</v>
      </c>
      <c r="J452" s="631"/>
      <c r="K452" s="21">
        <f t="shared" si="72"/>
        <v>1</v>
      </c>
      <c r="L452" s="631"/>
      <c r="M452" s="21">
        <f t="shared" si="73"/>
        <v>1</v>
      </c>
      <c r="N452" s="631"/>
      <c r="O452" s="21">
        <f t="shared" si="74"/>
        <v>1</v>
      </c>
      <c r="P452" s="631"/>
      <c r="Q452" s="21">
        <f t="shared" si="75"/>
        <v>0</v>
      </c>
      <c r="R452" s="21">
        <f t="shared" si="76"/>
        <v>0</v>
      </c>
      <c r="S452" s="308">
        <f t="shared" si="67"/>
        <v>0</v>
      </c>
    </row>
    <row r="453" spans="1:19">
      <c r="A453" s="142"/>
      <c r="B453" s="52"/>
      <c r="C453" s="21">
        <f t="shared" si="68"/>
        <v>1</v>
      </c>
      <c r="D453" s="631"/>
      <c r="E453" s="21">
        <f t="shared" si="69"/>
        <v>0.02</v>
      </c>
      <c r="F453" s="631"/>
      <c r="G453" s="21">
        <f t="shared" si="70"/>
        <v>1</v>
      </c>
      <c r="H453" s="631"/>
      <c r="I453" s="21">
        <f t="shared" si="71"/>
        <v>1</v>
      </c>
      <c r="J453" s="631"/>
      <c r="K453" s="21">
        <f t="shared" si="72"/>
        <v>1</v>
      </c>
      <c r="L453" s="631"/>
      <c r="M453" s="21">
        <f t="shared" si="73"/>
        <v>1</v>
      </c>
      <c r="N453" s="631"/>
      <c r="O453" s="21">
        <f t="shared" si="74"/>
        <v>1</v>
      </c>
      <c r="P453" s="631"/>
      <c r="Q453" s="21">
        <f t="shared" si="75"/>
        <v>0</v>
      </c>
      <c r="R453" s="21">
        <f t="shared" si="76"/>
        <v>0</v>
      </c>
      <c r="S453" s="308">
        <f t="shared" si="67"/>
        <v>0</v>
      </c>
    </row>
    <row r="454" spans="1:19">
      <c r="A454" s="142"/>
      <c r="B454" s="52"/>
      <c r="C454" s="21">
        <f t="shared" si="68"/>
        <v>1</v>
      </c>
      <c r="D454" s="631"/>
      <c r="E454" s="21">
        <f t="shared" si="69"/>
        <v>0.02</v>
      </c>
      <c r="F454" s="631"/>
      <c r="G454" s="21">
        <f t="shared" si="70"/>
        <v>1</v>
      </c>
      <c r="H454" s="631"/>
      <c r="I454" s="21">
        <f t="shared" si="71"/>
        <v>1</v>
      </c>
      <c r="J454" s="631"/>
      <c r="K454" s="21">
        <f t="shared" si="72"/>
        <v>1</v>
      </c>
      <c r="L454" s="631"/>
      <c r="M454" s="21">
        <f t="shared" si="73"/>
        <v>1</v>
      </c>
      <c r="N454" s="631"/>
      <c r="O454" s="21">
        <f t="shared" si="74"/>
        <v>1</v>
      </c>
      <c r="P454" s="631"/>
      <c r="Q454" s="21">
        <f t="shared" si="75"/>
        <v>0</v>
      </c>
      <c r="R454" s="21">
        <f t="shared" si="76"/>
        <v>0</v>
      </c>
      <c r="S454" s="308">
        <f t="shared" si="67"/>
        <v>0</v>
      </c>
    </row>
    <row r="455" spans="1:19">
      <c r="A455" s="142"/>
      <c r="B455" s="52"/>
      <c r="C455" s="21">
        <f t="shared" si="68"/>
        <v>1</v>
      </c>
      <c r="D455" s="631"/>
      <c r="E455" s="21">
        <f t="shared" si="69"/>
        <v>0.02</v>
      </c>
      <c r="F455" s="631"/>
      <c r="G455" s="21">
        <f t="shared" si="70"/>
        <v>1</v>
      </c>
      <c r="H455" s="631"/>
      <c r="I455" s="21">
        <f t="shared" si="71"/>
        <v>1</v>
      </c>
      <c r="J455" s="631"/>
      <c r="K455" s="21">
        <f t="shared" si="72"/>
        <v>1</v>
      </c>
      <c r="L455" s="631"/>
      <c r="M455" s="21">
        <f t="shared" si="73"/>
        <v>1</v>
      </c>
      <c r="N455" s="631"/>
      <c r="O455" s="21">
        <f t="shared" si="74"/>
        <v>1</v>
      </c>
      <c r="P455" s="631"/>
      <c r="Q455" s="21">
        <f t="shared" si="75"/>
        <v>0</v>
      </c>
      <c r="R455" s="21">
        <f t="shared" si="76"/>
        <v>0</v>
      </c>
      <c r="S455" s="308">
        <f t="shared" si="67"/>
        <v>0</v>
      </c>
    </row>
    <row r="456" spans="1:19">
      <c r="A456" s="142"/>
      <c r="B456" s="52"/>
      <c r="C456" s="21">
        <f t="shared" si="68"/>
        <v>1</v>
      </c>
      <c r="D456" s="631"/>
      <c r="E456" s="21">
        <f t="shared" si="69"/>
        <v>0.02</v>
      </c>
      <c r="F456" s="631"/>
      <c r="G456" s="21">
        <f t="shared" si="70"/>
        <v>1</v>
      </c>
      <c r="H456" s="631"/>
      <c r="I456" s="21">
        <f t="shared" si="71"/>
        <v>1</v>
      </c>
      <c r="J456" s="631"/>
      <c r="K456" s="21">
        <f t="shared" si="72"/>
        <v>1</v>
      </c>
      <c r="L456" s="631"/>
      <c r="M456" s="21">
        <f t="shared" si="73"/>
        <v>1</v>
      </c>
      <c r="N456" s="631"/>
      <c r="O456" s="21">
        <f t="shared" si="74"/>
        <v>1</v>
      </c>
      <c r="P456" s="631"/>
      <c r="Q456" s="21">
        <f t="shared" si="75"/>
        <v>0</v>
      </c>
      <c r="R456" s="21">
        <f t="shared" si="76"/>
        <v>0</v>
      </c>
      <c r="S456" s="308">
        <f t="shared" si="67"/>
        <v>0</v>
      </c>
    </row>
    <row r="457" spans="1:19">
      <c r="A457" s="142"/>
      <c r="B457" s="52"/>
      <c r="C457" s="21">
        <f t="shared" si="68"/>
        <v>1</v>
      </c>
      <c r="D457" s="631"/>
      <c r="E457" s="21">
        <f t="shared" si="69"/>
        <v>0.02</v>
      </c>
      <c r="F457" s="631"/>
      <c r="G457" s="21">
        <f t="shared" si="70"/>
        <v>1</v>
      </c>
      <c r="H457" s="631"/>
      <c r="I457" s="21">
        <f t="shared" si="71"/>
        <v>1</v>
      </c>
      <c r="J457" s="631"/>
      <c r="K457" s="21">
        <f t="shared" si="72"/>
        <v>1</v>
      </c>
      <c r="L457" s="631"/>
      <c r="M457" s="21">
        <f t="shared" si="73"/>
        <v>1</v>
      </c>
      <c r="N457" s="631"/>
      <c r="O457" s="21">
        <f t="shared" si="74"/>
        <v>1</v>
      </c>
      <c r="P457" s="631"/>
      <c r="Q457" s="21">
        <f t="shared" si="75"/>
        <v>0</v>
      </c>
      <c r="R457" s="21">
        <f t="shared" si="76"/>
        <v>0</v>
      </c>
      <c r="S457" s="308">
        <f t="shared" si="67"/>
        <v>0</v>
      </c>
    </row>
    <row r="458" spans="1:19">
      <c r="A458" s="142"/>
      <c r="B458" s="52"/>
      <c r="C458" s="21">
        <f t="shared" si="68"/>
        <v>1</v>
      </c>
      <c r="D458" s="631"/>
      <c r="E458" s="21">
        <f t="shared" si="69"/>
        <v>0.02</v>
      </c>
      <c r="F458" s="631"/>
      <c r="G458" s="21">
        <f t="shared" si="70"/>
        <v>1</v>
      </c>
      <c r="H458" s="631"/>
      <c r="I458" s="21">
        <f t="shared" si="71"/>
        <v>1</v>
      </c>
      <c r="J458" s="631"/>
      <c r="K458" s="21">
        <f t="shared" si="72"/>
        <v>1</v>
      </c>
      <c r="L458" s="631"/>
      <c r="M458" s="21">
        <f t="shared" si="73"/>
        <v>1</v>
      </c>
      <c r="N458" s="631"/>
      <c r="O458" s="21">
        <f t="shared" si="74"/>
        <v>1</v>
      </c>
      <c r="P458" s="631"/>
      <c r="Q458" s="21">
        <f t="shared" si="75"/>
        <v>0</v>
      </c>
      <c r="R458" s="21">
        <f t="shared" si="76"/>
        <v>0</v>
      </c>
      <c r="S458" s="308">
        <f t="shared" si="67"/>
        <v>0</v>
      </c>
    </row>
    <row r="459" spans="1:19">
      <c r="A459" s="142"/>
      <c r="B459" s="52"/>
      <c r="C459" s="21">
        <f t="shared" si="68"/>
        <v>1</v>
      </c>
      <c r="D459" s="631"/>
      <c r="E459" s="21">
        <f t="shared" si="69"/>
        <v>0.02</v>
      </c>
      <c r="F459" s="631"/>
      <c r="G459" s="21">
        <f t="shared" si="70"/>
        <v>1</v>
      </c>
      <c r="H459" s="631"/>
      <c r="I459" s="21">
        <f t="shared" si="71"/>
        <v>1</v>
      </c>
      <c r="J459" s="631"/>
      <c r="K459" s="21">
        <f t="shared" si="72"/>
        <v>1</v>
      </c>
      <c r="L459" s="631"/>
      <c r="M459" s="21">
        <f t="shared" si="73"/>
        <v>1</v>
      </c>
      <c r="N459" s="631"/>
      <c r="O459" s="21">
        <f t="shared" si="74"/>
        <v>1</v>
      </c>
      <c r="P459" s="631"/>
      <c r="Q459" s="21">
        <f t="shared" si="75"/>
        <v>0</v>
      </c>
      <c r="R459" s="21">
        <f t="shared" si="76"/>
        <v>0</v>
      </c>
      <c r="S459" s="308">
        <f t="shared" si="67"/>
        <v>0</v>
      </c>
    </row>
    <row r="460" spans="1:19">
      <c r="A460" s="142"/>
      <c r="B460" s="52"/>
      <c r="C460" s="21">
        <f t="shared" si="68"/>
        <v>1</v>
      </c>
      <c r="D460" s="631"/>
      <c r="E460" s="21">
        <f t="shared" si="69"/>
        <v>0.02</v>
      </c>
      <c r="F460" s="631"/>
      <c r="G460" s="21">
        <f t="shared" si="70"/>
        <v>1</v>
      </c>
      <c r="H460" s="631"/>
      <c r="I460" s="21">
        <f t="shared" si="71"/>
        <v>1</v>
      </c>
      <c r="J460" s="631"/>
      <c r="K460" s="21">
        <f t="shared" si="72"/>
        <v>1</v>
      </c>
      <c r="L460" s="631"/>
      <c r="M460" s="21">
        <f t="shared" si="73"/>
        <v>1</v>
      </c>
      <c r="N460" s="631"/>
      <c r="O460" s="21">
        <f t="shared" si="74"/>
        <v>1</v>
      </c>
      <c r="P460" s="631"/>
      <c r="Q460" s="21">
        <f t="shared" si="75"/>
        <v>0</v>
      </c>
      <c r="R460" s="21">
        <f t="shared" si="76"/>
        <v>0</v>
      </c>
      <c r="S460" s="308">
        <f t="shared" si="67"/>
        <v>0</v>
      </c>
    </row>
    <row r="461" spans="1:19">
      <c r="A461" s="142"/>
      <c r="B461" s="52"/>
      <c r="C461" s="21">
        <f t="shared" si="68"/>
        <v>1</v>
      </c>
      <c r="D461" s="631"/>
      <c r="E461" s="21">
        <f t="shared" si="69"/>
        <v>0.02</v>
      </c>
      <c r="F461" s="631"/>
      <c r="G461" s="21">
        <f t="shared" si="70"/>
        <v>1</v>
      </c>
      <c r="H461" s="631"/>
      <c r="I461" s="21">
        <f t="shared" si="71"/>
        <v>1</v>
      </c>
      <c r="J461" s="631"/>
      <c r="K461" s="21">
        <f t="shared" si="72"/>
        <v>1</v>
      </c>
      <c r="L461" s="631"/>
      <c r="M461" s="21">
        <f t="shared" si="73"/>
        <v>1</v>
      </c>
      <c r="N461" s="631"/>
      <c r="O461" s="21">
        <f t="shared" si="74"/>
        <v>1</v>
      </c>
      <c r="P461" s="631"/>
      <c r="Q461" s="21">
        <f t="shared" si="75"/>
        <v>0</v>
      </c>
      <c r="R461" s="21">
        <f t="shared" si="76"/>
        <v>0</v>
      </c>
      <c r="S461" s="308">
        <f t="shared" si="67"/>
        <v>0</v>
      </c>
    </row>
    <row r="462" spans="1:19">
      <c r="A462" s="142"/>
      <c r="B462" s="52"/>
      <c r="C462" s="21">
        <f t="shared" si="68"/>
        <v>1</v>
      </c>
      <c r="D462" s="631"/>
      <c r="E462" s="21">
        <f t="shared" si="69"/>
        <v>0.02</v>
      </c>
      <c r="F462" s="631"/>
      <c r="G462" s="21">
        <f t="shared" si="70"/>
        <v>1</v>
      </c>
      <c r="H462" s="631"/>
      <c r="I462" s="21">
        <f t="shared" si="71"/>
        <v>1</v>
      </c>
      <c r="J462" s="631"/>
      <c r="K462" s="21">
        <f t="shared" si="72"/>
        <v>1</v>
      </c>
      <c r="L462" s="631"/>
      <c r="M462" s="21">
        <f t="shared" si="73"/>
        <v>1</v>
      </c>
      <c r="N462" s="631"/>
      <c r="O462" s="21">
        <f t="shared" si="74"/>
        <v>1</v>
      </c>
      <c r="P462" s="631"/>
      <c r="Q462" s="21">
        <f t="shared" si="75"/>
        <v>0</v>
      </c>
      <c r="R462" s="21">
        <f t="shared" si="76"/>
        <v>0</v>
      </c>
      <c r="S462" s="308">
        <f t="shared" si="67"/>
        <v>0</v>
      </c>
    </row>
    <row r="463" spans="1:19">
      <c r="A463" s="142"/>
      <c r="B463" s="52"/>
      <c r="C463" s="21">
        <f t="shared" si="68"/>
        <v>1</v>
      </c>
      <c r="D463" s="631"/>
      <c r="E463" s="21">
        <f t="shared" si="69"/>
        <v>0.02</v>
      </c>
      <c r="F463" s="631"/>
      <c r="G463" s="21">
        <f t="shared" si="70"/>
        <v>1</v>
      </c>
      <c r="H463" s="631"/>
      <c r="I463" s="21">
        <f t="shared" si="71"/>
        <v>1</v>
      </c>
      <c r="J463" s="631"/>
      <c r="K463" s="21">
        <f t="shared" si="72"/>
        <v>1</v>
      </c>
      <c r="L463" s="631"/>
      <c r="M463" s="21">
        <f t="shared" si="73"/>
        <v>1</v>
      </c>
      <c r="N463" s="631"/>
      <c r="O463" s="21">
        <f t="shared" si="74"/>
        <v>1</v>
      </c>
      <c r="P463" s="631"/>
      <c r="Q463" s="21">
        <f t="shared" si="75"/>
        <v>0</v>
      </c>
      <c r="R463" s="21">
        <f t="shared" si="76"/>
        <v>0</v>
      </c>
      <c r="S463" s="308">
        <f t="shared" si="67"/>
        <v>0</v>
      </c>
    </row>
    <row r="464" spans="1:19">
      <c r="A464" s="142"/>
      <c r="B464" s="52"/>
      <c r="C464" s="21">
        <f t="shared" si="68"/>
        <v>1</v>
      </c>
      <c r="D464" s="631"/>
      <c r="E464" s="21">
        <f t="shared" si="69"/>
        <v>0.02</v>
      </c>
      <c r="F464" s="631"/>
      <c r="G464" s="21">
        <f t="shared" si="70"/>
        <v>1</v>
      </c>
      <c r="H464" s="631"/>
      <c r="I464" s="21">
        <f t="shared" si="71"/>
        <v>1</v>
      </c>
      <c r="J464" s="631"/>
      <c r="K464" s="21">
        <f t="shared" si="72"/>
        <v>1</v>
      </c>
      <c r="L464" s="631"/>
      <c r="M464" s="21">
        <f t="shared" si="73"/>
        <v>1</v>
      </c>
      <c r="N464" s="631"/>
      <c r="O464" s="21">
        <f t="shared" si="74"/>
        <v>1</v>
      </c>
      <c r="P464" s="631"/>
      <c r="Q464" s="21">
        <f t="shared" si="75"/>
        <v>0</v>
      </c>
      <c r="R464" s="21">
        <f t="shared" si="76"/>
        <v>0</v>
      </c>
      <c r="S464" s="308">
        <f t="shared" si="67"/>
        <v>0</v>
      </c>
    </row>
    <row r="465" spans="1:19">
      <c r="A465" s="142"/>
      <c r="B465" s="52"/>
      <c r="C465" s="21">
        <f t="shared" si="68"/>
        <v>1</v>
      </c>
      <c r="D465" s="631"/>
      <c r="E465" s="21">
        <f t="shared" si="69"/>
        <v>0.02</v>
      </c>
      <c r="F465" s="631"/>
      <c r="G465" s="21">
        <f t="shared" si="70"/>
        <v>1</v>
      </c>
      <c r="H465" s="631"/>
      <c r="I465" s="21">
        <f t="shared" si="71"/>
        <v>1</v>
      </c>
      <c r="J465" s="631"/>
      <c r="K465" s="21">
        <f t="shared" si="72"/>
        <v>1</v>
      </c>
      <c r="L465" s="631"/>
      <c r="M465" s="21">
        <f t="shared" si="73"/>
        <v>1</v>
      </c>
      <c r="N465" s="631"/>
      <c r="O465" s="21">
        <f t="shared" si="74"/>
        <v>1</v>
      </c>
      <c r="P465" s="631"/>
      <c r="Q465" s="21">
        <f t="shared" si="75"/>
        <v>0</v>
      </c>
      <c r="R465" s="21">
        <f t="shared" si="76"/>
        <v>0</v>
      </c>
      <c r="S465" s="308">
        <f t="shared" si="67"/>
        <v>0</v>
      </c>
    </row>
    <row r="466" spans="1:19">
      <c r="A466" s="142"/>
      <c r="B466" s="52"/>
      <c r="C466" s="21">
        <f t="shared" si="68"/>
        <v>1</v>
      </c>
      <c r="D466" s="631"/>
      <c r="E466" s="21">
        <f t="shared" si="69"/>
        <v>0.02</v>
      </c>
      <c r="F466" s="631"/>
      <c r="G466" s="21">
        <f t="shared" si="70"/>
        <v>1</v>
      </c>
      <c r="H466" s="631"/>
      <c r="I466" s="21">
        <f t="shared" si="71"/>
        <v>1</v>
      </c>
      <c r="J466" s="631"/>
      <c r="K466" s="21">
        <f t="shared" si="72"/>
        <v>1</v>
      </c>
      <c r="L466" s="631"/>
      <c r="M466" s="21">
        <f t="shared" si="73"/>
        <v>1</v>
      </c>
      <c r="N466" s="631"/>
      <c r="O466" s="21">
        <f t="shared" si="74"/>
        <v>1</v>
      </c>
      <c r="P466" s="631"/>
      <c r="Q466" s="21">
        <f t="shared" si="75"/>
        <v>0</v>
      </c>
      <c r="R466" s="21">
        <f t="shared" si="76"/>
        <v>0</v>
      </c>
      <c r="S466" s="308">
        <f t="shared" si="67"/>
        <v>0</v>
      </c>
    </row>
    <row r="467" spans="1:19">
      <c r="A467" s="142"/>
      <c r="B467" s="52"/>
      <c r="C467" s="21">
        <f t="shared" si="68"/>
        <v>1</v>
      </c>
      <c r="D467" s="631"/>
      <c r="E467" s="21">
        <f t="shared" si="69"/>
        <v>0.02</v>
      </c>
      <c r="F467" s="631"/>
      <c r="G467" s="21">
        <f t="shared" si="70"/>
        <v>1</v>
      </c>
      <c r="H467" s="631"/>
      <c r="I467" s="21">
        <f t="shared" si="71"/>
        <v>1</v>
      </c>
      <c r="J467" s="631"/>
      <c r="K467" s="21">
        <f t="shared" si="72"/>
        <v>1</v>
      </c>
      <c r="L467" s="631"/>
      <c r="M467" s="21">
        <f t="shared" si="73"/>
        <v>1</v>
      </c>
      <c r="N467" s="631"/>
      <c r="O467" s="21">
        <f t="shared" si="74"/>
        <v>1</v>
      </c>
      <c r="P467" s="631"/>
      <c r="Q467" s="21">
        <f t="shared" si="75"/>
        <v>0</v>
      </c>
      <c r="R467" s="21">
        <f t="shared" si="76"/>
        <v>0</v>
      </c>
      <c r="S467" s="308">
        <f t="shared" si="67"/>
        <v>0</v>
      </c>
    </row>
    <row r="468" spans="1:19">
      <c r="A468" s="142"/>
      <c r="B468" s="52"/>
      <c r="C468" s="21">
        <f t="shared" si="68"/>
        <v>1</v>
      </c>
      <c r="D468" s="631"/>
      <c r="E468" s="21">
        <f t="shared" si="69"/>
        <v>0.02</v>
      </c>
      <c r="F468" s="631"/>
      <c r="G468" s="21">
        <f t="shared" si="70"/>
        <v>1</v>
      </c>
      <c r="H468" s="631"/>
      <c r="I468" s="21">
        <f t="shared" si="71"/>
        <v>1</v>
      </c>
      <c r="J468" s="631"/>
      <c r="K468" s="21">
        <f t="shared" si="72"/>
        <v>1</v>
      </c>
      <c r="L468" s="631"/>
      <c r="M468" s="21">
        <f t="shared" si="73"/>
        <v>1</v>
      </c>
      <c r="N468" s="631"/>
      <c r="O468" s="21">
        <f t="shared" si="74"/>
        <v>1</v>
      </c>
      <c r="P468" s="631"/>
      <c r="Q468" s="21">
        <f t="shared" si="75"/>
        <v>0</v>
      </c>
      <c r="R468" s="21">
        <f t="shared" si="76"/>
        <v>0</v>
      </c>
      <c r="S468" s="308">
        <f t="shared" si="67"/>
        <v>0</v>
      </c>
    </row>
    <row r="469" spans="1:19">
      <c r="A469" s="142"/>
      <c r="B469" s="52"/>
      <c r="C469" s="21">
        <f t="shared" si="68"/>
        <v>1</v>
      </c>
      <c r="D469" s="631"/>
      <c r="E469" s="21">
        <f t="shared" si="69"/>
        <v>0.02</v>
      </c>
      <c r="F469" s="631"/>
      <c r="G469" s="21">
        <f t="shared" si="70"/>
        <v>1</v>
      </c>
      <c r="H469" s="631"/>
      <c r="I469" s="21">
        <f t="shared" si="71"/>
        <v>1</v>
      </c>
      <c r="J469" s="631"/>
      <c r="K469" s="21">
        <f t="shared" si="72"/>
        <v>1</v>
      </c>
      <c r="L469" s="631"/>
      <c r="M469" s="21">
        <f t="shared" si="73"/>
        <v>1</v>
      </c>
      <c r="N469" s="631"/>
      <c r="O469" s="21">
        <f t="shared" si="74"/>
        <v>1</v>
      </c>
      <c r="P469" s="631"/>
      <c r="Q469" s="21">
        <f t="shared" si="75"/>
        <v>0</v>
      </c>
      <c r="R469" s="21">
        <f t="shared" si="76"/>
        <v>0</v>
      </c>
      <c r="S469" s="308">
        <f t="shared" si="67"/>
        <v>0</v>
      </c>
    </row>
    <row r="470" spans="1:19">
      <c r="A470" s="142"/>
      <c r="B470" s="52"/>
      <c r="C470" s="21">
        <f t="shared" si="68"/>
        <v>1</v>
      </c>
      <c r="D470" s="631"/>
      <c r="E470" s="21">
        <f t="shared" si="69"/>
        <v>0.02</v>
      </c>
      <c r="F470" s="631"/>
      <c r="G470" s="21">
        <f t="shared" si="70"/>
        <v>1</v>
      </c>
      <c r="H470" s="631"/>
      <c r="I470" s="21">
        <f t="shared" si="71"/>
        <v>1</v>
      </c>
      <c r="J470" s="631"/>
      <c r="K470" s="21">
        <f t="shared" si="72"/>
        <v>1</v>
      </c>
      <c r="L470" s="631"/>
      <c r="M470" s="21">
        <f t="shared" si="73"/>
        <v>1</v>
      </c>
      <c r="N470" s="631"/>
      <c r="O470" s="21">
        <f t="shared" si="74"/>
        <v>1</v>
      </c>
      <c r="P470" s="631"/>
      <c r="Q470" s="21">
        <f t="shared" si="75"/>
        <v>0</v>
      </c>
      <c r="R470" s="21">
        <f t="shared" si="76"/>
        <v>0</v>
      </c>
      <c r="S470" s="308">
        <f t="shared" si="67"/>
        <v>0</v>
      </c>
    </row>
    <row r="471" spans="1:19">
      <c r="A471" s="142"/>
      <c r="B471" s="52"/>
      <c r="C471" s="21">
        <f t="shared" si="68"/>
        <v>1</v>
      </c>
      <c r="D471" s="631"/>
      <c r="E471" s="21">
        <f t="shared" si="69"/>
        <v>0.02</v>
      </c>
      <c r="F471" s="631"/>
      <c r="G471" s="21">
        <f t="shared" si="70"/>
        <v>1</v>
      </c>
      <c r="H471" s="631"/>
      <c r="I471" s="21">
        <f t="shared" si="71"/>
        <v>1</v>
      </c>
      <c r="J471" s="631"/>
      <c r="K471" s="21">
        <f t="shared" si="72"/>
        <v>1</v>
      </c>
      <c r="L471" s="631"/>
      <c r="M471" s="21">
        <f t="shared" si="73"/>
        <v>1</v>
      </c>
      <c r="N471" s="631"/>
      <c r="O471" s="21">
        <f t="shared" si="74"/>
        <v>1</v>
      </c>
      <c r="P471" s="631"/>
      <c r="Q471" s="21">
        <f t="shared" si="75"/>
        <v>0</v>
      </c>
      <c r="R471" s="21">
        <f t="shared" si="76"/>
        <v>0</v>
      </c>
      <c r="S471" s="308">
        <f t="shared" si="67"/>
        <v>0</v>
      </c>
    </row>
    <row r="472" spans="1:19">
      <c r="A472" s="142"/>
      <c r="B472" s="52"/>
      <c r="C472" s="21">
        <f t="shared" si="68"/>
        <v>1</v>
      </c>
      <c r="D472" s="631"/>
      <c r="E472" s="21">
        <f t="shared" si="69"/>
        <v>0.02</v>
      </c>
      <c r="F472" s="631"/>
      <c r="G472" s="21">
        <f t="shared" si="70"/>
        <v>1</v>
      </c>
      <c r="H472" s="631"/>
      <c r="I472" s="21">
        <f t="shared" si="71"/>
        <v>1</v>
      </c>
      <c r="J472" s="631"/>
      <c r="K472" s="21">
        <f t="shared" si="72"/>
        <v>1</v>
      </c>
      <c r="L472" s="631"/>
      <c r="M472" s="21">
        <f t="shared" si="73"/>
        <v>1</v>
      </c>
      <c r="N472" s="631"/>
      <c r="O472" s="21">
        <f t="shared" si="74"/>
        <v>1</v>
      </c>
      <c r="P472" s="631"/>
      <c r="Q472" s="21">
        <f t="shared" si="75"/>
        <v>0</v>
      </c>
      <c r="R472" s="21">
        <f t="shared" si="76"/>
        <v>0</v>
      </c>
      <c r="S472" s="308">
        <f t="shared" ref="S472:S524" si="77">ROUND(R472*B472/10000,0)</f>
        <v>0</v>
      </c>
    </row>
    <row r="473" spans="1:19">
      <c r="A473" s="142"/>
      <c r="B473" s="52"/>
      <c r="C473" s="21">
        <f t="shared" si="68"/>
        <v>1</v>
      </c>
      <c r="D473" s="631"/>
      <c r="E473" s="21">
        <f t="shared" si="69"/>
        <v>0.02</v>
      </c>
      <c r="F473" s="631"/>
      <c r="G473" s="21">
        <f t="shared" si="70"/>
        <v>1</v>
      </c>
      <c r="H473" s="631"/>
      <c r="I473" s="21">
        <f t="shared" si="71"/>
        <v>1</v>
      </c>
      <c r="J473" s="631"/>
      <c r="K473" s="21">
        <f t="shared" si="72"/>
        <v>1</v>
      </c>
      <c r="L473" s="631"/>
      <c r="M473" s="21">
        <f t="shared" si="73"/>
        <v>1</v>
      </c>
      <c r="N473" s="631"/>
      <c r="O473" s="21">
        <f t="shared" si="74"/>
        <v>1</v>
      </c>
      <c r="P473" s="631"/>
      <c r="Q473" s="21">
        <f t="shared" si="75"/>
        <v>0</v>
      </c>
      <c r="R473" s="21">
        <f t="shared" si="76"/>
        <v>0</v>
      </c>
      <c r="S473" s="308">
        <f t="shared" si="77"/>
        <v>0</v>
      </c>
    </row>
    <row r="474" spans="1:19">
      <c r="A474" s="142"/>
      <c r="B474" s="52"/>
      <c r="C474" s="21">
        <f t="shared" ref="C474:C524" si="78">IF(B474="",1,(LOOKUP(B474,$3:$3,$4:$4)-LOOKUP($B$24,$3:$3,$4:$4)+100)/100)</f>
        <v>1</v>
      </c>
      <c r="D474" s="631"/>
      <c r="E474" s="21">
        <f t="shared" ref="E474:E524" si="79">(SUMIF($5:$5,D474,$6:$6)-SUMIF($5:$5,$D$24,$6:$6)+100)/100</f>
        <v>0.02</v>
      </c>
      <c r="F474" s="631"/>
      <c r="G474" s="21">
        <f t="shared" ref="G474:G524" si="80">(SUMIF($7:$7,F474,$8:$8)-SUMIF($7:$7,$F$24,$8:$8)+100)/100</f>
        <v>1</v>
      </c>
      <c r="H474" s="631"/>
      <c r="I474" s="21">
        <f t="shared" ref="I474:I524" si="81">(SUMIF($9:$9,H474,$10:$10)-SUMIF($9:$9,$H$24,$10:$10)+100)/100</f>
        <v>1</v>
      </c>
      <c r="J474" s="631"/>
      <c r="K474" s="21">
        <f t="shared" ref="K474:K524" si="82">(SUMIF($11:$11,J474,$12:$12)-SUMIF($11:$11,$J$24,$12:$12)+100)/100</f>
        <v>1</v>
      </c>
      <c r="L474" s="631"/>
      <c r="M474" s="21">
        <f t="shared" ref="M474:M524" si="83">(SUMIF($13:$13,L474,$14:$14)-SUMIF($13:$13,$L$24,$14:$14)+100)/100</f>
        <v>1</v>
      </c>
      <c r="N474" s="631"/>
      <c r="O474" s="21">
        <f t="shared" ref="O474:O524" si="84">(SUMIF($15:$15,N474,$16:$16)-SUMIF($15:$15,$N$24,$16:$16)+100)/100</f>
        <v>1</v>
      </c>
      <c r="P474" s="631"/>
      <c r="Q474" s="21">
        <f t="shared" ref="Q474:Q524" si="85">(SUMIF($17:$17,P474,$18:$18)-SUMIF($17:$17,$P$24,$18:$18)+100)/100</f>
        <v>0</v>
      </c>
      <c r="R474" s="21">
        <f t="shared" si="76"/>
        <v>0</v>
      </c>
      <c r="S474" s="308">
        <f t="shared" si="77"/>
        <v>0</v>
      </c>
    </row>
    <row r="475" spans="1:19">
      <c r="A475" s="142"/>
      <c r="B475" s="52"/>
      <c r="C475" s="21">
        <f t="shared" si="78"/>
        <v>1</v>
      </c>
      <c r="D475" s="631"/>
      <c r="E475" s="21">
        <f t="shared" si="79"/>
        <v>0.02</v>
      </c>
      <c r="F475" s="631"/>
      <c r="G475" s="21">
        <f t="shared" si="80"/>
        <v>1</v>
      </c>
      <c r="H475" s="631"/>
      <c r="I475" s="21">
        <f t="shared" si="81"/>
        <v>1</v>
      </c>
      <c r="J475" s="631"/>
      <c r="K475" s="21">
        <f t="shared" si="82"/>
        <v>1</v>
      </c>
      <c r="L475" s="631"/>
      <c r="M475" s="21">
        <f t="shared" si="83"/>
        <v>1</v>
      </c>
      <c r="N475" s="631"/>
      <c r="O475" s="21">
        <f t="shared" si="84"/>
        <v>1</v>
      </c>
      <c r="P475" s="631"/>
      <c r="Q475" s="21">
        <f t="shared" si="85"/>
        <v>0</v>
      </c>
      <c r="R475" s="21">
        <f t="shared" si="76"/>
        <v>0</v>
      </c>
      <c r="S475" s="308">
        <f t="shared" si="77"/>
        <v>0</v>
      </c>
    </row>
    <row r="476" spans="1:19">
      <c r="A476" s="142"/>
      <c r="B476" s="52"/>
      <c r="C476" s="21">
        <f t="shared" si="78"/>
        <v>1</v>
      </c>
      <c r="D476" s="631"/>
      <c r="E476" s="21">
        <f t="shared" si="79"/>
        <v>0.02</v>
      </c>
      <c r="F476" s="631"/>
      <c r="G476" s="21">
        <f t="shared" si="80"/>
        <v>1</v>
      </c>
      <c r="H476" s="631"/>
      <c r="I476" s="21">
        <f t="shared" si="81"/>
        <v>1</v>
      </c>
      <c r="J476" s="631"/>
      <c r="K476" s="21">
        <f t="shared" si="82"/>
        <v>1</v>
      </c>
      <c r="L476" s="631"/>
      <c r="M476" s="21">
        <f t="shared" si="83"/>
        <v>1</v>
      </c>
      <c r="N476" s="631"/>
      <c r="O476" s="21">
        <f t="shared" si="84"/>
        <v>1</v>
      </c>
      <c r="P476" s="631"/>
      <c r="Q476" s="21">
        <f t="shared" si="85"/>
        <v>0</v>
      </c>
      <c r="R476" s="21">
        <f t="shared" si="76"/>
        <v>0</v>
      </c>
      <c r="S476" s="308">
        <f t="shared" si="77"/>
        <v>0</v>
      </c>
    </row>
    <row r="477" spans="1:19">
      <c r="A477" s="142"/>
      <c r="B477" s="52"/>
      <c r="C477" s="21">
        <f t="shared" si="78"/>
        <v>1</v>
      </c>
      <c r="D477" s="631"/>
      <c r="E477" s="21">
        <f t="shared" si="79"/>
        <v>0.02</v>
      </c>
      <c r="F477" s="631"/>
      <c r="G477" s="21">
        <f t="shared" si="80"/>
        <v>1</v>
      </c>
      <c r="H477" s="631"/>
      <c r="I477" s="21">
        <f t="shared" si="81"/>
        <v>1</v>
      </c>
      <c r="J477" s="631"/>
      <c r="K477" s="21">
        <f t="shared" si="82"/>
        <v>1</v>
      </c>
      <c r="L477" s="631"/>
      <c r="M477" s="21">
        <f t="shared" si="83"/>
        <v>1</v>
      </c>
      <c r="N477" s="631"/>
      <c r="O477" s="21">
        <f t="shared" si="84"/>
        <v>1</v>
      </c>
      <c r="P477" s="631"/>
      <c r="Q477" s="21">
        <f t="shared" si="85"/>
        <v>0</v>
      </c>
      <c r="R477" s="21">
        <f t="shared" si="76"/>
        <v>0</v>
      </c>
      <c r="S477" s="308">
        <f t="shared" si="77"/>
        <v>0</v>
      </c>
    </row>
    <row r="478" spans="1:19">
      <c r="A478" s="142"/>
      <c r="B478" s="52"/>
      <c r="C478" s="21">
        <f t="shared" si="78"/>
        <v>1</v>
      </c>
      <c r="D478" s="631"/>
      <c r="E478" s="21">
        <f t="shared" si="79"/>
        <v>0.02</v>
      </c>
      <c r="F478" s="631"/>
      <c r="G478" s="21">
        <f t="shared" si="80"/>
        <v>1</v>
      </c>
      <c r="H478" s="631"/>
      <c r="I478" s="21">
        <f t="shared" si="81"/>
        <v>1</v>
      </c>
      <c r="J478" s="631"/>
      <c r="K478" s="21">
        <f t="shared" si="82"/>
        <v>1</v>
      </c>
      <c r="L478" s="631"/>
      <c r="M478" s="21">
        <f t="shared" si="83"/>
        <v>1</v>
      </c>
      <c r="N478" s="631"/>
      <c r="O478" s="21">
        <f t="shared" si="84"/>
        <v>1</v>
      </c>
      <c r="P478" s="631"/>
      <c r="Q478" s="21">
        <f t="shared" si="85"/>
        <v>0</v>
      </c>
      <c r="R478" s="21">
        <f t="shared" si="76"/>
        <v>0</v>
      </c>
      <c r="S478" s="308">
        <f t="shared" si="77"/>
        <v>0</v>
      </c>
    </row>
    <row r="479" spans="1:19">
      <c r="A479" s="142"/>
      <c r="B479" s="52"/>
      <c r="C479" s="21">
        <f t="shared" si="78"/>
        <v>1</v>
      </c>
      <c r="D479" s="631"/>
      <c r="E479" s="21">
        <f t="shared" si="79"/>
        <v>0.02</v>
      </c>
      <c r="F479" s="631"/>
      <c r="G479" s="21">
        <f t="shared" si="80"/>
        <v>1</v>
      </c>
      <c r="H479" s="631"/>
      <c r="I479" s="21">
        <f t="shared" si="81"/>
        <v>1</v>
      </c>
      <c r="J479" s="631"/>
      <c r="K479" s="21">
        <f t="shared" si="82"/>
        <v>1</v>
      </c>
      <c r="L479" s="631"/>
      <c r="M479" s="21">
        <f t="shared" si="83"/>
        <v>1</v>
      </c>
      <c r="N479" s="631"/>
      <c r="O479" s="21">
        <f t="shared" si="84"/>
        <v>1</v>
      </c>
      <c r="P479" s="631"/>
      <c r="Q479" s="21">
        <f t="shared" si="85"/>
        <v>0</v>
      </c>
      <c r="R479" s="21">
        <f t="shared" si="76"/>
        <v>0</v>
      </c>
      <c r="S479" s="308">
        <f t="shared" si="77"/>
        <v>0</v>
      </c>
    </row>
    <row r="480" spans="1:19">
      <c r="A480" s="142"/>
      <c r="B480" s="52"/>
      <c r="C480" s="21">
        <f t="shared" si="78"/>
        <v>1</v>
      </c>
      <c r="D480" s="631"/>
      <c r="E480" s="21">
        <f t="shared" si="79"/>
        <v>0.02</v>
      </c>
      <c r="F480" s="631"/>
      <c r="G480" s="21">
        <f t="shared" si="80"/>
        <v>1</v>
      </c>
      <c r="H480" s="631"/>
      <c r="I480" s="21">
        <f t="shared" si="81"/>
        <v>1</v>
      </c>
      <c r="J480" s="631"/>
      <c r="K480" s="21">
        <f t="shared" si="82"/>
        <v>1</v>
      </c>
      <c r="L480" s="631"/>
      <c r="M480" s="21">
        <f t="shared" si="83"/>
        <v>1</v>
      </c>
      <c r="N480" s="631"/>
      <c r="O480" s="21">
        <f t="shared" si="84"/>
        <v>1</v>
      </c>
      <c r="P480" s="631"/>
      <c r="Q480" s="21">
        <f t="shared" si="85"/>
        <v>0</v>
      </c>
      <c r="R480" s="21">
        <f t="shared" si="76"/>
        <v>0</v>
      </c>
      <c r="S480" s="308">
        <f t="shared" si="77"/>
        <v>0</v>
      </c>
    </row>
    <row r="481" spans="1:19">
      <c r="A481" s="142"/>
      <c r="B481" s="52"/>
      <c r="C481" s="21">
        <f t="shared" si="78"/>
        <v>1</v>
      </c>
      <c r="D481" s="631"/>
      <c r="E481" s="21">
        <f t="shared" si="79"/>
        <v>0.02</v>
      </c>
      <c r="F481" s="631"/>
      <c r="G481" s="21">
        <f t="shared" si="80"/>
        <v>1</v>
      </c>
      <c r="H481" s="631"/>
      <c r="I481" s="21">
        <f t="shared" si="81"/>
        <v>1</v>
      </c>
      <c r="J481" s="631"/>
      <c r="K481" s="21">
        <f t="shared" si="82"/>
        <v>1</v>
      </c>
      <c r="L481" s="631"/>
      <c r="M481" s="21">
        <f t="shared" si="83"/>
        <v>1</v>
      </c>
      <c r="N481" s="631"/>
      <c r="O481" s="21">
        <f t="shared" si="84"/>
        <v>1</v>
      </c>
      <c r="P481" s="631"/>
      <c r="Q481" s="21">
        <f t="shared" si="85"/>
        <v>0</v>
      </c>
      <c r="R481" s="21">
        <f t="shared" si="76"/>
        <v>0</v>
      </c>
      <c r="S481" s="308">
        <f t="shared" si="77"/>
        <v>0</v>
      </c>
    </row>
    <row r="482" spans="1:19">
      <c r="A482" s="142"/>
      <c r="B482" s="52"/>
      <c r="C482" s="21">
        <f t="shared" si="78"/>
        <v>1</v>
      </c>
      <c r="D482" s="631"/>
      <c r="E482" s="21">
        <f t="shared" si="79"/>
        <v>0.02</v>
      </c>
      <c r="F482" s="631"/>
      <c r="G482" s="21">
        <f t="shared" si="80"/>
        <v>1</v>
      </c>
      <c r="H482" s="631"/>
      <c r="I482" s="21">
        <f t="shared" si="81"/>
        <v>1</v>
      </c>
      <c r="J482" s="631"/>
      <c r="K482" s="21">
        <f t="shared" si="82"/>
        <v>1</v>
      </c>
      <c r="L482" s="631"/>
      <c r="M482" s="21">
        <f t="shared" si="83"/>
        <v>1</v>
      </c>
      <c r="N482" s="631"/>
      <c r="O482" s="21">
        <f t="shared" si="84"/>
        <v>1</v>
      </c>
      <c r="P482" s="631"/>
      <c r="Q482" s="21">
        <f t="shared" si="85"/>
        <v>0</v>
      </c>
      <c r="R482" s="21">
        <f t="shared" si="76"/>
        <v>0</v>
      </c>
      <c r="S482" s="308">
        <f t="shared" si="77"/>
        <v>0</v>
      </c>
    </row>
    <row r="483" spans="1:19">
      <c r="A483" s="142"/>
      <c r="B483" s="52"/>
      <c r="C483" s="21">
        <f t="shared" si="78"/>
        <v>1</v>
      </c>
      <c r="D483" s="631"/>
      <c r="E483" s="21">
        <f t="shared" si="79"/>
        <v>0.02</v>
      </c>
      <c r="F483" s="631"/>
      <c r="G483" s="21">
        <f t="shared" si="80"/>
        <v>1</v>
      </c>
      <c r="H483" s="631"/>
      <c r="I483" s="21">
        <f t="shared" si="81"/>
        <v>1</v>
      </c>
      <c r="J483" s="631"/>
      <c r="K483" s="21">
        <f t="shared" si="82"/>
        <v>1</v>
      </c>
      <c r="L483" s="631"/>
      <c r="M483" s="21">
        <f t="shared" si="83"/>
        <v>1</v>
      </c>
      <c r="N483" s="631"/>
      <c r="O483" s="21">
        <f t="shared" si="84"/>
        <v>1</v>
      </c>
      <c r="P483" s="631"/>
      <c r="Q483" s="21">
        <f t="shared" si="85"/>
        <v>0</v>
      </c>
      <c r="R483" s="21">
        <f t="shared" si="76"/>
        <v>0</v>
      </c>
      <c r="S483" s="308">
        <f t="shared" si="77"/>
        <v>0</v>
      </c>
    </row>
    <row r="484" spans="1:19">
      <c r="A484" s="142"/>
      <c r="B484" s="52"/>
      <c r="C484" s="21">
        <f t="shared" si="78"/>
        <v>1</v>
      </c>
      <c r="D484" s="631"/>
      <c r="E484" s="21">
        <f t="shared" si="79"/>
        <v>0.02</v>
      </c>
      <c r="F484" s="631"/>
      <c r="G484" s="21">
        <f t="shared" si="80"/>
        <v>1</v>
      </c>
      <c r="H484" s="631"/>
      <c r="I484" s="21">
        <f t="shared" si="81"/>
        <v>1</v>
      </c>
      <c r="J484" s="631"/>
      <c r="K484" s="21">
        <f t="shared" si="82"/>
        <v>1</v>
      </c>
      <c r="L484" s="631"/>
      <c r="M484" s="21">
        <f t="shared" si="83"/>
        <v>1</v>
      </c>
      <c r="N484" s="631"/>
      <c r="O484" s="21">
        <f t="shared" si="84"/>
        <v>1</v>
      </c>
      <c r="P484" s="631"/>
      <c r="Q484" s="21">
        <f t="shared" si="85"/>
        <v>0</v>
      </c>
      <c r="R484" s="21">
        <f t="shared" si="76"/>
        <v>0</v>
      </c>
      <c r="S484" s="308">
        <f t="shared" si="77"/>
        <v>0</v>
      </c>
    </row>
    <row r="485" spans="1:19">
      <c r="A485" s="142"/>
      <c r="B485" s="52"/>
      <c r="C485" s="21">
        <f t="shared" si="78"/>
        <v>1</v>
      </c>
      <c r="D485" s="631"/>
      <c r="E485" s="21">
        <f t="shared" si="79"/>
        <v>0.02</v>
      </c>
      <c r="F485" s="631"/>
      <c r="G485" s="21">
        <f t="shared" si="80"/>
        <v>1</v>
      </c>
      <c r="H485" s="631"/>
      <c r="I485" s="21">
        <f t="shared" si="81"/>
        <v>1</v>
      </c>
      <c r="J485" s="631"/>
      <c r="K485" s="21">
        <f t="shared" si="82"/>
        <v>1</v>
      </c>
      <c r="L485" s="631"/>
      <c r="M485" s="21">
        <f t="shared" si="83"/>
        <v>1</v>
      </c>
      <c r="N485" s="631"/>
      <c r="O485" s="21">
        <f t="shared" si="84"/>
        <v>1</v>
      </c>
      <c r="P485" s="631"/>
      <c r="Q485" s="21">
        <f t="shared" si="85"/>
        <v>0</v>
      </c>
      <c r="R485" s="21">
        <f t="shared" si="76"/>
        <v>0</v>
      </c>
      <c r="S485" s="308">
        <f t="shared" si="77"/>
        <v>0</v>
      </c>
    </row>
    <row r="486" spans="1:19">
      <c r="A486" s="142"/>
      <c r="B486" s="52"/>
      <c r="C486" s="21">
        <f t="shared" si="78"/>
        <v>1</v>
      </c>
      <c r="D486" s="631"/>
      <c r="E486" s="21">
        <f t="shared" si="79"/>
        <v>0.02</v>
      </c>
      <c r="F486" s="631"/>
      <c r="G486" s="21">
        <f t="shared" si="80"/>
        <v>1</v>
      </c>
      <c r="H486" s="631"/>
      <c r="I486" s="21">
        <f t="shared" si="81"/>
        <v>1</v>
      </c>
      <c r="J486" s="631"/>
      <c r="K486" s="21">
        <f t="shared" si="82"/>
        <v>1</v>
      </c>
      <c r="L486" s="631"/>
      <c r="M486" s="21">
        <f t="shared" si="83"/>
        <v>1</v>
      </c>
      <c r="N486" s="631"/>
      <c r="O486" s="21">
        <f t="shared" si="84"/>
        <v>1</v>
      </c>
      <c r="P486" s="631"/>
      <c r="Q486" s="21">
        <f t="shared" si="85"/>
        <v>0</v>
      </c>
      <c r="R486" s="21">
        <f t="shared" ref="R486:R524" si="86">IF(B486="",0,ROUND($R$24*C486*E486*G486*I486*K486*M486*O486*Q486,0))</f>
        <v>0</v>
      </c>
      <c r="S486" s="308">
        <f t="shared" si="77"/>
        <v>0</v>
      </c>
    </row>
    <row r="487" spans="1:19">
      <c r="A487" s="142"/>
      <c r="B487" s="52"/>
      <c r="C487" s="21">
        <f t="shared" si="78"/>
        <v>1</v>
      </c>
      <c r="D487" s="631"/>
      <c r="E487" s="21">
        <f t="shared" si="79"/>
        <v>0.02</v>
      </c>
      <c r="F487" s="631"/>
      <c r="G487" s="21">
        <f t="shared" si="80"/>
        <v>1</v>
      </c>
      <c r="H487" s="631"/>
      <c r="I487" s="21">
        <f t="shared" si="81"/>
        <v>1</v>
      </c>
      <c r="J487" s="631"/>
      <c r="K487" s="21">
        <f t="shared" si="82"/>
        <v>1</v>
      </c>
      <c r="L487" s="631"/>
      <c r="M487" s="21">
        <f t="shared" si="83"/>
        <v>1</v>
      </c>
      <c r="N487" s="631"/>
      <c r="O487" s="21">
        <f t="shared" si="84"/>
        <v>1</v>
      </c>
      <c r="P487" s="631"/>
      <c r="Q487" s="21">
        <f t="shared" si="85"/>
        <v>0</v>
      </c>
      <c r="R487" s="21">
        <f t="shared" si="86"/>
        <v>0</v>
      </c>
      <c r="S487" s="308">
        <f t="shared" si="77"/>
        <v>0</v>
      </c>
    </row>
    <row r="488" spans="1:19">
      <c r="A488" s="142"/>
      <c r="B488" s="52"/>
      <c r="C488" s="21">
        <f t="shared" si="78"/>
        <v>1</v>
      </c>
      <c r="D488" s="631"/>
      <c r="E488" s="21">
        <f t="shared" si="79"/>
        <v>0.02</v>
      </c>
      <c r="F488" s="631"/>
      <c r="G488" s="21">
        <f t="shared" si="80"/>
        <v>1</v>
      </c>
      <c r="H488" s="631"/>
      <c r="I488" s="21">
        <f t="shared" si="81"/>
        <v>1</v>
      </c>
      <c r="J488" s="631"/>
      <c r="K488" s="21">
        <f t="shared" si="82"/>
        <v>1</v>
      </c>
      <c r="L488" s="631"/>
      <c r="M488" s="21">
        <f t="shared" si="83"/>
        <v>1</v>
      </c>
      <c r="N488" s="631"/>
      <c r="O488" s="21">
        <f t="shared" si="84"/>
        <v>1</v>
      </c>
      <c r="P488" s="631"/>
      <c r="Q488" s="21">
        <f t="shared" si="85"/>
        <v>0</v>
      </c>
      <c r="R488" s="21">
        <f t="shared" si="86"/>
        <v>0</v>
      </c>
      <c r="S488" s="308">
        <f t="shared" si="77"/>
        <v>0</v>
      </c>
    </row>
    <row r="489" spans="1:19">
      <c r="A489" s="142"/>
      <c r="B489" s="52"/>
      <c r="C489" s="21">
        <f t="shared" si="78"/>
        <v>1</v>
      </c>
      <c r="D489" s="631"/>
      <c r="E489" s="21">
        <f t="shared" si="79"/>
        <v>0.02</v>
      </c>
      <c r="F489" s="631"/>
      <c r="G489" s="21">
        <f t="shared" si="80"/>
        <v>1</v>
      </c>
      <c r="H489" s="631"/>
      <c r="I489" s="21">
        <f t="shared" si="81"/>
        <v>1</v>
      </c>
      <c r="J489" s="631"/>
      <c r="K489" s="21">
        <f t="shared" si="82"/>
        <v>1</v>
      </c>
      <c r="L489" s="631"/>
      <c r="M489" s="21">
        <f t="shared" si="83"/>
        <v>1</v>
      </c>
      <c r="N489" s="631"/>
      <c r="O489" s="21">
        <f t="shared" si="84"/>
        <v>1</v>
      </c>
      <c r="P489" s="631"/>
      <c r="Q489" s="21">
        <f t="shared" si="85"/>
        <v>0</v>
      </c>
      <c r="R489" s="21">
        <f t="shared" si="86"/>
        <v>0</v>
      </c>
      <c r="S489" s="308">
        <f t="shared" si="77"/>
        <v>0</v>
      </c>
    </row>
    <row r="490" spans="1:19">
      <c r="A490" s="142"/>
      <c r="B490" s="52"/>
      <c r="C490" s="21">
        <f t="shared" si="78"/>
        <v>1</v>
      </c>
      <c r="D490" s="631"/>
      <c r="E490" s="21">
        <f t="shared" si="79"/>
        <v>0.02</v>
      </c>
      <c r="F490" s="631"/>
      <c r="G490" s="21">
        <f t="shared" si="80"/>
        <v>1</v>
      </c>
      <c r="H490" s="631"/>
      <c r="I490" s="21">
        <f t="shared" si="81"/>
        <v>1</v>
      </c>
      <c r="J490" s="631"/>
      <c r="K490" s="21">
        <f t="shared" si="82"/>
        <v>1</v>
      </c>
      <c r="L490" s="631"/>
      <c r="M490" s="21">
        <f t="shared" si="83"/>
        <v>1</v>
      </c>
      <c r="N490" s="631"/>
      <c r="O490" s="21">
        <f t="shared" si="84"/>
        <v>1</v>
      </c>
      <c r="P490" s="631"/>
      <c r="Q490" s="21">
        <f t="shared" si="85"/>
        <v>0</v>
      </c>
      <c r="R490" s="21">
        <f t="shared" si="86"/>
        <v>0</v>
      </c>
      <c r="S490" s="308">
        <f t="shared" si="77"/>
        <v>0</v>
      </c>
    </row>
    <row r="491" spans="1:19">
      <c r="A491" s="142"/>
      <c r="B491" s="52"/>
      <c r="C491" s="21">
        <f t="shared" si="78"/>
        <v>1</v>
      </c>
      <c r="D491" s="631"/>
      <c r="E491" s="21">
        <f t="shared" si="79"/>
        <v>0.02</v>
      </c>
      <c r="F491" s="631"/>
      <c r="G491" s="21">
        <f t="shared" si="80"/>
        <v>1</v>
      </c>
      <c r="H491" s="631"/>
      <c r="I491" s="21">
        <f t="shared" si="81"/>
        <v>1</v>
      </c>
      <c r="J491" s="631"/>
      <c r="K491" s="21">
        <f t="shared" si="82"/>
        <v>1</v>
      </c>
      <c r="L491" s="631"/>
      <c r="M491" s="21">
        <f t="shared" si="83"/>
        <v>1</v>
      </c>
      <c r="N491" s="631"/>
      <c r="O491" s="21">
        <f t="shared" si="84"/>
        <v>1</v>
      </c>
      <c r="P491" s="631"/>
      <c r="Q491" s="21">
        <f t="shared" si="85"/>
        <v>0</v>
      </c>
      <c r="R491" s="21">
        <f t="shared" si="86"/>
        <v>0</v>
      </c>
      <c r="S491" s="308">
        <f t="shared" si="77"/>
        <v>0</v>
      </c>
    </row>
    <row r="492" spans="1:19">
      <c r="A492" s="142"/>
      <c r="B492" s="52"/>
      <c r="C492" s="21">
        <f t="shared" si="78"/>
        <v>1</v>
      </c>
      <c r="D492" s="631"/>
      <c r="E492" s="21">
        <f t="shared" si="79"/>
        <v>0.02</v>
      </c>
      <c r="F492" s="631"/>
      <c r="G492" s="21">
        <f t="shared" si="80"/>
        <v>1</v>
      </c>
      <c r="H492" s="631"/>
      <c r="I492" s="21">
        <f t="shared" si="81"/>
        <v>1</v>
      </c>
      <c r="J492" s="631"/>
      <c r="K492" s="21">
        <f t="shared" si="82"/>
        <v>1</v>
      </c>
      <c r="L492" s="631"/>
      <c r="M492" s="21">
        <f t="shared" si="83"/>
        <v>1</v>
      </c>
      <c r="N492" s="631"/>
      <c r="O492" s="21">
        <f t="shared" si="84"/>
        <v>1</v>
      </c>
      <c r="P492" s="631"/>
      <c r="Q492" s="21">
        <f t="shared" si="85"/>
        <v>0</v>
      </c>
      <c r="R492" s="21">
        <f t="shared" si="86"/>
        <v>0</v>
      </c>
      <c r="S492" s="308">
        <f t="shared" si="77"/>
        <v>0</v>
      </c>
    </row>
    <row r="493" spans="1:19">
      <c r="A493" s="142"/>
      <c r="B493" s="52"/>
      <c r="C493" s="21">
        <f t="shared" si="78"/>
        <v>1</v>
      </c>
      <c r="D493" s="631"/>
      <c r="E493" s="21">
        <f t="shared" si="79"/>
        <v>0.02</v>
      </c>
      <c r="F493" s="631"/>
      <c r="G493" s="21">
        <f t="shared" si="80"/>
        <v>1</v>
      </c>
      <c r="H493" s="631"/>
      <c r="I493" s="21">
        <f t="shared" si="81"/>
        <v>1</v>
      </c>
      <c r="J493" s="631"/>
      <c r="K493" s="21">
        <f t="shared" si="82"/>
        <v>1</v>
      </c>
      <c r="L493" s="631"/>
      <c r="M493" s="21">
        <f t="shared" si="83"/>
        <v>1</v>
      </c>
      <c r="N493" s="631"/>
      <c r="O493" s="21">
        <f t="shared" si="84"/>
        <v>1</v>
      </c>
      <c r="P493" s="631"/>
      <c r="Q493" s="21">
        <f t="shared" si="85"/>
        <v>0</v>
      </c>
      <c r="R493" s="21">
        <f t="shared" si="86"/>
        <v>0</v>
      </c>
      <c r="S493" s="308">
        <f t="shared" si="77"/>
        <v>0</v>
      </c>
    </row>
    <row r="494" spans="1:19">
      <c r="A494" s="142"/>
      <c r="B494" s="52"/>
      <c r="C494" s="21">
        <f t="shared" si="78"/>
        <v>1</v>
      </c>
      <c r="D494" s="631"/>
      <c r="E494" s="21">
        <f t="shared" si="79"/>
        <v>0.02</v>
      </c>
      <c r="F494" s="631"/>
      <c r="G494" s="21">
        <f t="shared" si="80"/>
        <v>1</v>
      </c>
      <c r="H494" s="631"/>
      <c r="I494" s="21">
        <f t="shared" si="81"/>
        <v>1</v>
      </c>
      <c r="J494" s="631"/>
      <c r="K494" s="21">
        <f t="shared" si="82"/>
        <v>1</v>
      </c>
      <c r="L494" s="631"/>
      <c r="M494" s="21">
        <f t="shared" si="83"/>
        <v>1</v>
      </c>
      <c r="N494" s="631"/>
      <c r="O494" s="21">
        <f t="shared" si="84"/>
        <v>1</v>
      </c>
      <c r="P494" s="631"/>
      <c r="Q494" s="21">
        <f t="shared" si="85"/>
        <v>0</v>
      </c>
      <c r="R494" s="21">
        <f t="shared" si="86"/>
        <v>0</v>
      </c>
      <c r="S494" s="308">
        <f t="shared" si="77"/>
        <v>0</v>
      </c>
    </row>
    <row r="495" spans="1:19">
      <c r="A495" s="142"/>
      <c r="B495" s="52"/>
      <c r="C495" s="21">
        <f t="shared" si="78"/>
        <v>1</v>
      </c>
      <c r="D495" s="631"/>
      <c r="E495" s="21">
        <f t="shared" si="79"/>
        <v>0.02</v>
      </c>
      <c r="F495" s="631"/>
      <c r="G495" s="21">
        <f t="shared" si="80"/>
        <v>1</v>
      </c>
      <c r="H495" s="631"/>
      <c r="I495" s="21">
        <f t="shared" si="81"/>
        <v>1</v>
      </c>
      <c r="J495" s="631"/>
      <c r="K495" s="21">
        <f t="shared" si="82"/>
        <v>1</v>
      </c>
      <c r="L495" s="631"/>
      <c r="M495" s="21">
        <f t="shared" si="83"/>
        <v>1</v>
      </c>
      <c r="N495" s="631"/>
      <c r="O495" s="21">
        <f t="shared" si="84"/>
        <v>1</v>
      </c>
      <c r="P495" s="631"/>
      <c r="Q495" s="21">
        <f t="shared" si="85"/>
        <v>0</v>
      </c>
      <c r="R495" s="21">
        <f t="shared" si="86"/>
        <v>0</v>
      </c>
      <c r="S495" s="308">
        <f t="shared" si="77"/>
        <v>0</v>
      </c>
    </row>
    <row r="496" spans="1:19">
      <c r="A496" s="142"/>
      <c r="B496" s="52"/>
      <c r="C496" s="21">
        <f t="shared" si="78"/>
        <v>1</v>
      </c>
      <c r="D496" s="631"/>
      <c r="E496" s="21">
        <f t="shared" si="79"/>
        <v>0.02</v>
      </c>
      <c r="F496" s="631"/>
      <c r="G496" s="21">
        <f t="shared" si="80"/>
        <v>1</v>
      </c>
      <c r="H496" s="631"/>
      <c r="I496" s="21">
        <f t="shared" si="81"/>
        <v>1</v>
      </c>
      <c r="J496" s="631"/>
      <c r="K496" s="21">
        <f t="shared" si="82"/>
        <v>1</v>
      </c>
      <c r="L496" s="631"/>
      <c r="M496" s="21">
        <f t="shared" si="83"/>
        <v>1</v>
      </c>
      <c r="N496" s="631"/>
      <c r="O496" s="21">
        <f t="shared" si="84"/>
        <v>1</v>
      </c>
      <c r="P496" s="631"/>
      <c r="Q496" s="21">
        <f t="shared" si="85"/>
        <v>0</v>
      </c>
      <c r="R496" s="21">
        <f t="shared" si="86"/>
        <v>0</v>
      </c>
      <c r="S496" s="308">
        <f t="shared" si="77"/>
        <v>0</v>
      </c>
    </row>
    <row r="497" spans="1:19">
      <c r="A497" s="142"/>
      <c r="B497" s="52"/>
      <c r="C497" s="21">
        <f t="shared" si="78"/>
        <v>1</v>
      </c>
      <c r="D497" s="631"/>
      <c r="E497" s="21">
        <f t="shared" si="79"/>
        <v>0.02</v>
      </c>
      <c r="F497" s="631"/>
      <c r="G497" s="21">
        <f t="shared" si="80"/>
        <v>1</v>
      </c>
      <c r="H497" s="631"/>
      <c r="I497" s="21">
        <f t="shared" si="81"/>
        <v>1</v>
      </c>
      <c r="J497" s="631"/>
      <c r="K497" s="21">
        <f t="shared" si="82"/>
        <v>1</v>
      </c>
      <c r="L497" s="631"/>
      <c r="M497" s="21">
        <f t="shared" si="83"/>
        <v>1</v>
      </c>
      <c r="N497" s="631"/>
      <c r="O497" s="21">
        <f t="shared" si="84"/>
        <v>1</v>
      </c>
      <c r="P497" s="631"/>
      <c r="Q497" s="21">
        <f t="shared" si="85"/>
        <v>0</v>
      </c>
      <c r="R497" s="21">
        <f t="shared" si="86"/>
        <v>0</v>
      </c>
      <c r="S497" s="308">
        <f t="shared" si="77"/>
        <v>0</v>
      </c>
    </row>
    <row r="498" spans="1:19">
      <c r="A498" s="142"/>
      <c r="B498" s="52"/>
      <c r="C498" s="21">
        <f t="shared" si="78"/>
        <v>1</v>
      </c>
      <c r="D498" s="631"/>
      <c r="E498" s="21">
        <f t="shared" si="79"/>
        <v>0.02</v>
      </c>
      <c r="F498" s="631"/>
      <c r="G498" s="21">
        <f t="shared" si="80"/>
        <v>1</v>
      </c>
      <c r="H498" s="631"/>
      <c r="I498" s="21">
        <f t="shared" si="81"/>
        <v>1</v>
      </c>
      <c r="J498" s="631"/>
      <c r="K498" s="21">
        <f t="shared" si="82"/>
        <v>1</v>
      </c>
      <c r="L498" s="631"/>
      <c r="M498" s="21">
        <f t="shared" si="83"/>
        <v>1</v>
      </c>
      <c r="N498" s="631"/>
      <c r="O498" s="21">
        <f t="shared" si="84"/>
        <v>1</v>
      </c>
      <c r="P498" s="631"/>
      <c r="Q498" s="21">
        <f t="shared" si="85"/>
        <v>0</v>
      </c>
      <c r="R498" s="21">
        <f t="shared" si="86"/>
        <v>0</v>
      </c>
      <c r="S498" s="308">
        <f t="shared" si="77"/>
        <v>0</v>
      </c>
    </row>
    <row r="499" spans="1:19">
      <c r="A499" s="142"/>
      <c r="B499" s="52"/>
      <c r="C499" s="21">
        <f t="shared" si="78"/>
        <v>1</v>
      </c>
      <c r="D499" s="631"/>
      <c r="E499" s="21">
        <f t="shared" si="79"/>
        <v>0.02</v>
      </c>
      <c r="F499" s="631"/>
      <c r="G499" s="21">
        <f t="shared" si="80"/>
        <v>1</v>
      </c>
      <c r="H499" s="631"/>
      <c r="I499" s="21">
        <f t="shared" si="81"/>
        <v>1</v>
      </c>
      <c r="J499" s="631"/>
      <c r="K499" s="21">
        <f t="shared" si="82"/>
        <v>1</v>
      </c>
      <c r="L499" s="631"/>
      <c r="M499" s="21">
        <f t="shared" si="83"/>
        <v>1</v>
      </c>
      <c r="N499" s="631"/>
      <c r="O499" s="21">
        <f t="shared" si="84"/>
        <v>1</v>
      </c>
      <c r="P499" s="631"/>
      <c r="Q499" s="21">
        <f t="shared" si="85"/>
        <v>0</v>
      </c>
      <c r="R499" s="21">
        <f t="shared" si="86"/>
        <v>0</v>
      </c>
      <c r="S499" s="308">
        <f t="shared" si="77"/>
        <v>0</v>
      </c>
    </row>
    <row r="500" spans="1:19">
      <c r="A500" s="142"/>
      <c r="B500" s="52"/>
      <c r="C500" s="21">
        <f t="shared" si="78"/>
        <v>1</v>
      </c>
      <c r="D500" s="631"/>
      <c r="E500" s="21">
        <f t="shared" si="79"/>
        <v>0.02</v>
      </c>
      <c r="F500" s="631"/>
      <c r="G500" s="21">
        <f t="shared" si="80"/>
        <v>1</v>
      </c>
      <c r="H500" s="631"/>
      <c r="I500" s="21">
        <f t="shared" si="81"/>
        <v>1</v>
      </c>
      <c r="J500" s="631"/>
      <c r="K500" s="21">
        <f t="shared" si="82"/>
        <v>1</v>
      </c>
      <c r="L500" s="631"/>
      <c r="M500" s="21">
        <f t="shared" si="83"/>
        <v>1</v>
      </c>
      <c r="N500" s="631"/>
      <c r="O500" s="21">
        <f t="shared" si="84"/>
        <v>1</v>
      </c>
      <c r="P500" s="631"/>
      <c r="Q500" s="21">
        <f t="shared" si="85"/>
        <v>0</v>
      </c>
      <c r="R500" s="21">
        <f t="shared" si="86"/>
        <v>0</v>
      </c>
      <c r="S500" s="308">
        <f t="shared" si="77"/>
        <v>0</v>
      </c>
    </row>
    <row r="501" spans="1:19">
      <c r="A501" s="142"/>
      <c r="B501" s="52"/>
      <c r="C501" s="21">
        <f t="shared" si="78"/>
        <v>1</v>
      </c>
      <c r="D501" s="631"/>
      <c r="E501" s="21">
        <f t="shared" si="79"/>
        <v>0.02</v>
      </c>
      <c r="F501" s="631"/>
      <c r="G501" s="21">
        <f t="shared" si="80"/>
        <v>1</v>
      </c>
      <c r="H501" s="631"/>
      <c r="I501" s="21">
        <f t="shared" si="81"/>
        <v>1</v>
      </c>
      <c r="J501" s="631"/>
      <c r="K501" s="21">
        <f t="shared" si="82"/>
        <v>1</v>
      </c>
      <c r="L501" s="631"/>
      <c r="M501" s="21">
        <f t="shared" si="83"/>
        <v>1</v>
      </c>
      <c r="N501" s="631"/>
      <c r="O501" s="21">
        <f t="shared" si="84"/>
        <v>1</v>
      </c>
      <c r="P501" s="631"/>
      <c r="Q501" s="21">
        <f t="shared" si="85"/>
        <v>0</v>
      </c>
      <c r="R501" s="21">
        <f t="shared" si="86"/>
        <v>0</v>
      </c>
      <c r="S501" s="308">
        <f t="shared" si="77"/>
        <v>0</v>
      </c>
    </row>
    <row r="502" spans="1:19">
      <c r="A502" s="142"/>
      <c r="B502" s="52"/>
      <c r="C502" s="21">
        <f t="shared" si="78"/>
        <v>1</v>
      </c>
      <c r="D502" s="631"/>
      <c r="E502" s="21">
        <f t="shared" si="79"/>
        <v>0.02</v>
      </c>
      <c r="F502" s="631"/>
      <c r="G502" s="21">
        <f t="shared" si="80"/>
        <v>1</v>
      </c>
      <c r="H502" s="631"/>
      <c r="I502" s="21">
        <f t="shared" si="81"/>
        <v>1</v>
      </c>
      <c r="J502" s="631"/>
      <c r="K502" s="21">
        <f t="shared" si="82"/>
        <v>1</v>
      </c>
      <c r="L502" s="631"/>
      <c r="M502" s="21">
        <f t="shared" si="83"/>
        <v>1</v>
      </c>
      <c r="N502" s="631"/>
      <c r="O502" s="21">
        <f t="shared" si="84"/>
        <v>1</v>
      </c>
      <c r="P502" s="631"/>
      <c r="Q502" s="21">
        <f t="shared" si="85"/>
        <v>0</v>
      </c>
      <c r="R502" s="21">
        <f t="shared" si="86"/>
        <v>0</v>
      </c>
      <c r="S502" s="308">
        <f t="shared" si="77"/>
        <v>0</v>
      </c>
    </row>
    <row r="503" spans="1:19">
      <c r="A503" s="142"/>
      <c r="B503" s="52"/>
      <c r="C503" s="21">
        <f t="shared" si="78"/>
        <v>1</v>
      </c>
      <c r="D503" s="631"/>
      <c r="E503" s="21">
        <f t="shared" si="79"/>
        <v>0.02</v>
      </c>
      <c r="F503" s="631"/>
      <c r="G503" s="21">
        <f t="shared" si="80"/>
        <v>1</v>
      </c>
      <c r="H503" s="631"/>
      <c r="I503" s="21">
        <f t="shared" si="81"/>
        <v>1</v>
      </c>
      <c r="J503" s="631"/>
      <c r="K503" s="21">
        <f t="shared" si="82"/>
        <v>1</v>
      </c>
      <c r="L503" s="631"/>
      <c r="M503" s="21">
        <f t="shared" si="83"/>
        <v>1</v>
      </c>
      <c r="N503" s="631"/>
      <c r="O503" s="21">
        <f t="shared" si="84"/>
        <v>1</v>
      </c>
      <c r="P503" s="631"/>
      <c r="Q503" s="21">
        <f t="shared" si="85"/>
        <v>0</v>
      </c>
      <c r="R503" s="21">
        <f t="shared" si="86"/>
        <v>0</v>
      </c>
      <c r="S503" s="308">
        <f t="shared" si="77"/>
        <v>0</v>
      </c>
    </row>
    <row r="504" spans="1:19">
      <c r="A504" s="142"/>
      <c r="B504" s="52"/>
      <c r="C504" s="21">
        <f t="shared" si="78"/>
        <v>1</v>
      </c>
      <c r="D504" s="631"/>
      <c r="E504" s="21">
        <f t="shared" si="79"/>
        <v>0.02</v>
      </c>
      <c r="F504" s="631"/>
      <c r="G504" s="21">
        <f t="shared" si="80"/>
        <v>1</v>
      </c>
      <c r="H504" s="631"/>
      <c r="I504" s="21">
        <f t="shared" si="81"/>
        <v>1</v>
      </c>
      <c r="J504" s="631"/>
      <c r="K504" s="21">
        <f t="shared" si="82"/>
        <v>1</v>
      </c>
      <c r="L504" s="631"/>
      <c r="M504" s="21">
        <f t="shared" si="83"/>
        <v>1</v>
      </c>
      <c r="N504" s="631"/>
      <c r="O504" s="21">
        <f t="shared" si="84"/>
        <v>1</v>
      </c>
      <c r="P504" s="631"/>
      <c r="Q504" s="21">
        <f t="shared" si="85"/>
        <v>0</v>
      </c>
      <c r="R504" s="21">
        <f t="shared" si="86"/>
        <v>0</v>
      </c>
      <c r="S504" s="308">
        <f t="shared" si="77"/>
        <v>0</v>
      </c>
    </row>
    <row r="505" spans="1:19">
      <c r="A505" s="142"/>
      <c r="B505" s="52"/>
      <c r="C505" s="21">
        <f t="shared" si="78"/>
        <v>1</v>
      </c>
      <c r="D505" s="631"/>
      <c r="E505" s="21">
        <f t="shared" si="79"/>
        <v>0.02</v>
      </c>
      <c r="F505" s="631"/>
      <c r="G505" s="21">
        <f t="shared" si="80"/>
        <v>1</v>
      </c>
      <c r="H505" s="631"/>
      <c r="I505" s="21">
        <f t="shared" si="81"/>
        <v>1</v>
      </c>
      <c r="J505" s="631"/>
      <c r="K505" s="21">
        <f t="shared" si="82"/>
        <v>1</v>
      </c>
      <c r="L505" s="631"/>
      <c r="M505" s="21">
        <f t="shared" si="83"/>
        <v>1</v>
      </c>
      <c r="N505" s="631"/>
      <c r="O505" s="21">
        <f t="shared" si="84"/>
        <v>1</v>
      </c>
      <c r="P505" s="631"/>
      <c r="Q505" s="21">
        <f t="shared" si="85"/>
        <v>0</v>
      </c>
      <c r="R505" s="21">
        <f t="shared" si="86"/>
        <v>0</v>
      </c>
      <c r="S505" s="308">
        <f t="shared" si="77"/>
        <v>0</v>
      </c>
    </row>
    <row r="506" spans="1:19">
      <c r="A506" s="142"/>
      <c r="B506" s="52"/>
      <c r="C506" s="21">
        <f t="shared" si="78"/>
        <v>1</v>
      </c>
      <c r="D506" s="631"/>
      <c r="E506" s="21">
        <f t="shared" si="79"/>
        <v>0.02</v>
      </c>
      <c r="F506" s="631"/>
      <c r="G506" s="21">
        <f t="shared" si="80"/>
        <v>1</v>
      </c>
      <c r="H506" s="631"/>
      <c r="I506" s="21">
        <f t="shared" si="81"/>
        <v>1</v>
      </c>
      <c r="J506" s="631"/>
      <c r="K506" s="21">
        <f t="shared" si="82"/>
        <v>1</v>
      </c>
      <c r="L506" s="631"/>
      <c r="M506" s="21">
        <f t="shared" si="83"/>
        <v>1</v>
      </c>
      <c r="N506" s="631"/>
      <c r="O506" s="21">
        <f t="shared" si="84"/>
        <v>1</v>
      </c>
      <c r="P506" s="631"/>
      <c r="Q506" s="21">
        <f t="shared" si="85"/>
        <v>0</v>
      </c>
      <c r="R506" s="21">
        <f t="shared" si="86"/>
        <v>0</v>
      </c>
      <c r="S506" s="308">
        <f t="shared" si="77"/>
        <v>0</v>
      </c>
    </row>
    <row r="507" spans="1:19">
      <c r="A507" s="142"/>
      <c r="B507" s="52"/>
      <c r="C507" s="21">
        <f t="shared" si="78"/>
        <v>1</v>
      </c>
      <c r="D507" s="631"/>
      <c r="E507" s="21">
        <f t="shared" si="79"/>
        <v>0.02</v>
      </c>
      <c r="F507" s="631"/>
      <c r="G507" s="21">
        <f t="shared" si="80"/>
        <v>1</v>
      </c>
      <c r="H507" s="631"/>
      <c r="I507" s="21">
        <f t="shared" si="81"/>
        <v>1</v>
      </c>
      <c r="J507" s="631"/>
      <c r="K507" s="21">
        <f t="shared" si="82"/>
        <v>1</v>
      </c>
      <c r="L507" s="631"/>
      <c r="M507" s="21">
        <f t="shared" si="83"/>
        <v>1</v>
      </c>
      <c r="N507" s="631"/>
      <c r="O507" s="21">
        <f t="shared" si="84"/>
        <v>1</v>
      </c>
      <c r="P507" s="631"/>
      <c r="Q507" s="21">
        <f t="shared" si="85"/>
        <v>0</v>
      </c>
      <c r="R507" s="21">
        <f t="shared" si="86"/>
        <v>0</v>
      </c>
      <c r="S507" s="308">
        <f t="shared" si="77"/>
        <v>0</v>
      </c>
    </row>
    <row r="508" spans="1:19">
      <c r="A508" s="142"/>
      <c r="B508" s="52"/>
      <c r="C508" s="21">
        <f t="shared" si="78"/>
        <v>1</v>
      </c>
      <c r="D508" s="631"/>
      <c r="E508" s="21">
        <f t="shared" si="79"/>
        <v>0.02</v>
      </c>
      <c r="F508" s="631"/>
      <c r="G508" s="21">
        <f t="shared" si="80"/>
        <v>1</v>
      </c>
      <c r="H508" s="631"/>
      <c r="I508" s="21">
        <f t="shared" si="81"/>
        <v>1</v>
      </c>
      <c r="J508" s="631"/>
      <c r="K508" s="21">
        <f t="shared" si="82"/>
        <v>1</v>
      </c>
      <c r="L508" s="631"/>
      <c r="M508" s="21">
        <f t="shared" si="83"/>
        <v>1</v>
      </c>
      <c r="N508" s="631"/>
      <c r="O508" s="21">
        <f t="shared" si="84"/>
        <v>1</v>
      </c>
      <c r="P508" s="631"/>
      <c r="Q508" s="21">
        <f t="shared" si="85"/>
        <v>0</v>
      </c>
      <c r="R508" s="21">
        <f t="shared" si="86"/>
        <v>0</v>
      </c>
      <c r="S508" s="308">
        <f t="shared" si="77"/>
        <v>0</v>
      </c>
    </row>
    <row r="509" spans="1:19">
      <c r="A509" s="142"/>
      <c r="B509" s="52"/>
      <c r="C509" s="21">
        <f t="shared" si="78"/>
        <v>1</v>
      </c>
      <c r="D509" s="631"/>
      <c r="E509" s="21">
        <f t="shared" si="79"/>
        <v>0.02</v>
      </c>
      <c r="F509" s="631"/>
      <c r="G509" s="21">
        <f t="shared" si="80"/>
        <v>1</v>
      </c>
      <c r="H509" s="631"/>
      <c r="I509" s="21">
        <f t="shared" si="81"/>
        <v>1</v>
      </c>
      <c r="J509" s="631"/>
      <c r="K509" s="21">
        <f t="shared" si="82"/>
        <v>1</v>
      </c>
      <c r="L509" s="631"/>
      <c r="M509" s="21">
        <f t="shared" si="83"/>
        <v>1</v>
      </c>
      <c r="N509" s="631"/>
      <c r="O509" s="21">
        <f t="shared" si="84"/>
        <v>1</v>
      </c>
      <c r="P509" s="631"/>
      <c r="Q509" s="21">
        <f t="shared" si="85"/>
        <v>0</v>
      </c>
      <c r="R509" s="21">
        <f t="shared" si="86"/>
        <v>0</v>
      </c>
      <c r="S509" s="308">
        <f t="shared" si="77"/>
        <v>0</v>
      </c>
    </row>
    <row r="510" spans="1:19">
      <c r="A510" s="142"/>
      <c r="B510" s="52"/>
      <c r="C510" s="21">
        <f t="shared" si="78"/>
        <v>1</v>
      </c>
      <c r="D510" s="631"/>
      <c r="E510" s="21">
        <f t="shared" si="79"/>
        <v>0.02</v>
      </c>
      <c r="F510" s="631"/>
      <c r="G510" s="21">
        <f t="shared" si="80"/>
        <v>1</v>
      </c>
      <c r="H510" s="631"/>
      <c r="I510" s="21">
        <f t="shared" si="81"/>
        <v>1</v>
      </c>
      <c r="J510" s="631"/>
      <c r="K510" s="21">
        <f t="shared" si="82"/>
        <v>1</v>
      </c>
      <c r="L510" s="631"/>
      <c r="M510" s="21">
        <f t="shared" si="83"/>
        <v>1</v>
      </c>
      <c r="N510" s="631"/>
      <c r="O510" s="21">
        <f t="shared" si="84"/>
        <v>1</v>
      </c>
      <c r="P510" s="631"/>
      <c r="Q510" s="21">
        <f t="shared" si="85"/>
        <v>0</v>
      </c>
      <c r="R510" s="21">
        <f t="shared" si="86"/>
        <v>0</v>
      </c>
      <c r="S510" s="308">
        <f t="shared" si="77"/>
        <v>0</v>
      </c>
    </row>
    <row r="511" spans="1:19">
      <c r="A511" s="142"/>
      <c r="B511" s="52"/>
      <c r="C511" s="21">
        <f t="shared" si="78"/>
        <v>1</v>
      </c>
      <c r="D511" s="631"/>
      <c r="E511" s="21">
        <f t="shared" si="79"/>
        <v>0.02</v>
      </c>
      <c r="F511" s="631"/>
      <c r="G511" s="21">
        <f t="shared" si="80"/>
        <v>1</v>
      </c>
      <c r="H511" s="631"/>
      <c r="I511" s="21">
        <f t="shared" si="81"/>
        <v>1</v>
      </c>
      <c r="J511" s="631"/>
      <c r="K511" s="21">
        <f t="shared" si="82"/>
        <v>1</v>
      </c>
      <c r="L511" s="631"/>
      <c r="M511" s="21">
        <f t="shared" si="83"/>
        <v>1</v>
      </c>
      <c r="N511" s="631"/>
      <c r="O511" s="21">
        <f t="shared" si="84"/>
        <v>1</v>
      </c>
      <c r="P511" s="631"/>
      <c r="Q511" s="21">
        <f t="shared" si="85"/>
        <v>0</v>
      </c>
      <c r="R511" s="21">
        <f t="shared" si="86"/>
        <v>0</v>
      </c>
      <c r="S511" s="308">
        <f t="shared" si="77"/>
        <v>0</v>
      </c>
    </row>
    <row r="512" spans="1:19">
      <c r="A512" s="142"/>
      <c r="B512" s="52"/>
      <c r="C512" s="21">
        <f t="shared" si="78"/>
        <v>1</v>
      </c>
      <c r="D512" s="631"/>
      <c r="E512" s="21">
        <f t="shared" si="79"/>
        <v>0.02</v>
      </c>
      <c r="F512" s="631"/>
      <c r="G512" s="21">
        <f t="shared" si="80"/>
        <v>1</v>
      </c>
      <c r="H512" s="631"/>
      <c r="I512" s="21">
        <f t="shared" si="81"/>
        <v>1</v>
      </c>
      <c r="J512" s="631"/>
      <c r="K512" s="21">
        <f t="shared" si="82"/>
        <v>1</v>
      </c>
      <c r="L512" s="631"/>
      <c r="M512" s="21">
        <f t="shared" si="83"/>
        <v>1</v>
      </c>
      <c r="N512" s="631"/>
      <c r="O512" s="21">
        <f t="shared" si="84"/>
        <v>1</v>
      </c>
      <c r="P512" s="631"/>
      <c r="Q512" s="21">
        <f t="shared" si="85"/>
        <v>0</v>
      </c>
      <c r="R512" s="21">
        <f t="shared" si="86"/>
        <v>0</v>
      </c>
      <c r="S512" s="308">
        <f t="shared" si="77"/>
        <v>0</v>
      </c>
    </row>
    <row r="513" spans="1:19">
      <c r="A513" s="142"/>
      <c r="B513" s="52"/>
      <c r="C513" s="21">
        <f t="shared" si="78"/>
        <v>1</v>
      </c>
      <c r="D513" s="631"/>
      <c r="E513" s="21">
        <f t="shared" si="79"/>
        <v>0.02</v>
      </c>
      <c r="F513" s="631"/>
      <c r="G513" s="21">
        <f t="shared" si="80"/>
        <v>1</v>
      </c>
      <c r="H513" s="631"/>
      <c r="I513" s="21">
        <f t="shared" si="81"/>
        <v>1</v>
      </c>
      <c r="J513" s="631"/>
      <c r="K513" s="21">
        <f t="shared" si="82"/>
        <v>1</v>
      </c>
      <c r="L513" s="631"/>
      <c r="M513" s="21">
        <f t="shared" si="83"/>
        <v>1</v>
      </c>
      <c r="N513" s="631"/>
      <c r="O513" s="21">
        <f t="shared" si="84"/>
        <v>1</v>
      </c>
      <c r="P513" s="631"/>
      <c r="Q513" s="21">
        <f t="shared" si="85"/>
        <v>0</v>
      </c>
      <c r="R513" s="21">
        <f t="shared" si="86"/>
        <v>0</v>
      </c>
      <c r="S513" s="308">
        <f t="shared" si="77"/>
        <v>0</v>
      </c>
    </row>
    <row r="514" spans="1:19">
      <c r="A514" s="142"/>
      <c r="B514" s="52"/>
      <c r="C514" s="21">
        <f t="shared" si="78"/>
        <v>1</v>
      </c>
      <c r="D514" s="631"/>
      <c r="E514" s="21">
        <f t="shared" si="79"/>
        <v>0.02</v>
      </c>
      <c r="F514" s="631"/>
      <c r="G514" s="21">
        <f t="shared" si="80"/>
        <v>1</v>
      </c>
      <c r="H514" s="631"/>
      <c r="I514" s="21">
        <f t="shared" si="81"/>
        <v>1</v>
      </c>
      <c r="J514" s="631"/>
      <c r="K514" s="21">
        <f t="shared" si="82"/>
        <v>1</v>
      </c>
      <c r="L514" s="631"/>
      <c r="M514" s="21">
        <f t="shared" si="83"/>
        <v>1</v>
      </c>
      <c r="N514" s="631"/>
      <c r="O514" s="21">
        <f t="shared" si="84"/>
        <v>1</v>
      </c>
      <c r="P514" s="631"/>
      <c r="Q514" s="21">
        <f t="shared" si="85"/>
        <v>0</v>
      </c>
      <c r="R514" s="21">
        <f t="shared" si="86"/>
        <v>0</v>
      </c>
      <c r="S514" s="308">
        <f t="shared" si="77"/>
        <v>0</v>
      </c>
    </row>
    <row r="515" spans="1:19">
      <c r="A515" s="142"/>
      <c r="B515" s="52"/>
      <c r="C515" s="21">
        <f t="shared" si="78"/>
        <v>1</v>
      </c>
      <c r="D515" s="631"/>
      <c r="E515" s="21">
        <f t="shared" si="79"/>
        <v>0.02</v>
      </c>
      <c r="F515" s="631"/>
      <c r="G515" s="21">
        <f t="shared" si="80"/>
        <v>1</v>
      </c>
      <c r="H515" s="631"/>
      <c r="I515" s="21">
        <f t="shared" si="81"/>
        <v>1</v>
      </c>
      <c r="J515" s="631"/>
      <c r="K515" s="21">
        <f t="shared" si="82"/>
        <v>1</v>
      </c>
      <c r="L515" s="631"/>
      <c r="M515" s="21">
        <f t="shared" si="83"/>
        <v>1</v>
      </c>
      <c r="N515" s="631"/>
      <c r="O515" s="21">
        <f t="shared" si="84"/>
        <v>1</v>
      </c>
      <c r="P515" s="631"/>
      <c r="Q515" s="21">
        <f t="shared" si="85"/>
        <v>0</v>
      </c>
      <c r="R515" s="21">
        <f t="shared" si="86"/>
        <v>0</v>
      </c>
      <c r="S515" s="308">
        <f t="shared" si="77"/>
        <v>0</v>
      </c>
    </row>
    <row r="516" spans="1:19">
      <c r="A516" s="142"/>
      <c r="B516" s="52"/>
      <c r="C516" s="21">
        <f t="shared" si="78"/>
        <v>1</v>
      </c>
      <c r="D516" s="631"/>
      <c r="E516" s="21">
        <f t="shared" si="79"/>
        <v>0.02</v>
      </c>
      <c r="F516" s="631"/>
      <c r="G516" s="21">
        <f t="shared" si="80"/>
        <v>1</v>
      </c>
      <c r="H516" s="631"/>
      <c r="I516" s="21">
        <f t="shared" si="81"/>
        <v>1</v>
      </c>
      <c r="J516" s="631"/>
      <c r="K516" s="21">
        <f t="shared" si="82"/>
        <v>1</v>
      </c>
      <c r="L516" s="631"/>
      <c r="M516" s="21">
        <f t="shared" si="83"/>
        <v>1</v>
      </c>
      <c r="N516" s="631"/>
      <c r="O516" s="21">
        <f t="shared" si="84"/>
        <v>1</v>
      </c>
      <c r="P516" s="631"/>
      <c r="Q516" s="21">
        <f t="shared" si="85"/>
        <v>0</v>
      </c>
      <c r="R516" s="21">
        <f t="shared" si="86"/>
        <v>0</v>
      </c>
      <c r="S516" s="308">
        <f t="shared" si="77"/>
        <v>0</v>
      </c>
    </row>
    <row r="517" spans="1:19">
      <c r="A517" s="142"/>
      <c r="B517" s="52"/>
      <c r="C517" s="21">
        <f t="shared" si="78"/>
        <v>1</v>
      </c>
      <c r="D517" s="631"/>
      <c r="E517" s="21">
        <f t="shared" si="79"/>
        <v>0.02</v>
      </c>
      <c r="F517" s="631"/>
      <c r="G517" s="21">
        <f t="shared" si="80"/>
        <v>1</v>
      </c>
      <c r="H517" s="631"/>
      <c r="I517" s="21">
        <f t="shared" si="81"/>
        <v>1</v>
      </c>
      <c r="J517" s="631"/>
      <c r="K517" s="21">
        <f t="shared" si="82"/>
        <v>1</v>
      </c>
      <c r="L517" s="631"/>
      <c r="M517" s="21">
        <f t="shared" si="83"/>
        <v>1</v>
      </c>
      <c r="N517" s="631"/>
      <c r="O517" s="21">
        <f t="shared" si="84"/>
        <v>1</v>
      </c>
      <c r="P517" s="631"/>
      <c r="Q517" s="21">
        <f t="shared" si="85"/>
        <v>0</v>
      </c>
      <c r="R517" s="21">
        <f t="shared" si="86"/>
        <v>0</v>
      </c>
      <c r="S517" s="308">
        <f t="shared" si="77"/>
        <v>0</v>
      </c>
    </row>
    <row r="518" spans="1:19">
      <c r="A518" s="142"/>
      <c r="B518" s="52"/>
      <c r="C518" s="21">
        <f t="shared" si="78"/>
        <v>1</v>
      </c>
      <c r="D518" s="631"/>
      <c r="E518" s="21">
        <f t="shared" si="79"/>
        <v>0.02</v>
      </c>
      <c r="F518" s="631"/>
      <c r="G518" s="21">
        <f t="shared" si="80"/>
        <v>1</v>
      </c>
      <c r="H518" s="631"/>
      <c r="I518" s="21">
        <f t="shared" si="81"/>
        <v>1</v>
      </c>
      <c r="J518" s="631"/>
      <c r="K518" s="21">
        <f t="shared" si="82"/>
        <v>1</v>
      </c>
      <c r="L518" s="631"/>
      <c r="M518" s="21">
        <f t="shared" si="83"/>
        <v>1</v>
      </c>
      <c r="N518" s="631"/>
      <c r="O518" s="21">
        <f t="shared" si="84"/>
        <v>1</v>
      </c>
      <c r="P518" s="631"/>
      <c r="Q518" s="21">
        <f t="shared" si="85"/>
        <v>0</v>
      </c>
      <c r="R518" s="21">
        <f t="shared" si="86"/>
        <v>0</v>
      </c>
      <c r="S518" s="308">
        <f t="shared" si="77"/>
        <v>0</v>
      </c>
    </row>
    <row r="519" spans="1:19">
      <c r="A519" s="142"/>
      <c r="B519" s="52"/>
      <c r="C519" s="21">
        <f t="shared" si="78"/>
        <v>1</v>
      </c>
      <c r="D519" s="631"/>
      <c r="E519" s="21">
        <f t="shared" si="79"/>
        <v>0.02</v>
      </c>
      <c r="F519" s="631"/>
      <c r="G519" s="21">
        <f t="shared" si="80"/>
        <v>1</v>
      </c>
      <c r="H519" s="631"/>
      <c r="I519" s="21">
        <f t="shared" si="81"/>
        <v>1</v>
      </c>
      <c r="J519" s="631"/>
      <c r="K519" s="21">
        <f t="shared" si="82"/>
        <v>1</v>
      </c>
      <c r="L519" s="631"/>
      <c r="M519" s="21">
        <f t="shared" si="83"/>
        <v>1</v>
      </c>
      <c r="N519" s="631"/>
      <c r="O519" s="21">
        <f t="shared" si="84"/>
        <v>1</v>
      </c>
      <c r="P519" s="631"/>
      <c r="Q519" s="21">
        <f t="shared" si="85"/>
        <v>0</v>
      </c>
      <c r="R519" s="21">
        <f t="shared" si="86"/>
        <v>0</v>
      </c>
      <c r="S519" s="308">
        <f t="shared" si="77"/>
        <v>0</v>
      </c>
    </row>
    <row r="520" spans="1:19">
      <c r="A520" s="142"/>
      <c r="B520" s="52"/>
      <c r="C520" s="21">
        <f t="shared" si="78"/>
        <v>1</v>
      </c>
      <c r="D520" s="631"/>
      <c r="E520" s="21">
        <f t="shared" si="79"/>
        <v>0.02</v>
      </c>
      <c r="F520" s="631"/>
      <c r="G520" s="21">
        <f t="shared" si="80"/>
        <v>1</v>
      </c>
      <c r="H520" s="631"/>
      <c r="I520" s="21">
        <f t="shared" si="81"/>
        <v>1</v>
      </c>
      <c r="J520" s="631"/>
      <c r="K520" s="21">
        <f t="shared" si="82"/>
        <v>1</v>
      </c>
      <c r="L520" s="631"/>
      <c r="M520" s="21">
        <f t="shared" si="83"/>
        <v>1</v>
      </c>
      <c r="N520" s="631"/>
      <c r="O520" s="21">
        <f t="shared" si="84"/>
        <v>1</v>
      </c>
      <c r="P520" s="631"/>
      <c r="Q520" s="21">
        <f t="shared" si="85"/>
        <v>0</v>
      </c>
      <c r="R520" s="21">
        <f t="shared" si="86"/>
        <v>0</v>
      </c>
      <c r="S520" s="308">
        <f t="shared" si="77"/>
        <v>0</v>
      </c>
    </row>
    <row r="521" spans="1:19">
      <c r="A521" s="142"/>
      <c r="B521" s="52"/>
      <c r="C521" s="21">
        <f t="shared" si="78"/>
        <v>1</v>
      </c>
      <c r="D521" s="631"/>
      <c r="E521" s="21">
        <f t="shared" si="79"/>
        <v>0.02</v>
      </c>
      <c r="F521" s="631"/>
      <c r="G521" s="21">
        <f t="shared" si="80"/>
        <v>1</v>
      </c>
      <c r="H521" s="631"/>
      <c r="I521" s="21">
        <f t="shared" si="81"/>
        <v>1</v>
      </c>
      <c r="J521" s="631"/>
      <c r="K521" s="21">
        <f t="shared" si="82"/>
        <v>1</v>
      </c>
      <c r="L521" s="631"/>
      <c r="M521" s="21">
        <f t="shared" si="83"/>
        <v>1</v>
      </c>
      <c r="N521" s="631"/>
      <c r="O521" s="21">
        <f t="shared" si="84"/>
        <v>1</v>
      </c>
      <c r="P521" s="631"/>
      <c r="Q521" s="21">
        <f t="shared" si="85"/>
        <v>0</v>
      </c>
      <c r="R521" s="21">
        <f t="shared" si="86"/>
        <v>0</v>
      </c>
      <c r="S521" s="308">
        <f t="shared" si="77"/>
        <v>0</v>
      </c>
    </row>
    <row r="522" spans="1:19">
      <c r="A522" s="142"/>
      <c r="B522" s="52"/>
      <c r="C522" s="21">
        <f t="shared" si="78"/>
        <v>1</v>
      </c>
      <c r="D522" s="631"/>
      <c r="E522" s="21">
        <f t="shared" si="79"/>
        <v>0.02</v>
      </c>
      <c r="F522" s="631"/>
      <c r="G522" s="21">
        <f t="shared" si="80"/>
        <v>1</v>
      </c>
      <c r="H522" s="631"/>
      <c r="I522" s="21">
        <f t="shared" si="81"/>
        <v>1</v>
      </c>
      <c r="J522" s="631"/>
      <c r="K522" s="21">
        <f t="shared" si="82"/>
        <v>1</v>
      </c>
      <c r="L522" s="631"/>
      <c r="M522" s="21">
        <f t="shared" si="83"/>
        <v>1</v>
      </c>
      <c r="N522" s="631"/>
      <c r="O522" s="21">
        <f t="shared" si="84"/>
        <v>1</v>
      </c>
      <c r="P522" s="631"/>
      <c r="Q522" s="21">
        <f t="shared" si="85"/>
        <v>0</v>
      </c>
      <c r="R522" s="21">
        <f t="shared" si="86"/>
        <v>0</v>
      </c>
      <c r="S522" s="308">
        <f t="shared" si="77"/>
        <v>0</v>
      </c>
    </row>
    <row r="523" spans="1:19">
      <c r="A523" s="142"/>
      <c r="B523" s="52"/>
      <c r="C523" s="21">
        <f t="shared" si="78"/>
        <v>1</v>
      </c>
      <c r="D523" s="631"/>
      <c r="E523" s="21">
        <f t="shared" si="79"/>
        <v>0.02</v>
      </c>
      <c r="F523" s="631"/>
      <c r="G523" s="21">
        <f t="shared" si="80"/>
        <v>1</v>
      </c>
      <c r="H523" s="631"/>
      <c r="I523" s="21">
        <f t="shared" si="81"/>
        <v>1</v>
      </c>
      <c r="J523" s="631"/>
      <c r="K523" s="21">
        <f t="shared" si="82"/>
        <v>1</v>
      </c>
      <c r="L523" s="631"/>
      <c r="M523" s="21">
        <f t="shared" si="83"/>
        <v>1</v>
      </c>
      <c r="N523" s="631"/>
      <c r="O523" s="21">
        <f t="shared" si="84"/>
        <v>1</v>
      </c>
      <c r="P523" s="631"/>
      <c r="Q523" s="21">
        <f t="shared" si="85"/>
        <v>0</v>
      </c>
      <c r="R523" s="21">
        <f t="shared" si="86"/>
        <v>0</v>
      </c>
      <c r="S523" s="308">
        <f t="shared" si="77"/>
        <v>0</v>
      </c>
    </row>
    <row r="524" spans="1:19">
      <c r="A524" s="142"/>
      <c r="B524" s="52"/>
      <c r="C524" s="21">
        <f t="shared" si="78"/>
        <v>1</v>
      </c>
      <c r="D524" s="631"/>
      <c r="E524" s="21">
        <f t="shared" si="79"/>
        <v>0.02</v>
      </c>
      <c r="F524" s="631"/>
      <c r="G524" s="21">
        <f t="shared" si="80"/>
        <v>1</v>
      </c>
      <c r="H524" s="631"/>
      <c r="I524" s="21">
        <f t="shared" si="81"/>
        <v>1</v>
      </c>
      <c r="J524" s="631"/>
      <c r="K524" s="21">
        <f t="shared" si="82"/>
        <v>1</v>
      </c>
      <c r="L524" s="631"/>
      <c r="M524" s="21">
        <f t="shared" si="83"/>
        <v>1</v>
      </c>
      <c r="N524" s="631"/>
      <c r="O524" s="21">
        <f t="shared" si="84"/>
        <v>1</v>
      </c>
      <c r="P524" s="631"/>
      <c r="Q524" s="21">
        <f t="shared" si="85"/>
        <v>0</v>
      </c>
      <c r="R524" s="21">
        <f t="shared" si="86"/>
        <v>0</v>
      </c>
      <c r="S524" s="308">
        <f t="shared" si="77"/>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6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9" zoomScaleNormal="70" zoomScaleSheetLayoutView="100" workbookViewId="0">
      <selection activeCell="E43" sqref="E4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3333</v>
      </c>
      <c r="C1" s="1138" t="s">
        <v>1662</v>
      </c>
      <c r="D1" s="1139"/>
      <c r="E1" s="3127" t="s">
        <v>3517</v>
      </c>
      <c r="F1" s="1732" t="s">
        <v>3518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IF(E1="项目模式",IF(C2="——",ROUND(C37*D3/10000,0),ROUND(C37*D3/10000,0)-D2),IF(E1="单套模式",IF(C2="——",ROUND(C37*D3/10000,4),ROUND(C37*D3/10000,4)-D2)))</f>
        <v>0</v>
      </c>
      <c r="C2" s="1734" t="s">
        <v>43</v>
      </c>
      <c r="D2" s="850" t="e">
        <f ca="1">IF(E1="项目模式",SUMIF(INDIRECT("'"&amp;F2&amp;"'"&amp;"!A:A"),"承租人权益价值",INDIRECT("'"&amp;F2&amp;"'"&amp;"!c:c")),SUMIF(INDIRECT("'"&amp;F2&amp;"'"&amp;"!A:A"),"承租人权益价值（单套）",INDIRECT("'"&amp;F2&amp;"'"&amp;"!c:c")))</f>
        <v>#REF!</v>
      </c>
      <c r="E2" s="1735" t="s">
        <v>1463</v>
      </c>
      <c r="F2" s="1736"/>
      <c r="G2" s="851"/>
      <c r="H2" s="851"/>
      <c r="I2" s="851"/>
      <c r="J2" s="851"/>
      <c r="K2" s="853"/>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f>IF(C2="——",C37,ROUND(B2*10000/D3,0))</f>
        <v>0.8</v>
      </c>
      <c r="C3" s="344" t="s">
        <v>1768</v>
      </c>
      <c r="D3" s="343">
        <f>SUMIF('数据-汇总表'!$C19:$C33,D1,'数据-汇总表'!$E19:$E33)</f>
        <v>0</v>
      </c>
      <c r="E3" s="851"/>
      <c r="F3" s="852"/>
      <c r="G3" s="851"/>
      <c r="H3" s="851"/>
      <c r="I3" s="851"/>
      <c r="J3" s="851"/>
      <c r="K3" s="853"/>
      <c r="L3" s="2499"/>
      <c r="M3" s="2500"/>
      <c r="N3" s="2500"/>
      <c r="O3" s="2500"/>
      <c r="P3" s="341"/>
      <c r="Q3" s="341"/>
      <c r="R3" s="341"/>
      <c r="S3" s="341"/>
      <c r="T3" s="341"/>
      <c r="U3" s="341"/>
      <c r="V3" s="341"/>
      <c r="W3" s="341"/>
      <c r="X3" s="341"/>
      <c r="Y3" s="341"/>
      <c r="Z3" s="341"/>
      <c r="AA3" s="341"/>
      <c r="AB3" s="672"/>
      <c r="AC3" s="659"/>
    </row>
    <row r="4" spans="1:29" ht="15">
      <c r="A4" s="345" t="s">
        <v>1769</v>
      </c>
      <c r="B4" s="346"/>
      <c r="C4" s="3493" t="s">
        <v>1770</v>
      </c>
      <c r="D4" s="3494"/>
      <c r="E4" s="3495" t="s">
        <v>1771</v>
      </c>
      <c r="F4" s="3496"/>
      <c r="G4" s="3493" t="s">
        <v>1772</v>
      </c>
      <c r="H4" s="3494"/>
      <c r="I4" s="3493" t="s">
        <v>1773</v>
      </c>
      <c r="J4" s="3494"/>
      <c r="K4" s="537" t="s">
        <v>1774</v>
      </c>
      <c r="L4" s="2482"/>
      <c r="M4" s="2483"/>
      <c r="N4" s="2483"/>
      <c r="O4" s="2483"/>
      <c r="P4" s="3497" t="s">
        <v>1775</v>
      </c>
      <c r="Q4" s="3498"/>
      <c r="R4" s="3503" t="s">
        <v>1771</v>
      </c>
      <c r="S4" s="3504"/>
      <c r="T4" s="3503" t="s">
        <v>1772</v>
      </c>
      <c r="U4" s="3504"/>
      <c r="V4" s="3479" t="s">
        <v>1773</v>
      </c>
      <c r="W4" s="3479"/>
      <c r="X4" s="1262"/>
      <c r="Y4" s="3503" t="s">
        <v>1775</v>
      </c>
      <c r="Z4" s="3504"/>
      <c r="AA4" s="3490" t="s">
        <v>1771</v>
      </c>
      <c r="AB4" s="3491" t="s">
        <v>1772</v>
      </c>
      <c r="AC4" s="3490" t="s">
        <v>1773</v>
      </c>
    </row>
    <row r="5" spans="1:29" ht="15">
      <c r="A5" s="348"/>
      <c r="B5" s="349"/>
      <c r="C5" s="3511" t="s">
        <v>1673</v>
      </c>
      <c r="D5" s="3512"/>
      <c r="E5" s="3521" t="s">
        <v>3548</v>
      </c>
      <c r="F5" s="3519"/>
      <c r="G5" s="3520" t="s">
        <v>3549</v>
      </c>
      <c r="H5" s="3512"/>
      <c r="I5" s="3520" t="s">
        <v>3550</v>
      </c>
      <c r="J5" s="3512"/>
      <c r="K5" s="537"/>
      <c r="L5" s="2482"/>
      <c r="M5" s="2483"/>
      <c r="N5" s="2483"/>
      <c r="O5" s="2483"/>
      <c r="P5" s="3499"/>
      <c r="Q5" s="3500"/>
      <c r="R5" s="3505"/>
      <c r="S5" s="3506"/>
      <c r="T5" s="3505"/>
      <c r="U5" s="3506"/>
      <c r="V5" s="3479"/>
      <c r="W5" s="3479"/>
      <c r="X5" s="1262"/>
      <c r="Y5" s="3505"/>
      <c r="Z5" s="3506"/>
      <c r="AA5" s="3491"/>
      <c r="AB5" s="3491"/>
      <c r="AC5" s="3491"/>
    </row>
    <row r="6" spans="1:29" ht="15.75" thickBot="1">
      <c r="A6" s="350"/>
      <c r="B6" s="351"/>
      <c r="C6" s="3509" t="s">
        <v>1677</v>
      </c>
      <c r="D6" s="3510"/>
      <c r="E6" s="3516" t="s">
        <v>1677</v>
      </c>
      <c r="F6" s="3517"/>
      <c r="G6" s="3509" t="s">
        <v>1677</v>
      </c>
      <c r="H6" s="3510"/>
      <c r="I6" s="3509" t="s">
        <v>1677</v>
      </c>
      <c r="J6" s="3510"/>
      <c r="K6" s="537" t="s">
        <v>1678</v>
      </c>
      <c r="L6" s="2482"/>
      <c r="M6" s="2483"/>
      <c r="N6" s="2483"/>
      <c r="O6" s="2483"/>
      <c r="P6" s="3501"/>
      <c r="Q6" s="3502"/>
      <c r="R6" s="3505"/>
      <c r="S6" s="3506"/>
      <c r="T6" s="3507"/>
      <c r="U6" s="3508"/>
      <c r="V6" s="3479"/>
      <c r="W6" s="3479"/>
      <c r="X6" s="1262"/>
      <c r="Y6" s="3507"/>
      <c r="Z6" s="3508"/>
      <c r="AA6" s="3492"/>
      <c r="AB6" s="3492"/>
      <c r="AC6" s="3492"/>
    </row>
    <row r="7" spans="1:29" s="102" customFormat="1" ht="15.75" thickBot="1">
      <c r="A7" s="352" t="s">
        <v>1679</v>
      </c>
      <c r="B7" s="353"/>
      <c r="C7" s="354">
        <f>'数据-取费表'!B2</f>
        <v>45215</v>
      </c>
      <c r="D7" s="355">
        <v>100</v>
      </c>
      <c r="E7" s="356">
        <v>45200</v>
      </c>
      <c r="F7" s="357">
        <f>SUMIF(46:46,YEAR(E7)&amp;"-"&amp;MONTH(E7),47:47)</f>
        <v>100</v>
      </c>
      <c r="G7" s="356">
        <v>45200</v>
      </c>
      <c r="H7" s="355">
        <f>SUMIF(46:46,YEAR(G7)&amp;"-"&amp;MONTH(G7),47:47)</f>
        <v>100</v>
      </c>
      <c r="I7" s="356">
        <v>45200</v>
      </c>
      <c r="J7" s="355">
        <f>SUMIF(46:46,YEAR(I7)&amp;"-"&amp;MONTH(I7),47:47)</f>
        <v>100</v>
      </c>
      <c r="K7" s="38"/>
      <c r="L7" s="2484"/>
      <c r="M7" s="2435"/>
      <c r="N7" s="2435"/>
      <c r="O7" s="2435"/>
      <c r="P7" s="3513" t="s">
        <v>1680</v>
      </c>
      <c r="Q7" s="3515"/>
      <c r="R7" s="660" t="s">
        <v>14</v>
      </c>
      <c r="S7" s="661">
        <f t="shared" ref="S7:S14" si="0">F7</f>
        <v>100</v>
      </c>
      <c r="T7" s="660" t="s">
        <v>14</v>
      </c>
      <c r="U7" s="661">
        <f t="shared" ref="U7:U14" si="1">H7</f>
        <v>100</v>
      </c>
      <c r="V7" s="660" t="s">
        <v>14</v>
      </c>
      <c r="W7" s="661">
        <f t="shared" ref="W7:W14" si="2">J7</f>
        <v>100</v>
      </c>
      <c r="X7" s="662"/>
      <c r="Y7" s="3513" t="s">
        <v>1680</v>
      </c>
      <c r="Z7" s="3514"/>
      <c r="AA7" s="50">
        <f>D7/F7</f>
        <v>1</v>
      </c>
      <c r="AB7" s="50">
        <f>D7/H7</f>
        <v>1</v>
      </c>
      <c r="AC7" s="50">
        <f>D7/J7</f>
        <v>1</v>
      </c>
    </row>
    <row r="8" spans="1:29" s="102" customFormat="1" ht="15.75" thickBot="1">
      <c r="A8" s="352" t="s">
        <v>1681</v>
      </c>
      <c r="B8" s="353"/>
      <c r="C8" s="358" t="s">
        <v>3455</v>
      </c>
      <c r="D8" s="355">
        <v>100</v>
      </c>
      <c r="E8" s="358" t="s">
        <v>3456</v>
      </c>
      <c r="F8" s="357">
        <f>SUMIF(49:49,E8,50:50)-SUMIF(49:49,C8,50:50)+100</f>
        <v>102</v>
      </c>
      <c r="G8" s="358" t="s">
        <v>3456</v>
      </c>
      <c r="H8" s="355">
        <f>SUMIF(49:49,G8,50:50)-SUMIF(49:49,C8,50:50)+100</f>
        <v>102</v>
      </c>
      <c r="I8" s="358" t="s">
        <v>3456</v>
      </c>
      <c r="J8" s="355">
        <f>SUMIF(49:49,I8,50:50)-SUMIF(49:49,C8,50:50)+100</f>
        <v>102</v>
      </c>
      <c r="K8" s="38"/>
      <c r="L8" s="2484"/>
      <c r="M8" s="2435"/>
      <c r="N8" s="2435"/>
      <c r="O8" s="2435"/>
      <c r="P8" s="3513" t="s">
        <v>1683</v>
      </c>
      <c r="Q8" s="3514"/>
      <c r="R8" s="660" t="s">
        <v>14</v>
      </c>
      <c r="S8" s="661">
        <f t="shared" si="0"/>
        <v>102</v>
      </c>
      <c r="T8" s="660" t="s">
        <v>14</v>
      </c>
      <c r="U8" s="661">
        <f t="shared" si="1"/>
        <v>102</v>
      </c>
      <c r="V8" s="660" t="s">
        <v>14</v>
      </c>
      <c r="W8" s="661">
        <f t="shared" si="2"/>
        <v>102</v>
      </c>
      <c r="X8" s="662"/>
      <c r="Y8" s="3513" t="s">
        <v>1683</v>
      </c>
      <c r="Z8" s="3514"/>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145" t="s">
        <v>3543</v>
      </c>
      <c r="D9" s="59">
        <v>100</v>
      </c>
      <c r="E9" s="362" t="s">
        <v>3333</v>
      </c>
      <c r="F9" s="60">
        <f>SUMIF(51:51,E9,52:52)-SUMIF(51:51,C9,52:52)+100</f>
        <v>100</v>
      </c>
      <c r="G9" s="362" t="s">
        <v>3333</v>
      </c>
      <c r="H9" s="59">
        <f>SUMIF(51:51,G9,52:52)-SUMIF(51:51,C9,52:52)+100</f>
        <v>100</v>
      </c>
      <c r="I9" s="362" t="s">
        <v>3333</v>
      </c>
      <c r="J9" s="59">
        <f>SUMIF(51:51,I9,52:52)-SUMIF(51:51,C9,52:52)+100</f>
        <v>100</v>
      </c>
      <c r="K9" s="38"/>
      <c r="L9" s="2484"/>
      <c r="M9" s="2435"/>
      <c r="N9" s="2435"/>
      <c r="O9" s="2536"/>
      <c r="P9" s="3478" t="s">
        <v>1686</v>
      </c>
      <c r="Q9" s="530" t="str">
        <f t="shared" ref="Q9:Q14" si="6">B9</f>
        <v>用途</v>
      </c>
      <c r="R9" s="660" t="s">
        <v>14</v>
      </c>
      <c r="S9" s="661">
        <f t="shared" si="0"/>
        <v>100</v>
      </c>
      <c r="T9" s="660" t="s">
        <v>14</v>
      </c>
      <c r="U9" s="661">
        <f t="shared" si="1"/>
        <v>100</v>
      </c>
      <c r="V9" s="660" t="s">
        <v>14</v>
      </c>
      <c r="W9" s="661">
        <f t="shared" si="2"/>
        <v>100</v>
      </c>
      <c r="X9" s="662"/>
      <c r="Y9" s="3353"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78"/>
      <c r="Q10" s="530" t="str">
        <f t="shared" si="6"/>
        <v>土地使用年限（年）</v>
      </c>
      <c r="R10" s="660" t="s">
        <v>14</v>
      </c>
      <c r="S10" s="661">
        <f t="shared" si="0"/>
        <v>100</v>
      </c>
      <c r="T10" s="660" t="s">
        <v>14</v>
      </c>
      <c r="U10" s="661">
        <f t="shared" si="1"/>
        <v>100</v>
      </c>
      <c r="V10" s="660" t="s">
        <v>14</v>
      </c>
      <c r="W10" s="661">
        <f t="shared" si="2"/>
        <v>100</v>
      </c>
      <c r="X10" s="662"/>
      <c r="Y10" s="33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78"/>
      <c r="Q11" s="530">
        <f t="shared" si="6"/>
        <v>111</v>
      </c>
      <c r="R11" s="660" t="s">
        <v>14</v>
      </c>
      <c r="S11" s="661">
        <f t="shared" si="0"/>
        <v>100</v>
      </c>
      <c r="T11" s="660" t="s">
        <v>14</v>
      </c>
      <c r="U11" s="661">
        <f t="shared" si="1"/>
        <v>100</v>
      </c>
      <c r="V11" s="660" t="s">
        <v>14</v>
      </c>
      <c r="W11" s="661">
        <f t="shared" si="2"/>
        <v>100</v>
      </c>
      <c r="X11" s="662"/>
      <c r="Y11" s="33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478"/>
      <c r="Q12" s="530">
        <f t="shared" si="6"/>
        <v>111</v>
      </c>
      <c r="R12" s="660" t="s">
        <v>14</v>
      </c>
      <c r="S12" s="661">
        <f t="shared" si="0"/>
        <v>100</v>
      </c>
      <c r="T12" s="660" t="s">
        <v>14</v>
      </c>
      <c r="U12" s="661">
        <f t="shared" si="1"/>
        <v>100</v>
      </c>
      <c r="V12" s="660" t="s">
        <v>14</v>
      </c>
      <c r="W12" s="661">
        <f t="shared" si="2"/>
        <v>100</v>
      </c>
      <c r="X12" s="662"/>
      <c r="Y12" s="33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8"/>
      <c r="M13" s="2483"/>
      <c r="N13" s="2483"/>
      <c r="O13" s="2538"/>
      <c r="P13" s="3478"/>
      <c r="Q13" s="530">
        <f t="shared" si="6"/>
        <v>111</v>
      </c>
      <c r="R13" s="660" t="s">
        <v>14</v>
      </c>
      <c r="S13" s="661">
        <f t="shared" si="0"/>
        <v>100</v>
      </c>
      <c r="T13" s="660" t="s">
        <v>14</v>
      </c>
      <c r="U13" s="661">
        <f t="shared" si="1"/>
        <v>100</v>
      </c>
      <c r="V13" s="660" t="s">
        <v>14</v>
      </c>
      <c r="W13" s="661">
        <f t="shared" si="2"/>
        <v>100</v>
      </c>
      <c r="X13" s="662"/>
      <c r="Y13" s="3353"/>
      <c r="Z13" s="50">
        <f t="shared" si="7"/>
        <v>111</v>
      </c>
      <c r="AA13" s="50">
        <f t="shared" si="3"/>
        <v>1</v>
      </c>
      <c r="AB13" s="50">
        <f t="shared" si="4"/>
        <v>1</v>
      </c>
      <c r="AC13" s="50">
        <f t="shared" si="5"/>
        <v>1</v>
      </c>
    </row>
    <row r="14" spans="1:29" ht="99.75">
      <c r="A14" s="379" t="s">
        <v>1690</v>
      </c>
      <c r="B14" s="58" t="s">
        <v>1833</v>
      </c>
      <c r="C14" s="1816" t="str">
        <f>IF(B1="工业",估价对象房地状况!G4,估价对象房地状况!C6)</f>
        <v>估价对象周边道路状况、公共交通通达情况808、809等、停车便捷程度较好，综合评价交通便捷度一般</v>
      </c>
      <c r="D14" s="380">
        <v>100</v>
      </c>
      <c r="E14" s="381"/>
      <c r="F14" s="382">
        <f>SUMIF(61:61,E15,62:62)-SUMIF(61:61,C15,62:62)+100</f>
        <v>100</v>
      </c>
      <c r="G14" s="383"/>
      <c r="H14" s="380">
        <f>SUMIF(61:61,G15,62:62)-SUMIF(61:61,C15,62:62)+100</f>
        <v>102</v>
      </c>
      <c r="I14" s="381"/>
      <c r="J14" s="380">
        <f>SUMIF(61:61,I15,62:62)-SUMIF(61:61,C15,62:62)+100</f>
        <v>102</v>
      </c>
      <c r="K14" s="540">
        <f>'比较法-商业'!K17</f>
        <v>2</v>
      </c>
      <c r="L14" s="2488"/>
      <c r="M14" s="2483"/>
      <c r="N14" s="2483"/>
      <c r="O14" s="2538"/>
      <c r="P14" s="3480" t="s">
        <v>1691</v>
      </c>
      <c r="Q14" s="1260" t="str">
        <f t="shared" si="6"/>
        <v>交通便捷度</v>
      </c>
      <c r="R14" s="663" t="s">
        <v>14</v>
      </c>
      <c r="S14" s="664">
        <f t="shared" si="0"/>
        <v>100</v>
      </c>
      <c r="T14" s="663" t="s">
        <v>14</v>
      </c>
      <c r="U14" s="664">
        <f t="shared" si="1"/>
        <v>102</v>
      </c>
      <c r="V14" s="663" t="s">
        <v>14</v>
      </c>
      <c r="W14" s="664">
        <f t="shared" si="2"/>
        <v>102</v>
      </c>
      <c r="X14" s="1262"/>
      <c r="Y14" s="3480" t="s">
        <v>1691</v>
      </c>
      <c r="Z14" s="1261" t="str">
        <f t="shared" si="7"/>
        <v>交通便捷度</v>
      </c>
      <c r="AA14" s="1261">
        <f t="shared" si="3"/>
        <v>1</v>
      </c>
      <c r="AB14" s="1261">
        <f t="shared" si="4"/>
        <v>0.98039215686274506</v>
      </c>
      <c r="AC14" s="1261">
        <f t="shared" si="5"/>
        <v>0.98039215686274506</v>
      </c>
    </row>
    <row r="15" spans="1:29" ht="15">
      <c r="A15" s="367"/>
      <c r="B15" s="385"/>
      <c r="C15" s="386" t="s">
        <v>3460</v>
      </c>
      <c r="D15" s="387"/>
      <c r="E15" s="386" t="s">
        <v>3460</v>
      </c>
      <c r="F15" s="388"/>
      <c r="G15" s="386" t="s">
        <v>3459</v>
      </c>
      <c r="H15" s="389"/>
      <c r="I15" s="386" t="s">
        <v>3459</v>
      </c>
      <c r="J15" s="387"/>
      <c r="K15" s="541"/>
      <c r="L15" s="2488"/>
      <c r="M15" s="2483"/>
      <c r="N15" s="2483"/>
      <c r="O15" s="2538"/>
      <c r="P15" s="3481"/>
      <c r="Q15" s="1260"/>
      <c r="R15" s="663"/>
      <c r="S15" s="664"/>
      <c r="T15" s="663"/>
      <c r="U15" s="664"/>
      <c r="V15" s="663"/>
      <c r="W15" s="664"/>
      <c r="X15" s="1262"/>
      <c r="Y15" s="3481"/>
      <c r="Z15" s="1261"/>
      <c r="AA15" s="1261">
        <v>1</v>
      </c>
      <c r="AB15" s="1261">
        <v>1</v>
      </c>
      <c r="AC15" s="1261">
        <v>1</v>
      </c>
    </row>
    <row r="16" spans="1:29" ht="256.5">
      <c r="A16" s="367"/>
      <c r="B16" s="390" t="s">
        <v>1812</v>
      </c>
      <c r="C16" s="1751" t="str">
        <f>IF(B1="工业",估价对象房地状况!G5,估价对象房地状况!C7)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6" s="394">
        <v>100</v>
      </c>
      <c r="E16" s="396"/>
      <c r="F16" s="397">
        <f>SUMIF(63:63,E17,64:64)-SUMIF(63:63,C17,64:64)+100</f>
        <v>102</v>
      </c>
      <c r="G16" s="398"/>
      <c r="H16" s="394">
        <f>SUMIF(63:63,G17,64:64)-SUMIF(63:63,C17,64:64)+100</f>
        <v>104</v>
      </c>
      <c r="I16" s="396"/>
      <c r="J16" s="394">
        <f>SUMIF(63:63,I17,64:64)-SUMIF(63:63,C17,64:64)+100</f>
        <v>104</v>
      </c>
      <c r="K16" s="540">
        <f>'比较法-商业'!K19</f>
        <v>2</v>
      </c>
      <c r="L16" s="2488"/>
      <c r="M16" s="2483"/>
      <c r="N16" s="2483"/>
      <c r="O16" s="2538"/>
      <c r="P16" s="3481"/>
      <c r="Q16" s="1260" t="str">
        <f>B16</f>
        <v>公共配套设施</v>
      </c>
      <c r="R16" s="663" t="s">
        <v>14</v>
      </c>
      <c r="S16" s="664">
        <f>F16</f>
        <v>102</v>
      </c>
      <c r="T16" s="663" t="s">
        <v>14</v>
      </c>
      <c r="U16" s="664">
        <f>H16</f>
        <v>104</v>
      </c>
      <c r="V16" s="663" t="s">
        <v>14</v>
      </c>
      <c r="W16" s="664">
        <f>J16</f>
        <v>104</v>
      </c>
      <c r="X16" s="1262"/>
      <c r="Y16" s="3481"/>
      <c r="Z16" s="1261" t="str">
        <f>Q16</f>
        <v>公共配套设施</v>
      </c>
      <c r="AA16" s="1261">
        <f t="shared" si="3"/>
        <v>0.98039215686274506</v>
      </c>
      <c r="AB16" s="1261">
        <f t="shared" si="4"/>
        <v>0.96153846153846156</v>
      </c>
      <c r="AC16" s="1261">
        <f t="shared" si="5"/>
        <v>0.96153846153846156</v>
      </c>
    </row>
    <row r="17" spans="1:29" ht="15">
      <c r="A17" s="367"/>
      <c r="B17" s="395"/>
      <c r="C17" s="1752" t="s">
        <v>3458</v>
      </c>
      <c r="D17" s="387"/>
      <c r="E17" s="386" t="s">
        <v>3460</v>
      </c>
      <c r="F17" s="388"/>
      <c r="G17" s="386" t="s">
        <v>3459</v>
      </c>
      <c r="H17" s="387"/>
      <c r="I17" s="386" t="s">
        <v>3459</v>
      </c>
      <c r="J17" s="387"/>
      <c r="K17" s="541"/>
      <c r="L17" s="2488"/>
      <c r="M17" s="2483"/>
      <c r="N17" s="2483"/>
      <c r="O17" s="2538"/>
      <c r="P17" s="3481"/>
      <c r="Q17" s="1260"/>
      <c r="R17" s="663"/>
      <c r="S17" s="664"/>
      <c r="T17" s="663"/>
      <c r="U17" s="664"/>
      <c r="V17" s="663"/>
      <c r="W17" s="664"/>
      <c r="X17" s="1262"/>
      <c r="Y17" s="3481"/>
      <c r="Z17" s="1261"/>
      <c r="AA17" s="1261">
        <v>1</v>
      </c>
      <c r="AB17" s="1261">
        <v>1</v>
      </c>
      <c r="AC17" s="1261">
        <v>1</v>
      </c>
    </row>
    <row r="18" spans="1:29" ht="28.5">
      <c r="A18" s="367"/>
      <c r="B18" s="585" t="s">
        <v>1813</v>
      </c>
      <c r="C18" s="1751" t="str">
        <f>IF(B1="工业",估价对象房地状况!G6,估价对象房地状况!C8)</f>
        <v>估价对象所在区域基础设施水平</v>
      </c>
      <c r="D18" s="394">
        <v>100</v>
      </c>
      <c r="E18" s="391"/>
      <c r="F18" s="397">
        <f>SUMIF(65:65,E19,66:66)-SUMIF(65:65,C19,66:66)+100</f>
        <v>100</v>
      </c>
      <c r="G18" s="391"/>
      <c r="H18" s="394">
        <f>SUMIF(65:65,G19,66:66)-SUMIF(65:65,C19,66:66)+100</f>
        <v>100</v>
      </c>
      <c r="I18" s="391"/>
      <c r="J18" s="394">
        <f>SUMIF(65:65,I19,66:66)-SUMIF(65:65,C19,66:66)+100</f>
        <v>100</v>
      </c>
      <c r="K18" s="540">
        <f>'比较法-商业'!K21</f>
        <v>1</v>
      </c>
      <c r="L18" s="2488"/>
      <c r="M18" s="2483"/>
      <c r="N18" s="2483"/>
      <c r="O18" s="2538"/>
      <c r="P18" s="3481"/>
      <c r="Q18" s="1260" t="str">
        <f>B18</f>
        <v>基础设施水平</v>
      </c>
      <c r="R18" s="663" t="s">
        <v>14</v>
      </c>
      <c r="S18" s="664">
        <f>F18</f>
        <v>100</v>
      </c>
      <c r="T18" s="663" t="s">
        <v>14</v>
      </c>
      <c r="U18" s="664">
        <f>H18</f>
        <v>100</v>
      </c>
      <c r="V18" s="663" t="s">
        <v>14</v>
      </c>
      <c r="W18" s="664">
        <f>J18</f>
        <v>100</v>
      </c>
      <c r="X18" s="1262"/>
      <c r="Y18" s="3481"/>
      <c r="Z18" s="1261" t="str">
        <f>Q18</f>
        <v>基础设施水平</v>
      </c>
      <c r="AA18" s="1261">
        <f t="shared" ref="AA18" si="8">D18/F18</f>
        <v>1</v>
      </c>
      <c r="AB18" s="1261">
        <f t="shared" ref="AB18" si="9">D18/H18</f>
        <v>1</v>
      </c>
      <c r="AC18" s="1261">
        <f t="shared" ref="AC18" si="10">D18/J18</f>
        <v>1</v>
      </c>
    </row>
    <row r="19" spans="1:29" ht="15">
      <c r="A19" s="367"/>
      <c r="B19" s="585"/>
      <c r="C19" s="1752" t="s">
        <v>3505</v>
      </c>
      <c r="D19" s="389"/>
      <c r="E19" s="1752" t="s">
        <v>3505</v>
      </c>
      <c r="F19" s="392"/>
      <c r="G19" s="1752" t="s">
        <v>3505</v>
      </c>
      <c r="H19" s="387"/>
      <c r="I19" s="1752" t="s">
        <v>3505</v>
      </c>
      <c r="J19" s="387"/>
      <c r="K19" s="1061"/>
      <c r="L19" s="2488"/>
      <c r="M19" s="2483"/>
      <c r="N19" s="2483"/>
      <c r="O19" s="2538"/>
      <c r="P19" s="3481"/>
      <c r="Q19" s="1260"/>
      <c r="R19" s="663"/>
      <c r="S19" s="664"/>
      <c r="T19" s="663"/>
      <c r="U19" s="664"/>
      <c r="V19" s="663"/>
      <c r="W19" s="664"/>
      <c r="X19" s="1262"/>
      <c r="Y19" s="3481"/>
      <c r="Z19" s="1261"/>
      <c r="AA19" s="1261">
        <v>1</v>
      </c>
      <c r="AB19" s="1261">
        <v>1</v>
      </c>
      <c r="AC19" s="1261">
        <v>1</v>
      </c>
    </row>
    <row r="20" spans="1:29" ht="85.5">
      <c r="A20" s="367"/>
      <c r="B20" s="390" t="s">
        <v>1834</v>
      </c>
      <c r="C20" s="1751" t="str">
        <f>IF(B1="工业",估价对象房地状况!G7,估价对象房地状况!C9)</f>
        <v>区域自然环境：潞城中心公园；人文环境：工商大学嘉华学院；综合评价环境状况一般</v>
      </c>
      <c r="D20" s="394">
        <v>100</v>
      </c>
      <c r="E20" s="396"/>
      <c r="F20" s="397">
        <f>SUMIF(67:67,E21,68:68)-SUMIF(67:67,C21,68:68)+100</f>
        <v>100</v>
      </c>
      <c r="G20" s="396"/>
      <c r="H20" s="389">
        <f>SUMIF(67:67,G21,68:68)-SUMIF(67:67,C21,68:68)+100</f>
        <v>100</v>
      </c>
      <c r="I20" s="396"/>
      <c r="J20" s="389">
        <f>SUMIF(67:67,I21,68:68)-SUMIF(67:67,C21,68:68)+100</f>
        <v>100</v>
      </c>
      <c r="K20" s="540">
        <f>'比较法-商业'!K23</f>
        <v>2</v>
      </c>
      <c r="L20" s="2488"/>
      <c r="M20" s="2483"/>
      <c r="N20" s="2483"/>
      <c r="O20" s="2538"/>
      <c r="P20" s="3481"/>
      <c r="Q20" s="1260" t="str">
        <f>B20</f>
        <v>自然及人文环境</v>
      </c>
      <c r="R20" s="663" t="s">
        <v>14</v>
      </c>
      <c r="S20" s="664">
        <f>F20</f>
        <v>100</v>
      </c>
      <c r="T20" s="663" t="s">
        <v>14</v>
      </c>
      <c r="U20" s="664">
        <f>H20</f>
        <v>100</v>
      </c>
      <c r="V20" s="663" t="s">
        <v>14</v>
      </c>
      <c r="W20" s="664">
        <f>J20</f>
        <v>100</v>
      </c>
      <c r="X20" s="1262"/>
      <c r="Y20" s="3481"/>
      <c r="Z20" s="1261" t="str">
        <f>Q20</f>
        <v>自然及人文环境</v>
      </c>
      <c r="AA20" s="1261">
        <f t="shared" si="3"/>
        <v>1</v>
      </c>
      <c r="AB20" s="1261">
        <f t="shared" si="4"/>
        <v>1</v>
      </c>
      <c r="AC20" s="1261">
        <f t="shared" si="5"/>
        <v>1</v>
      </c>
    </row>
    <row r="21" spans="1:29" ht="15">
      <c r="A21" s="367"/>
      <c r="B21" s="395"/>
      <c r="C21" s="386" t="s">
        <v>3460</v>
      </c>
      <c r="D21" s="387"/>
      <c r="E21" s="386" t="s">
        <v>3460</v>
      </c>
      <c r="F21" s="388"/>
      <c r="G21" s="386" t="s">
        <v>3460</v>
      </c>
      <c r="H21" s="387"/>
      <c r="I21" s="386" t="s">
        <v>3460</v>
      </c>
      <c r="J21" s="387"/>
      <c r="K21" s="541"/>
      <c r="L21" s="2488"/>
      <c r="M21" s="2483"/>
      <c r="N21" s="2483"/>
      <c r="O21" s="2538"/>
      <c r="P21" s="3481"/>
      <c r="Q21" s="1260"/>
      <c r="R21" s="663"/>
      <c r="S21" s="664"/>
      <c r="T21" s="663"/>
      <c r="U21" s="664"/>
      <c r="V21" s="663"/>
      <c r="W21" s="664"/>
      <c r="X21" s="1262"/>
      <c r="Y21" s="3481"/>
      <c r="Z21" s="1261"/>
      <c r="AA21" s="1261">
        <v>1</v>
      </c>
      <c r="AB21" s="1261">
        <v>1</v>
      </c>
      <c r="AC21" s="1261">
        <v>1</v>
      </c>
    </row>
    <row r="22" spans="1:29" ht="15">
      <c r="A22" s="367"/>
      <c r="B22" s="390" t="s">
        <v>1835</v>
      </c>
      <c r="C22" s="542" t="s">
        <v>3516</v>
      </c>
      <c r="D22" s="389">
        <v>100</v>
      </c>
      <c r="E22" s="542" t="s">
        <v>3516</v>
      </c>
      <c r="F22" s="400">
        <f>SUMIF(69:69,E22,70:70)-SUMIF(69:69,C22,70:70)+100</f>
        <v>100</v>
      </c>
      <c r="G22" s="542" t="s">
        <v>3516</v>
      </c>
      <c r="H22" s="374">
        <f>SUMIF(69:69,G22,70:70)-SUMIF(69:69,C22,70:70)+100</f>
        <v>100</v>
      </c>
      <c r="I22" s="542" t="s">
        <v>3516</v>
      </c>
      <c r="J22" s="374">
        <f>SUMIF(69:69,I22,70:70)-SUMIF(69:69,C22,70:70)+100</f>
        <v>100</v>
      </c>
      <c r="K22" s="538">
        <v>2</v>
      </c>
      <c r="L22" s="2488"/>
      <c r="M22" s="2483"/>
      <c r="N22" s="2483"/>
      <c r="O22" s="2538"/>
      <c r="P22" s="3481"/>
      <c r="Q22" s="1260" t="str">
        <f>B22</f>
        <v>楼层</v>
      </c>
      <c r="R22" s="663" t="s">
        <v>14</v>
      </c>
      <c r="S22" s="664">
        <f>F22</f>
        <v>100</v>
      </c>
      <c r="T22" s="663" t="s">
        <v>14</v>
      </c>
      <c r="U22" s="664">
        <f>H22</f>
        <v>100</v>
      </c>
      <c r="V22" s="663" t="s">
        <v>14</v>
      </c>
      <c r="W22" s="664">
        <f>J22</f>
        <v>100</v>
      </c>
      <c r="X22" s="1262"/>
      <c r="Y22" s="3481"/>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81"/>
      <c r="Q23" s="1260">
        <f>B23</f>
        <v>111</v>
      </c>
      <c r="R23" s="663" t="s">
        <v>14</v>
      </c>
      <c r="S23" s="664">
        <f>F23</f>
        <v>100</v>
      </c>
      <c r="T23" s="663" t="s">
        <v>14</v>
      </c>
      <c r="U23" s="664">
        <f>H23</f>
        <v>100</v>
      </c>
      <c r="V23" s="663" t="s">
        <v>14</v>
      </c>
      <c r="W23" s="664">
        <f>J23</f>
        <v>100</v>
      </c>
      <c r="X23" s="1262"/>
      <c r="Y23" s="3481"/>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81"/>
      <c r="Q24" s="1260">
        <f t="shared" ref="Q24:Q34" si="11">B24</f>
        <v>111</v>
      </c>
      <c r="R24" s="663" t="s">
        <v>14</v>
      </c>
      <c r="S24" s="664">
        <f>F24</f>
        <v>100</v>
      </c>
      <c r="T24" s="663" t="s">
        <v>14</v>
      </c>
      <c r="U24" s="664">
        <f>H24</f>
        <v>100</v>
      </c>
      <c r="V24" s="663" t="s">
        <v>14</v>
      </c>
      <c r="W24" s="664">
        <f>J24</f>
        <v>100</v>
      </c>
      <c r="X24" s="1262"/>
      <c r="Y24" s="3481"/>
      <c r="Z24" s="1261">
        <f>Q24</f>
        <v>111</v>
      </c>
      <c r="AA24" s="1261">
        <f t="shared" si="3"/>
        <v>1</v>
      </c>
      <c r="AB24" s="1261">
        <f t="shared" si="4"/>
        <v>1</v>
      </c>
      <c r="AC24" s="1261">
        <f t="shared" si="5"/>
        <v>1</v>
      </c>
    </row>
    <row r="25" spans="1:29" s="102" customFormat="1" ht="15.75" thickBot="1">
      <c r="A25" s="370"/>
      <c r="B25" s="447">
        <v>111</v>
      </c>
      <c r="C25" s="1821"/>
      <c r="D25" s="556">
        <v>100</v>
      </c>
      <c r="E25" s="1821"/>
      <c r="F25" s="585">
        <f>SUMIF(75:75,E25,76:76)-SUMIF(75:75,C25,76:76)+100</f>
        <v>100</v>
      </c>
      <c r="G25" s="1821"/>
      <c r="H25" s="556">
        <f>SUMIF(75:75,G25,76:76)-SUMIF(75:75,C25,76:76)+100</f>
        <v>100</v>
      </c>
      <c r="I25" s="1821"/>
      <c r="J25" s="556">
        <f>SUMIF(75:75,I25,76:76)-SUMIF(75:75,C25,76:76)+100</f>
        <v>100</v>
      </c>
      <c r="K25" s="539"/>
      <c r="L25" s="2484"/>
      <c r="M25" s="2435"/>
      <c r="N25" s="2435"/>
      <c r="O25" s="2536"/>
      <c r="P25" s="3481"/>
      <c r="Q25" s="530">
        <f t="shared" si="11"/>
        <v>111</v>
      </c>
      <c r="R25" s="660" t="s">
        <v>14</v>
      </c>
      <c r="S25" s="661">
        <f>F25</f>
        <v>100</v>
      </c>
      <c r="T25" s="660" t="s">
        <v>14</v>
      </c>
      <c r="U25" s="661">
        <f>H25</f>
        <v>100</v>
      </c>
      <c r="V25" s="660" t="s">
        <v>14</v>
      </c>
      <c r="W25" s="661">
        <f>J25</f>
        <v>100</v>
      </c>
      <c r="X25" s="662"/>
      <c r="Y25" s="3481"/>
      <c r="Z25" s="50">
        <f>Q25</f>
        <v>111</v>
      </c>
      <c r="AA25" s="1261">
        <f>D25/F25</f>
        <v>1</v>
      </c>
      <c r="AB25" s="1261">
        <f>D25/H25</f>
        <v>1</v>
      </c>
      <c r="AC25" s="1261">
        <f>D25/J25</f>
        <v>1</v>
      </c>
    </row>
    <row r="26" spans="1:29" ht="28.5">
      <c r="A26" s="404" t="s">
        <v>1694</v>
      </c>
      <c r="B26" s="60" t="s">
        <v>1838</v>
      </c>
      <c r="C26" s="1761" t="s">
        <v>3494</v>
      </c>
      <c r="D26" s="405">
        <v>100</v>
      </c>
      <c r="E26" s="1761" t="s">
        <v>3494</v>
      </c>
      <c r="F26" s="586">
        <f>SUMIF(77:77,E26,78:78)-SUMIF(77:77,C26,78:78)+100</f>
        <v>100</v>
      </c>
      <c r="G26" s="1761" t="s">
        <v>3494</v>
      </c>
      <c r="H26" s="405">
        <f>SUMIF(77:77,G26,78:78)-SUMIF(77:77,C26,78:78)+100</f>
        <v>100</v>
      </c>
      <c r="I26" s="1761" t="s">
        <v>3494</v>
      </c>
      <c r="J26" s="405">
        <f>SUMIF(77:77,I26,78:78)-SUMIF(77:77,C26,78:78)+100</f>
        <v>100</v>
      </c>
      <c r="K26" s="538">
        <v>2</v>
      </c>
      <c r="L26" s="2488"/>
      <c r="M26" s="2483"/>
      <c r="N26" s="2483"/>
      <c r="O26" s="2538"/>
      <c r="P26" s="3543" t="s">
        <v>1696</v>
      </c>
      <c r="Q26" s="1260" t="str">
        <f t="shared" si="11"/>
        <v>公共部分装修</v>
      </c>
      <c r="R26" s="663" t="s">
        <v>14</v>
      </c>
      <c r="S26" s="664">
        <f t="shared" ref="S26:S34" si="12">F26</f>
        <v>100</v>
      </c>
      <c r="T26" s="663" t="s">
        <v>14</v>
      </c>
      <c r="U26" s="664">
        <f t="shared" ref="U26:U34" si="13">H26</f>
        <v>100</v>
      </c>
      <c r="V26" s="663" t="s">
        <v>14</v>
      </c>
      <c r="W26" s="664">
        <f t="shared" ref="W26:W34" si="14">J26</f>
        <v>100</v>
      </c>
      <c r="X26" s="1262"/>
      <c r="Y26" s="3485"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f>1-(2023-2006)/60</f>
        <v>0.71666666666666667</v>
      </c>
      <c r="F27" s="400">
        <f>LOOKUP(E27,80:80,81:81)-LOOKUP(C27,80:80,81:81)+100</f>
        <v>98</v>
      </c>
      <c r="G27" s="411">
        <f>1-(2023-2004)/60</f>
        <v>0.68333333333333335</v>
      </c>
      <c r="H27" s="374">
        <f>LOOKUP(G27,80:80,81:81)-LOOKUP(C27,80:80,81:81)+100</f>
        <v>97</v>
      </c>
      <c r="I27" s="411">
        <f>1-(2023-2014)/60</f>
        <v>0.85</v>
      </c>
      <c r="J27" s="374">
        <f>LOOKUP(I27,80:80,81:81)-LOOKUP(C27,80:80,81:81)+100</f>
        <v>99</v>
      </c>
      <c r="K27" s="538">
        <v>1</v>
      </c>
      <c r="L27" s="2487"/>
      <c r="M27" s="2489"/>
      <c r="N27" s="2489"/>
      <c r="O27" s="2539"/>
      <c r="P27" s="3485"/>
      <c r="Q27" s="531" t="str">
        <f t="shared" si="11"/>
        <v>成新率</v>
      </c>
      <c r="R27" s="665" t="s">
        <v>14</v>
      </c>
      <c r="S27" s="666">
        <f t="shared" si="12"/>
        <v>98</v>
      </c>
      <c r="T27" s="665" t="s">
        <v>14</v>
      </c>
      <c r="U27" s="666">
        <f t="shared" si="13"/>
        <v>97</v>
      </c>
      <c r="V27" s="665" t="s">
        <v>14</v>
      </c>
      <c r="W27" s="666">
        <f t="shared" si="14"/>
        <v>99</v>
      </c>
      <c r="X27" s="667"/>
      <c r="Y27" s="3485"/>
      <c r="Z27" s="668" t="str">
        <f t="shared" si="15"/>
        <v>成新率</v>
      </c>
      <c r="AA27" s="1261">
        <f t="shared" si="3"/>
        <v>1.0204081632653061</v>
      </c>
      <c r="AB27" s="1261">
        <f t="shared" si="4"/>
        <v>1.0309278350515463</v>
      </c>
      <c r="AC27" s="1261">
        <f t="shared" si="5"/>
        <v>1.0101010101010102</v>
      </c>
    </row>
    <row r="28" spans="1:29" ht="15">
      <c r="A28" s="409"/>
      <c r="B28" s="364" t="s">
        <v>1840</v>
      </c>
      <c r="C28" s="399" t="s">
        <v>3522</v>
      </c>
      <c r="D28" s="374">
        <v>100</v>
      </c>
      <c r="E28" s="399" t="s">
        <v>3522</v>
      </c>
      <c r="F28" s="400">
        <f>SUMIF(82:82,E28,83:83)-SUMIF(82:82,C28,83:83)+100</f>
        <v>100</v>
      </c>
      <c r="G28" s="399" t="s">
        <v>3522</v>
      </c>
      <c r="H28" s="374">
        <f>SUMIF(82:82,G28,83:83)-SUMIF(82:82,C28,83:83)+100</f>
        <v>100</v>
      </c>
      <c r="I28" s="399" t="s">
        <v>3522</v>
      </c>
      <c r="J28" s="374">
        <f>SUMIF(82:82,I28,83:83)-SUMIF(82:82,C28,83:83)+100</f>
        <v>100</v>
      </c>
      <c r="K28" s="538">
        <v>2</v>
      </c>
      <c r="L28" s="2488"/>
      <c r="M28" s="2483"/>
      <c r="N28" s="2483"/>
      <c r="O28" s="2538"/>
      <c r="P28" s="3485"/>
      <c r="Q28" s="1260" t="str">
        <f t="shared" si="11"/>
        <v>物业等级</v>
      </c>
      <c r="R28" s="663" t="s">
        <v>14</v>
      </c>
      <c r="S28" s="664">
        <f t="shared" si="12"/>
        <v>100</v>
      </c>
      <c r="T28" s="663" t="s">
        <v>14</v>
      </c>
      <c r="U28" s="664">
        <f t="shared" si="13"/>
        <v>100</v>
      </c>
      <c r="V28" s="663" t="s">
        <v>14</v>
      </c>
      <c r="W28" s="664">
        <f t="shared" si="14"/>
        <v>100</v>
      </c>
      <c r="X28" s="1262"/>
      <c r="Y28" s="3485"/>
      <c r="Z28" s="1261" t="str">
        <f t="shared" si="15"/>
        <v>物业等级</v>
      </c>
      <c r="AA28" s="1261">
        <f t="shared" si="3"/>
        <v>1</v>
      </c>
      <c r="AB28" s="1261">
        <f t="shared" si="4"/>
        <v>1</v>
      </c>
      <c r="AC28" s="1261">
        <f t="shared" si="5"/>
        <v>1</v>
      </c>
    </row>
    <row r="29" spans="1:29" ht="15">
      <c r="A29" s="409"/>
      <c r="B29" s="364" t="s">
        <v>1860</v>
      </c>
      <c r="C29" s="577" t="s">
        <v>3545</v>
      </c>
      <c r="D29" s="374">
        <v>100</v>
      </c>
      <c r="E29" s="577" t="s">
        <v>3545</v>
      </c>
      <c r="F29" s="400">
        <f>SUMIF(84:84,E29,85:85)-SUMIF(84:84,C29,85:85)+100</f>
        <v>100</v>
      </c>
      <c r="G29" s="577" t="s">
        <v>3545</v>
      </c>
      <c r="H29" s="374">
        <f>SUMIF(84:84,G29,85:85)-SUMIF(84:84,C29,85:85)+100</f>
        <v>100</v>
      </c>
      <c r="I29" s="577" t="s">
        <v>3545</v>
      </c>
      <c r="J29" s="374">
        <f>SUMIF(84:84,I29,85:85)-SUMIF(84:84,C29,85:85)+100</f>
        <v>100</v>
      </c>
      <c r="K29" s="538">
        <v>2</v>
      </c>
      <c r="L29" s="2488"/>
      <c r="M29" s="2483"/>
      <c r="N29" s="2483"/>
      <c r="O29" s="2538"/>
      <c r="P29" s="3485"/>
      <c r="Q29" s="1260" t="str">
        <f t="shared" si="11"/>
        <v>有无电梯</v>
      </c>
      <c r="R29" s="663" t="s">
        <v>14</v>
      </c>
      <c r="S29" s="664">
        <f t="shared" si="12"/>
        <v>100</v>
      </c>
      <c r="T29" s="663" t="s">
        <v>14</v>
      </c>
      <c r="U29" s="664">
        <f t="shared" si="13"/>
        <v>100</v>
      </c>
      <c r="V29" s="663" t="s">
        <v>14</v>
      </c>
      <c r="W29" s="664">
        <f t="shared" si="14"/>
        <v>100</v>
      </c>
      <c r="X29" s="1262"/>
      <c r="Y29" s="3485"/>
      <c r="Z29" s="1261" t="str">
        <f t="shared" si="15"/>
        <v>有无电梯</v>
      </c>
      <c r="AA29" s="1261">
        <f t="shared" si="3"/>
        <v>1</v>
      </c>
      <c r="AB29" s="1261">
        <f t="shared" si="4"/>
        <v>1</v>
      </c>
      <c r="AC29" s="1261">
        <f t="shared" si="5"/>
        <v>1</v>
      </c>
    </row>
    <row r="30" spans="1:29" ht="15">
      <c r="A30" s="409"/>
      <c r="B30" s="364" t="s">
        <v>1861</v>
      </c>
      <c r="C30" s="407">
        <f>明细表!F2</f>
        <v>840.71</v>
      </c>
      <c r="D30" s="374">
        <v>100</v>
      </c>
      <c r="E30" s="407">
        <v>16</v>
      </c>
      <c r="F30" s="400">
        <f>LOOKUP(E30,87:87,88:88)-LOOKUP(C30,87:87,88:88)+100</f>
        <v>102</v>
      </c>
      <c r="G30" s="407">
        <v>100</v>
      </c>
      <c r="H30" s="374">
        <f>LOOKUP(G30,87:87,88:88)-LOOKUP(C30,87:87,88:88)+100</f>
        <v>101</v>
      </c>
      <c r="I30" s="407">
        <v>15</v>
      </c>
      <c r="J30" s="374">
        <f>LOOKUP(I30,87:87,88:88)-LOOKUP(C30,87:87,88:88)+100</f>
        <v>102</v>
      </c>
      <c r="K30" s="539"/>
      <c r="L30" s="2488"/>
      <c r="M30" s="2483"/>
      <c r="N30" s="2483"/>
      <c r="O30" s="2538"/>
      <c r="P30" s="3485"/>
      <c r="Q30" s="1260" t="str">
        <f t="shared" si="11"/>
        <v>建筑面积</v>
      </c>
      <c r="R30" s="663" t="s">
        <v>14</v>
      </c>
      <c r="S30" s="664">
        <f t="shared" si="12"/>
        <v>102</v>
      </c>
      <c r="T30" s="663" t="s">
        <v>14</v>
      </c>
      <c r="U30" s="664">
        <f t="shared" si="13"/>
        <v>101</v>
      </c>
      <c r="V30" s="663" t="s">
        <v>14</v>
      </c>
      <c r="W30" s="664">
        <f t="shared" si="14"/>
        <v>102</v>
      </c>
      <c r="X30" s="1262"/>
      <c r="Y30" s="3485"/>
      <c r="Z30" s="1261" t="str">
        <f t="shared" si="15"/>
        <v>建筑面积</v>
      </c>
      <c r="AA30" s="1261">
        <f t="shared" si="3"/>
        <v>0.98039215686274506</v>
      </c>
      <c r="AB30" s="1261">
        <f t="shared" si="4"/>
        <v>0.99009900990099009</v>
      </c>
      <c r="AC30" s="1261">
        <f t="shared" si="5"/>
        <v>0.98039215686274506</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4"/>
      <c r="M31" s="2435"/>
      <c r="N31" s="2435"/>
      <c r="O31" s="2536"/>
      <c r="P31" s="3485"/>
      <c r="Q31" s="530" t="str">
        <f t="shared" si="11"/>
        <v>是否封闭</v>
      </c>
      <c r="R31" s="660" t="s">
        <v>14</v>
      </c>
      <c r="S31" s="661">
        <f t="shared" si="12"/>
        <v>100</v>
      </c>
      <c r="T31" s="660" t="s">
        <v>14</v>
      </c>
      <c r="U31" s="661">
        <f t="shared" si="13"/>
        <v>100</v>
      </c>
      <c r="V31" s="660" t="s">
        <v>14</v>
      </c>
      <c r="W31" s="661">
        <f t="shared" si="14"/>
        <v>100</v>
      </c>
      <c r="X31" s="662"/>
      <c r="Y31" s="34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85" t="s">
        <v>1696</v>
      </c>
      <c r="Q32" s="1260">
        <f t="shared" si="11"/>
        <v>111</v>
      </c>
      <c r="R32" s="663" t="s">
        <v>14</v>
      </c>
      <c r="S32" s="664">
        <f t="shared" si="12"/>
        <v>100</v>
      </c>
      <c r="T32" s="663" t="s">
        <v>14</v>
      </c>
      <c r="U32" s="664">
        <f t="shared" si="13"/>
        <v>100</v>
      </c>
      <c r="V32" s="663" t="s">
        <v>14</v>
      </c>
      <c r="W32" s="664">
        <f t="shared" si="14"/>
        <v>100</v>
      </c>
      <c r="X32" s="1262"/>
      <c r="Y32" s="3485"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85"/>
      <c r="Q33" s="1260">
        <f t="shared" si="11"/>
        <v>111</v>
      </c>
      <c r="R33" s="663" t="s">
        <v>14</v>
      </c>
      <c r="S33" s="664">
        <f t="shared" si="12"/>
        <v>100</v>
      </c>
      <c r="T33" s="663" t="s">
        <v>14</v>
      </c>
      <c r="U33" s="664">
        <f t="shared" si="13"/>
        <v>100</v>
      </c>
      <c r="V33" s="663" t="s">
        <v>14</v>
      </c>
      <c r="W33" s="664">
        <f t="shared" si="14"/>
        <v>100</v>
      </c>
      <c r="X33" s="1262"/>
      <c r="Y33" s="3485"/>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8"/>
      <c r="M34" s="2483"/>
      <c r="N34" s="2483"/>
      <c r="O34" s="2538"/>
      <c r="P34" s="3485"/>
      <c r="Q34" s="1260">
        <f t="shared" si="11"/>
        <v>111</v>
      </c>
      <c r="R34" s="663" t="s">
        <v>14</v>
      </c>
      <c r="S34" s="664">
        <f t="shared" si="12"/>
        <v>100</v>
      </c>
      <c r="T34" s="663" t="s">
        <v>14</v>
      </c>
      <c r="U34" s="664">
        <f t="shared" si="13"/>
        <v>100</v>
      </c>
      <c r="V34" s="663" t="s">
        <v>14</v>
      </c>
      <c r="W34" s="664">
        <f t="shared" si="14"/>
        <v>100</v>
      </c>
      <c r="X34" s="1262"/>
      <c r="Y34" s="3485"/>
      <c r="Z34" s="1261">
        <f t="shared" si="15"/>
        <v>111</v>
      </c>
      <c r="AA34" s="1261">
        <f t="shared" si="3"/>
        <v>1</v>
      </c>
      <c r="AB34" s="1261">
        <f t="shared" si="4"/>
        <v>1</v>
      </c>
      <c r="AC34" s="1261">
        <f t="shared" si="5"/>
        <v>1</v>
      </c>
    </row>
    <row r="35" spans="1:30" ht="15">
      <c r="A35" s="416" t="s">
        <v>1708</v>
      </c>
      <c r="B35" s="417"/>
      <c r="C35" s="1078" t="s">
        <v>0</v>
      </c>
      <c r="D35" s="418"/>
      <c r="E35" s="419">
        <v>0.93</v>
      </c>
      <c r="F35" s="420"/>
      <c r="G35" s="419">
        <v>0.93</v>
      </c>
      <c r="H35" s="422"/>
      <c r="I35" s="419">
        <v>0.8</v>
      </c>
      <c r="J35" s="422"/>
      <c r="K35" s="670"/>
      <c r="L35" s="2490"/>
      <c r="M35" s="2483"/>
      <c r="N35" s="2483"/>
      <c r="O35" s="2483"/>
      <c r="P35" s="3478" t="str">
        <f>A35</f>
        <v>成交单价（元/平方米）</v>
      </c>
      <c r="Q35" s="3478"/>
      <c r="R35" s="3479">
        <f>E35</f>
        <v>0.93</v>
      </c>
      <c r="S35" s="3479"/>
      <c r="T35" s="3479">
        <f>G35</f>
        <v>0.93</v>
      </c>
      <c r="U35" s="3479"/>
      <c r="V35" s="3479">
        <f>I35</f>
        <v>0.8</v>
      </c>
      <c r="W35" s="3479"/>
      <c r="X35" s="385"/>
      <c r="Y35" s="669"/>
      <c r="Z35" s="385"/>
      <c r="AA35" s="385"/>
      <c r="AB35" s="385"/>
      <c r="AC35" s="385"/>
    </row>
    <row r="36" spans="1:30" ht="15.75" thickBot="1">
      <c r="A36" s="423" t="s">
        <v>1793</v>
      </c>
      <c r="B36" s="424"/>
      <c r="C36" s="1079">
        <f>R37</f>
        <v>0.8</v>
      </c>
      <c r="D36" s="2138" t="s">
        <v>2135</v>
      </c>
      <c r="E36" s="1080">
        <f>R36</f>
        <v>0.9</v>
      </c>
      <c r="F36" s="2139"/>
      <c r="G36" s="1079">
        <f>T36</f>
        <v>0.9</v>
      </c>
      <c r="H36" s="2139"/>
      <c r="I36" s="1080">
        <f>V36</f>
        <v>0.7</v>
      </c>
      <c r="J36" s="2139"/>
      <c r="K36" s="2141">
        <f>F36+H36+J36</f>
        <v>0</v>
      </c>
      <c r="L36" s="2490"/>
      <c r="M36" s="2483"/>
      <c r="N36" s="2483"/>
      <c r="O36" s="2483"/>
      <c r="P36" s="3478" t="str">
        <f>A36</f>
        <v>比较价值（元/平方米）</v>
      </c>
      <c r="Q36" s="3478"/>
      <c r="R36" s="3479">
        <f>IF(F1="售价",ROUND(PRODUCT(R35,AA7:AA34),0),ROUND(PRODUCT(R35,AA7:AA34),1))</f>
        <v>0.9</v>
      </c>
      <c r="S36" s="3479"/>
      <c r="T36" s="3479">
        <f>IF(F1="售价",ROUND(PRODUCT(T35,AB7:AB34),0),ROUND(PRODUCT(T35,AB7:AB34),1))</f>
        <v>0.9</v>
      </c>
      <c r="U36" s="3479"/>
      <c r="V36" s="3479">
        <f>IF(F1="售价",ROUND(PRODUCT(V35,AC7:AC34),0),ROUND(PRODUCT(V35,AC7:AC34),1))</f>
        <v>0.7</v>
      </c>
      <c r="W36" s="3479"/>
      <c r="X36" s="385"/>
      <c r="Y36" s="385"/>
      <c r="Z36" s="385"/>
      <c r="AA36" s="385"/>
      <c r="AB36" s="385"/>
      <c r="AC36" s="385"/>
    </row>
    <row r="37" spans="1:30" ht="15.75" thickBot="1">
      <c r="A37" s="427" t="s">
        <v>1794</v>
      </c>
      <c r="B37" s="428"/>
      <c r="C37" s="351">
        <f>R37</f>
        <v>0.8</v>
      </c>
      <c r="D37" s="351"/>
      <c r="E37" s="351"/>
      <c r="F37" s="351"/>
      <c r="G37" s="351"/>
      <c r="H37" s="351"/>
      <c r="I37" s="351"/>
      <c r="J37" s="351"/>
      <c r="K37" s="671"/>
      <c r="L37" s="2490"/>
      <c r="M37" s="2483"/>
      <c r="N37" s="2483"/>
      <c r="O37" s="2483"/>
      <c r="P37" s="3475" t="str">
        <f>A37</f>
        <v>估价对象XX用房的比较价值（楼面单价，元/平方米）</v>
      </c>
      <c r="Q37" s="3476"/>
      <c r="R37" s="3544">
        <f>IF(F1="售价",ROUND(IF(D36="简单平均",AVERAGE(R36:W36),R36*F36+T36*H36+V36*J36),0),ROUND(IF(D36="简单平均",AVERAGE(R36:V36),R36*F36+T36*H36+V36*J36),1))</f>
        <v>0.8</v>
      </c>
      <c r="S37" s="3544"/>
      <c r="T37" s="3544"/>
      <c r="U37" s="3544"/>
      <c r="V37" s="3544"/>
      <c r="W37" s="3544"/>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f>IF(E35&lt;E36,E36/E35-1,E35/E36-1)</f>
        <v>3.3333333333333437E-2</v>
      </c>
      <c r="F40" s="435" t="str">
        <f>IF(OR(E40&gt;=0.3,E40&lt;=-0.3),"超过30%","")</f>
        <v/>
      </c>
      <c r="G40" s="434">
        <f>IF(G35&lt;G36,G36/G35-1,G35/G36-1)</f>
        <v>3.3333333333333437E-2</v>
      </c>
      <c r="H40" s="435" t="str">
        <f>IF(OR(G40&gt;=0.3,G40&lt;=-0.3),"超过30%","")</f>
        <v/>
      </c>
      <c r="I40" s="434">
        <f>IF(I35&lt;I36,I36/I35-1,I35/I36-1)</f>
        <v>0.14285714285714302</v>
      </c>
      <c r="J40" s="435"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f>IF(E36&lt;G36,G36/E36-1,E36/G36-1)</f>
        <v>0</v>
      </c>
      <c r="F41" s="435" t="str">
        <f>IF(OR(E41&gt;=0.2,E41&lt;=-0.2),"超过20%","")</f>
        <v/>
      </c>
      <c r="G41" s="434">
        <f>IF(G36&lt;I36,I36/G36-1,G36/I36-1)</f>
        <v>0.28571428571428581</v>
      </c>
      <c r="H41" s="435" t="str">
        <f>IF(OR(G41&gt;=0.2,G41&lt;=-0.2),"超过20%","")</f>
        <v>超过20%</v>
      </c>
      <c r="I41" s="434">
        <f>IF(I36&lt;E36,E36/I36-1,I36/E36-1)</f>
        <v>0.28571428571428581</v>
      </c>
      <c r="J41" s="435"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f>IF(E35&lt;G35,G35/E35-1,E35/G35-1)</f>
        <v>0</v>
      </c>
      <c r="F42" s="435" t="str">
        <f>IF(OR(E42&gt;=0.3,E42&lt;=-0.3),"超过30%","")</f>
        <v/>
      </c>
      <c r="G42" s="434">
        <f>IF(G35&lt;I35,I35/G35-1,G35/I35-1)</f>
        <v>0.16250000000000009</v>
      </c>
      <c r="H42" s="435" t="str">
        <f>IF(OR(G42&gt;=0.3,G42&lt;=-0.3),"超过30%","")</f>
        <v/>
      </c>
      <c r="I42" s="434">
        <f>IF(I35&lt;E35,E35/I35-1,I35/E35-1)</f>
        <v>0.16250000000000009</v>
      </c>
      <c r="J42" s="435" t="str">
        <f>IF(OR(I42&gt;=0.3,I42&lt;=-0.3),"超过30%","")</f>
        <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4" t="s">
        <v>1798</v>
      </c>
      <c r="B45" s="385"/>
      <c r="C45" s="655"/>
      <c r="D45" s="655"/>
      <c r="E45" s="655"/>
      <c r="F45" s="656"/>
      <c r="G45" s="656"/>
      <c r="H45" s="655"/>
      <c r="I45" s="655"/>
      <c r="J45" s="655"/>
      <c r="K45" s="657"/>
      <c r="L45" s="658"/>
      <c r="M45" s="655"/>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0" t="str">
        <f>YEAR(C7)&amp;"-"&amp;MONTH(C7)</f>
        <v>2023-10</v>
      </c>
      <c r="D46" s="1101">
        <f>EDATE(C46,-1)</f>
        <v>45170</v>
      </c>
      <c r="E46" s="1101">
        <f t="shared" ref="E46:O46" si="16">EDATE(D46,-1)</f>
        <v>45139</v>
      </c>
      <c r="F46" s="1101">
        <f t="shared" si="16"/>
        <v>45108</v>
      </c>
      <c r="G46" s="1101">
        <f t="shared" si="16"/>
        <v>45078</v>
      </c>
      <c r="H46" s="1101">
        <f t="shared" si="16"/>
        <v>45047</v>
      </c>
      <c r="I46" s="1101">
        <f t="shared" si="16"/>
        <v>45017</v>
      </c>
      <c r="J46" s="1101">
        <f t="shared" si="16"/>
        <v>44986</v>
      </c>
      <c r="K46" s="1101">
        <f t="shared" si="16"/>
        <v>44958</v>
      </c>
      <c r="L46" s="1101">
        <f t="shared" si="16"/>
        <v>44927</v>
      </c>
      <c r="M46" s="1101">
        <f t="shared" si="16"/>
        <v>44896</v>
      </c>
      <c r="N46" s="1101">
        <f t="shared" si="16"/>
        <v>44866</v>
      </c>
      <c r="O46" s="1101">
        <f t="shared" si="16"/>
        <v>44835</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9">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1776</v>
      </c>
      <c r="D49" s="3146" t="s">
        <v>3457</v>
      </c>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2">
        <v>100</v>
      </c>
      <c r="D50" s="446">
        <v>102</v>
      </c>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60" t="s">
        <v>1685</v>
      </c>
      <c r="C51" s="461" t="str">
        <f>C9</f>
        <v>仓储</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0">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98</v>
      </c>
      <c r="E62" s="475">
        <f>D62-$K14</f>
        <v>96</v>
      </c>
      <c r="F62" s="475">
        <f>E62-$K14</f>
        <v>94</v>
      </c>
      <c r="G62" s="475">
        <f>F62-$K14</f>
        <v>92</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98</v>
      </c>
      <c r="E64" s="475">
        <f>D64-$K16</f>
        <v>96</v>
      </c>
      <c r="F64" s="475">
        <f>E64-$K16</f>
        <v>94</v>
      </c>
      <c r="G64" s="475">
        <f>F64-$K16</f>
        <v>92</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0" t="s">
        <v>1799</v>
      </c>
      <c r="D65" s="580" t="s">
        <v>1800</v>
      </c>
      <c r="E65" s="580" t="s">
        <v>1801</v>
      </c>
      <c r="F65" s="580" t="s">
        <v>1802</v>
      </c>
      <c r="G65" s="580" t="s">
        <v>1803</v>
      </c>
      <c r="H65" s="470"/>
      <c r="I65" s="470"/>
      <c r="J65" s="470"/>
      <c r="K65" s="470"/>
      <c r="L65" s="470"/>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99</v>
      </c>
      <c r="E66" s="475">
        <f>D66-$K18</f>
        <v>98</v>
      </c>
      <c r="F66" s="475">
        <f>E66-$K18</f>
        <v>97</v>
      </c>
      <c r="G66" s="475">
        <f>F66-$K18</f>
        <v>96</v>
      </c>
      <c r="H66" s="580"/>
      <c r="I66" s="580"/>
      <c r="J66" s="580"/>
      <c r="K66" s="580"/>
      <c r="L66" s="580"/>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98</v>
      </c>
      <c r="E68" s="475">
        <f>D68-$K20</f>
        <v>96</v>
      </c>
      <c r="F68" s="475">
        <f>E68-$K20</f>
        <v>94</v>
      </c>
      <c r="G68" s="475">
        <f>F68-$K20</f>
        <v>92</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3148" t="s">
        <v>3551</v>
      </c>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98</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3150" t="s">
        <v>3494</v>
      </c>
      <c r="D77" s="3150" t="s">
        <v>3495</v>
      </c>
      <c r="E77" s="3150" t="s">
        <v>3496</v>
      </c>
      <c r="F77" s="3149" t="s">
        <v>3497</v>
      </c>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3148" t="s">
        <v>3544</v>
      </c>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3148" t="s">
        <v>3546</v>
      </c>
      <c r="D84" s="3148" t="s">
        <v>3547</v>
      </c>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102</v>
      </c>
      <c r="E85" s="475">
        <f t="shared" si="20"/>
        <v>104</v>
      </c>
      <c r="F85" s="475">
        <f t="shared" si="20"/>
        <v>106</v>
      </c>
      <c r="G85" s="475">
        <f t="shared" si="20"/>
        <v>108</v>
      </c>
      <c r="H85" s="475">
        <f t="shared" si="20"/>
        <v>110</v>
      </c>
      <c r="I85" s="475">
        <f t="shared" si="20"/>
        <v>112</v>
      </c>
      <c r="J85" s="475">
        <f t="shared" si="20"/>
        <v>114</v>
      </c>
      <c r="K85" s="475">
        <f t="shared" si="20"/>
        <v>116</v>
      </c>
      <c r="L85" s="475">
        <f t="shared" si="20"/>
        <v>118</v>
      </c>
      <c r="M85" s="475">
        <f t="shared" si="20"/>
        <v>120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0(含)-50</v>
      </c>
      <c r="D86" s="509" t="str">
        <f t="shared" si="21"/>
        <v>50(含)-100</v>
      </c>
      <c r="E86" s="509" t="str">
        <f t="shared" si="21"/>
        <v>100(含)-300</v>
      </c>
      <c r="F86" s="509" t="str">
        <f t="shared" si="21"/>
        <v>300(含)-500</v>
      </c>
      <c r="G86" s="509" t="str">
        <f t="shared" si="21"/>
        <v>500(含)-1000</v>
      </c>
      <c r="H86" s="509" t="str">
        <f t="shared" si="21"/>
        <v>1000(含)-</v>
      </c>
      <c r="I86" s="509" t="str">
        <f t="shared" si="21"/>
        <v>(含)-</v>
      </c>
      <c r="J86" s="509" t="str">
        <f t="shared" si="21"/>
        <v>(含)-</v>
      </c>
      <c r="K86" s="509" t="str">
        <f t="shared" si="21"/>
        <v>(含)-</v>
      </c>
      <c r="L86" s="509"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v>0</v>
      </c>
      <c r="D87" s="6">
        <v>50</v>
      </c>
      <c r="E87" s="6">
        <v>100</v>
      </c>
      <c r="F87" s="6">
        <v>300</v>
      </c>
      <c r="G87" s="6">
        <v>500</v>
      </c>
      <c r="H87" s="6">
        <v>1000</v>
      </c>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v>100</v>
      </c>
      <c r="D88" s="467">
        <f>C88-0.5</f>
        <v>99.5</v>
      </c>
      <c r="E88" s="467">
        <f t="shared" ref="E88:H88" si="22">D88-0.5</f>
        <v>99</v>
      </c>
      <c r="F88" s="467">
        <f t="shared" si="22"/>
        <v>98.5</v>
      </c>
      <c r="G88" s="467">
        <f t="shared" si="22"/>
        <v>98</v>
      </c>
      <c r="H88" s="467">
        <f t="shared" si="22"/>
        <v>97.5</v>
      </c>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9">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8"/>
      <c r="B98" s="878"/>
      <c r="C98" s="878"/>
      <c r="D98" s="878"/>
      <c r="E98" s="878"/>
      <c r="F98" s="878"/>
      <c r="G98" s="878"/>
      <c r="H98" s="878"/>
      <c r="I98" s="878"/>
      <c r="J98" s="878"/>
      <c r="K98" s="879"/>
      <c r="L98" s="880"/>
      <c r="M98" s="878"/>
      <c r="N98" s="2483"/>
      <c r="O98" s="2483"/>
      <c r="P98" s="2483"/>
      <c r="Q98" s="2483"/>
      <c r="R98" s="2483"/>
      <c r="S98" s="2483"/>
      <c r="T98" s="2483"/>
      <c r="U98" s="2483"/>
      <c r="V98" s="2483"/>
      <c r="W98" s="2483"/>
      <c r="X98" s="2483"/>
      <c r="Y98" s="2483"/>
      <c r="Z98" s="2483"/>
      <c r="AA98" s="2483"/>
      <c r="AB98" s="2483"/>
      <c r="AC98" s="2483"/>
      <c r="AD98" s="2483"/>
    </row>
    <row r="99" spans="1:30">
      <c r="A99" s="878"/>
      <c r="B99" s="878"/>
      <c r="C99" s="878"/>
      <c r="D99" s="878"/>
      <c r="E99" s="878"/>
      <c r="F99" s="878"/>
      <c r="G99" s="878"/>
      <c r="H99" s="878"/>
      <c r="I99" s="878"/>
      <c r="J99" s="878"/>
      <c r="K99" s="879"/>
      <c r="L99" s="880"/>
      <c r="M99" s="878"/>
      <c r="N99" s="2483"/>
      <c r="O99" s="2483"/>
      <c r="P99" s="2483"/>
      <c r="Q99" s="2483"/>
      <c r="R99" s="2483"/>
      <c r="S99" s="2483"/>
      <c r="T99" s="2483"/>
      <c r="U99" s="2483"/>
      <c r="V99" s="2483"/>
      <c r="W99" s="2483"/>
      <c r="X99" s="2483"/>
      <c r="Y99" s="2483"/>
      <c r="Z99" s="2483"/>
      <c r="AA99" s="2483"/>
      <c r="AB99" s="2483"/>
      <c r="AC99" s="2483"/>
      <c r="AD99" s="2483"/>
    </row>
    <row r="100" spans="1:30">
      <c r="A100" s="878"/>
      <c r="B100" s="878"/>
      <c r="C100" s="878"/>
      <c r="D100" s="878"/>
      <c r="E100" s="878"/>
      <c r="F100" s="878"/>
      <c r="G100" s="878"/>
      <c r="H100" s="878"/>
      <c r="I100" s="878"/>
      <c r="J100" s="878"/>
      <c r="K100" s="879"/>
      <c r="L100" s="880"/>
      <c r="M100" s="878"/>
      <c r="N100" s="2483"/>
      <c r="O100" s="2483"/>
      <c r="P100" s="2483"/>
      <c r="Q100" s="2483"/>
      <c r="R100" s="2483"/>
      <c r="S100" s="2483"/>
      <c r="T100" s="2483"/>
      <c r="U100" s="2483"/>
      <c r="V100" s="2483"/>
      <c r="W100" s="2483"/>
      <c r="X100" s="2483"/>
      <c r="Y100" s="2483"/>
      <c r="Z100" s="2483"/>
      <c r="AA100" s="2483"/>
      <c r="AB100" s="2483"/>
      <c r="AC100" s="2483"/>
      <c r="AD100" s="2483"/>
    </row>
    <row r="101" spans="1:30">
      <c r="A101" s="878"/>
      <c r="B101" s="878"/>
      <c r="C101" s="878"/>
      <c r="D101" s="878"/>
      <c r="E101" s="878"/>
      <c r="F101" s="878"/>
      <c r="G101" s="878"/>
      <c r="H101" s="878"/>
      <c r="I101" s="878"/>
      <c r="J101" s="878"/>
      <c r="K101" s="879"/>
      <c r="L101" s="880"/>
      <c r="M101" s="878"/>
      <c r="N101" s="2483"/>
      <c r="O101" s="2483"/>
      <c r="P101" s="2483"/>
      <c r="Q101" s="2483"/>
      <c r="R101" s="2483"/>
      <c r="S101" s="2483"/>
      <c r="T101" s="2483"/>
      <c r="U101" s="2483"/>
      <c r="V101" s="2483"/>
      <c r="W101" s="2483"/>
      <c r="X101" s="2483"/>
      <c r="Y101" s="2483"/>
      <c r="Z101" s="2483"/>
      <c r="AA101" s="2483"/>
      <c r="AB101" s="2483"/>
      <c r="AC101" s="2483"/>
      <c r="AD101" s="2483"/>
    </row>
    <row r="102" spans="1:30">
      <c r="A102" s="878"/>
      <c r="B102" s="878"/>
      <c r="C102" s="878"/>
      <c r="D102" s="878"/>
      <c r="E102" s="878"/>
      <c r="F102" s="878"/>
      <c r="G102" s="878"/>
      <c r="H102" s="878"/>
      <c r="I102" s="878"/>
      <c r="J102" s="878"/>
      <c r="K102" s="879"/>
      <c r="L102" s="880"/>
      <c r="M102" s="878"/>
      <c r="N102" s="2483"/>
      <c r="O102" s="2483"/>
      <c r="P102" s="2483"/>
      <c r="Q102" s="2483"/>
      <c r="R102" s="2483"/>
      <c r="S102" s="2483"/>
      <c r="T102" s="2483"/>
      <c r="U102" s="2483"/>
      <c r="V102" s="2483"/>
      <c r="W102" s="2483"/>
      <c r="X102" s="2483"/>
      <c r="Y102" s="2483"/>
      <c r="Z102" s="2483"/>
      <c r="AA102" s="2483"/>
      <c r="AB102" s="2483"/>
      <c r="AC102" s="2483"/>
      <c r="AD102" s="2483"/>
    </row>
    <row r="103" spans="1:30">
      <c r="A103" s="878"/>
      <c r="B103" s="878"/>
      <c r="C103" s="878"/>
      <c r="D103" s="878"/>
      <c r="E103" s="878"/>
      <c r="F103" s="878"/>
      <c r="G103" s="878"/>
      <c r="H103" s="878"/>
      <c r="I103" s="878"/>
      <c r="J103" s="878"/>
      <c r="K103" s="879"/>
      <c r="L103" s="880"/>
      <c r="M103" s="878"/>
      <c r="N103" s="878"/>
      <c r="O103" s="878"/>
      <c r="P103" s="2483"/>
      <c r="Q103" s="2483"/>
      <c r="R103" s="2483"/>
      <c r="S103" s="2483"/>
      <c r="T103" s="2483"/>
      <c r="U103" s="2483"/>
      <c r="V103" s="2483"/>
      <c r="W103" s="2483"/>
      <c r="X103" s="2483"/>
      <c r="Y103" s="2483"/>
      <c r="Z103" s="2483"/>
      <c r="AA103" s="2483"/>
      <c r="AB103" s="2483"/>
      <c r="AC103" s="2483"/>
      <c r="AD103" s="2483"/>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85" zoomScaleNormal="60" zoomScaleSheetLayoutView="85" workbookViewId="0">
      <selection activeCell="N10" sqref="N1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3332</v>
      </c>
      <c r="C1" s="1138" t="s">
        <v>1662</v>
      </c>
      <c r="D1" s="1139" t="s">
        <v>3511</v>
      </c>
      <c r="E1" s="3127" t="s">
        <v>3517</v>
      </c>
      <c r="F1" s="1732" t="s">
        <v>3582</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0</v>
      </c>
      <c r="C2" s="1734" t="s">
        <v>43</v>
      </c>
      <c r="D2" s="850" t="e">
        <f ca="1">IF(E1="项目模式",SUMIF(INDIRECT("'"&amp;F2&amp;"'"&amp;"!A:A"),"承租人权益价值",INDIRECT("'"&amp;F2&amp;"'"&amp;"!c:c")),SUMIF(INDIRECT("'"&amp;F2&amp;"'"&amp;"!A:A"),"承租人权益价值（单套）",INDIRECT("'"&amp;F2&amp;"'"&amp;"!c:c")))</f>
        <v>#REF!</v>
      </c>
      <c r="E2" s="1735" t="s">
        <v>1463</v>
      </c>
      <c r="F2" s="1736"/>
      <c r="G2" s="851"/>
      <c r="H2" s="851"/>
      <c r="I2" s="851"/>
      <c r="J2" s="851"/>
      <c r="K2" s="853"/>
      <c r="L2" s="2499"/>
      <c r="M2" s="2500"/>
      <c r="N2" s="2500"/>
      <c r="O2" s="2500"/>
      <c r="P2" s="1083"/>
      <c r="Q2" s="341"/>
      <c r="R2" s="341"/>
      <c r="S2" s="341"/>
      <c r="T2" s="341"/>
      <c r="U2" s="341"/>
      <c r="V2" s="341"/>
      <c r="W2" s="341"/>
      <c r="X2" s="341"/>
      <c r="Y2" s="341"/>
      <c r="Z2" s="341"/>
      <c r="AA2" s="341"/>
      <c r="AB2" s="341"/>
      <c r="AC2" s="659"/>
    </row>
    <row r="3" spans="1:29" s="342" customFormat="1" ht="28.5" customHeight="1" thickBot="1">
      <c r="A3" s="195" t="s">
        <v>1464</v>
      </c>
      <c r="B3" s="536">
        <f>IF(AND(C2="——",B37="元/平方米"),C39,ROUND(B2*10000/D3,0))</f>
        <v>359</v>
      </c>
      <c r="C3" s="344" t="s">
        <v>1768</v>
      </c>
      <c r="D3" s="343">
        <f>SUMIF('数据-汇总表'!$C19:$C33,D1,'数据-汇总表'!$E19:$E33)</f>
        <v>0</v>
      </c>
      <c r="E3" s="344" t="s">
        <v>1832</v>
      </c>
      <c r="F3" s="343">
        <f>SUMIF('数据-取费表'!A5:A15,D1,'数据-取费表'!AH5:AH15)</f>
        <v>0</v>
      </c>
      <c r="G3" s="851"/>
      <c r="H3" s="851"/>
      <c r="I3" s="851"/>
      <c r="J3" s="851"/>
      <c r="K3" s="853"/>
      <c r="L3" s="2499"/>
      <c r="M3" s="2500">
        <f>IF(C2="——",IF(B37="元/平方米",ROUND(C39*D3/10000,0),ROUND(F3*C39/10000,0)),IF(B37="元/平方米",ROUND(C39*D3/10000,0),ROUND(F3*C39/10000,0))-D2)</f>
        <v>0</v>
      </c>
      <c r="N3" s="2500"/>
      <c r="O3" s="2500"/>
      <c r="P3" s="1083"/>
      <c r="Q3" s="341"/>
      <c r="R3" s="341"/>
      <c r="S3" s="341"/>
      <c r="T3" s="341"/>
      <c r="U3" s="341"/>
      <c r="V3" s="341"/>
      <c r="W3" s="341"/>
      <c r="X3" s="341"/>
      <c r="Y3" s="341"/>
      <c r="Z3" s="341"/>
      <c r="AA3" s="341"/>
      <c r="AB3" s="672"/>
      <c r="AC3" s="659"/>
    </row>
    <row r="4" spans="1:29" ht="15">
      <c r="A4" s="345" t="s">
        <v>1769</v>
      </c>
      <c r="B4" s="346"/>
      <c r="C4" s="3493" t="s">
        <v>1770</v>
      </c>
      <c r="D4" s="3494"/>
      <c r="E4" s="3495" t="s">
        <v>1771</v>
      </c>
      <c r="F4" s="3496"/>
      <c r="G4" s="3493" t="s">
        <v>1772</v>
      </c>
      <c r="H4" s="3494"/>
      <c r="I4" s="3493" t="s">
        <v>1773</v>
      </c>
      <c r="J4" s="3494"/>
      <c r="K4" s="537" t="s">
        <v>1774</v>
      </c>
      <c r="L4" s="2482"/>
      <c r="M4" s="2483"/>
      <c r="N4" s="2483"/>
      <c r="O4" s="2483"/>
      <c r="P4" s="3497" t="s">
        <v>1775</v>
      </c>
      <c r="Q4" s="3498"/>
      <c r="R4" s="3503" t="s">
        <v>1771</v>
      </c>
      <c r="S4" s="3504"/>
      <c r="T4" s="3503" t="s">
        <v>1772</v>
      </c>
      <c r="U4" s="3504"/>
      <c r="V4" s="3479" t="s">
        <v>1773</v>
      </c>
      <c r="W4" s="3479"/>
      <c r="X4" s="1262"/>
      <c r="Y4" s="3503" t="s">
        <v>1775</v>
      </c>
      <c r="Z4" s="3504"/>
      <c r="AA4" s="3490" t="s">
        <v>1771</v>
      </c>
      <c r="AB4" s="3491" t="s">
        <v>1772</v>
      </c>
      <c r="AC4" s="3490" t="s">
        <v>1773</v>
      </c>
    </row>
    <row r="5" spans="1:29" ht="15">
      <c r="A5" s="348"/>
      <c r="B5" s="349"/>
      <c r="C5" s="3511" t="s">
        <v>1673</v>
      </c>
      <c r="D5" s="3512"/>
      <c r="E5" s="3521" t="s">
        <v>3548</v>
      </c>
      <c r="F5" s="3519"/>
      <c r="G5" s="3520" t="s">
        <v>3581</v>
      </c>
      <c r="H5" s="3512"/>
      <c r="I5" s="3520" t="s">
        <v>3577</v>
      </c>
      <c r="J5" s="3512"/>
      <c r="K5" s="537"/>
      <c r="L5" s="2482"/>
      <c r="M5" s="2483"/>
      <c r="N5" s="2483"/>
      <c r="O5" s="2483"/>
      <c r="P5" s="3499"/>
      <c r="Q5" s="3500"/>
      <c r="R5" s="3505"/>
      <c r="S5" s="3506"/>
      <c r="T5" s="3505"/>
      <c r="U5" s="3506"/>
      <c r="V5" s="3479"/>
      <c r="W5" s="3479"/>
      <c r="X5" s="1262"/>
      <c r="Y5" s="3505"/>
      <c r="Z5" s="3506"/>
      <c r="AA5" s="3491"/>
      <c r="AB5" s="3491"/>
      <c r="AC5" s="3491"/>
    </row>
    <row r="6" spans="1:29" ht="15.75" thickBot="1">
      <c r="A6" s="350"/>
      <c r="B6" s="351"/>
      <c r="C6" s="3509" t="s">
        <v>1677</v>
      </c>
      <c r="D6" s="3510"/>
      <c r="E6" s="3516" t="s">
        <v>1677</v>
      </c>
      <c r="F6" s="3517"/>
      <c r="G6" s="3509" t="s">
        <v>1677</v>
      </c>
      <c r="H6" s="3510"/>
      <c r="I6" s="3509" t="s">
        <v>1677</v>
      </c>
      <c r="J6" s="3510"/>
      <c r="K6" s="537" t="s">
        <v>1678</v>
      </c>
      <c r="L6" s="2482"/>
      <c r="M6" s="2483"/>
      <c r="N6" s="2483"/>
      <c r="O6" s="2483"/>
      <c r="P6" s="3501"/>
      <c r="Q6" s="3502"/>
      <c r="R6" s="3505"/>
      <c r="S6" s="3506"/>
      <c r="T6" s="3507"/>
      <c r="U6" s="3508"/>
      <c r="V6" s="3479"/>
      <c r="W6" s="3479"/>
      <c r="X6" s="1262"/>
      <c r="Y6" s="3507"/>
      <c r="Z6" s="3508"/>
      <c r="AA6" s="3492"/>
      <c r="AB6" s="3492"/>
      <c r="AC6" s="3492"/>
    </row>
    <row r="7" spans="1:29" s="102" customFormat="1" ht="15.75" thickBot="1">
      <c r="A7" s="352" t="s">
        <v>1679</v>
      </c>
      <c r="B7" s="353"/>
      <c r="C7" s="354">
        <f>'数据-取费表'!B2</f>
        <v>45215</v>
      </c>
      <c r="D7" s="355">
        <v>100</v>
      </c>
      <c r="E7" s="356">
        <v>45200</v>
      </c>
      <c r="F7" s="357">
        <f>SUMIF(48:48,YEAR(E7)&amp;"-"&amp;MONTH(E7),49:49)</f>
        <v>100</v>
      </c>
      <c r="G7" s="356">
        <v>45200</v>
      </c>
      <c r="H7" s="355">
        <f>SUMIF(48:48,YEAR(G7)&amp;"-"&amp;MONTH(G7),49:49)</f>
        <v>100</v>
      </c>
      <c r="I7" s="356">
        <v>45200</v>
      </c>
      <c r="J7" s="355">
        <f>SUMIF(48:48,YEAR(I7)&amp;"-"&amp;MONTH(I7),49:49)</f>
        <v>100</v>
      </c>
      <c r="K7" s="38"/>
      <c r="L7" s="2484"/>
      <c r="M7" s="2435"/>
      <c r="N7" s="2435"/>
      <c r="O7" s="2435"/>
      <c r="P7" s="3513" t="s">
        <v>1680</v>
      </c>
      <c r="Q7" s="3515"/>
      <c r="R7" s="660" t="s">
        <v>14</v>
      </c>
      <c r="S7" s="661">
        <f t="shared" ref="S7:S14" si="0">F7</f>
        <v>100</v>
      </c>
      <c r="T7" s="660" t="s">
        <v>14</v>
      </c>
      <c r="U7" s="661">
        <f t="shared" ref="U7:U14" si="1">H7</f>
        <v>100</v>
      </c>
      <c r="V7" s="660" t="s">
        <v>14</v>
      </c>
      <c r="W7" s="661">
        <f t="shared" ref="W7:W14" si="2">J7</f>
        <v>100</v>
      </c>
      <c r="X7" s="662"/>
      <c r="Y7" s="3513" t="s">
        <v>1680</v>
      </c>
      <c r="Z7" s="3514"/>
      <c r="AA7" s="50">
        <f>D7/F7</f>
        <v>1</v>
      </c>
      <c r="AB7" s="50">
        <f>D7/H7</f>
        <v>1</v>
      </c>
      <c r="AC7" s="50">
        <f>D7/J7</f>
        <v>1</v>
      </c>
    </row>
    <row r="8" spans="1:29" s="102" customFormat="1" ht="15.75" thickBot="1">
      <c r="A8" s="352" t="s">
        <v>1681</v>
      </c>
      <c r="B8" s="353"/>
      <c r="C8" s="358" t="s">
        <v>3455</v>
      </c>
      <c r="D8" s="355">
        <v>100</v>
      </c>
      <c r="E8" s="358" t="s">
        <v>3455</v>
      </c>
      <c r="F8" s="357">
        <f>SUMIF(51:51,E8,52:52)-SUMIF(51:51,C8,52:52)+100</f>
        <v>100</v>
      </c>
      <c r="G8" s="358" t="s">
        <v>3455</v>
      </c>
      <c r="H8" s="355">
        <f>SUMIF(51:51,G8,52:52)-SUMIF(51:51,C8,52:52)+100</f>
        <v>100</v>
      </c>
      <c r="I8" s="358" t="s">
        <v>3455</v>
      </c>
      <c r="J8" s="355">
        <f>SUMIF(51:51,I8,52:52)-SUMIF(51:51,C8,52:52)+100</f>
        <v>100</v>
      </c>
      <c r="K8" s="38"/>
      <c r="L8" s="2484"/>
      <c r="M8" s="2435"/>
      <c r="N8" s="2435"/>
      <c r="O8" s="2435"/>
      <c r="P8" s="3513" t="s">
        <v>1683</v>
      </c>
      <c r="Q8" s="3514"/>
      <c r="R8" s="660" t="s">
        <v>14</v>
      </c>
      <c r="S8" s="661">
        <f t="shared" si="0"/>
        <v>100</v>
      </c>
      <c r="T8" s="660" t="s">
        <v>14</v>
      </c>
      <c r="U8" s="661">
        <f t="shared" si="1"/>
        <v>100</v>
      </c>
      <c r="V8" s="660" t="s">
        <v>14</v>
      </c>
      <c r="W8" s="661">
        <f t="shared" si="2"/>
        <v>100</v>
      </c>
      <c r="X8" s="662"/>
      <c r="Y8" s="3513" t="s">
        <v>1683</v>
      </c>
      <c r="Z8" s="3514"/>
      <c r="AA8" s="50">
        <f t="shared" ref="AA8:AA36" si="3">D8/F8</f>
        <v>1</v>
      </c>
      <c r="AB8" s="50">
        <f t="shared" ref="AB8:AB36" si="4">D8/H8</f>
        <v>1</v>
      </c>
      <c r="AC8" s="50">
        <f t="shared" ref="AC8:AC36" si="5">D8/J8</f>
        <v>1</v>
      </c>
    </row>
    <row r="9" spans="1:29" s="102" customFormat="1">
      <c r="A9" s="57" t="s">
        <v>1684</v>
      </c>
      <c r="B9" s="563" t="s">
        <v>1685</v>
      </c>
      <c r="C9" s="3145" t="s">
        <v>3567</v>
      </c>
      <c r="D9" s="59">
        <v>100</v>
      </c>
      <c r="E9" s="362" t="s">
        <v>3332</v>
      </c>
      <c r="F9" s="59">
        <f>SUMIF(53:53,E9,54:54)-SUMIF(53:53,C9,54:54)+100</f>
        <v>100</v>
      </c>
      <c r="G9" s="362" t="s">
        <v>3332</v>
      </c>
      <c r="H9" s="59">
        <f>SUMIF(53:53,G9,54:54)-SUMIF(53:53,C9,54:54)+100</f>
        <v>100</v>
      </c>
      <c r="I9" s="362" t="s">
        <v>3332</v>
      </c>
      <c r="J9" s="59">
        <f>SUMIF(53:53,I9,54:54)-SUMIF(53:53,C9,54:54)+100</f>
        <v>100</v>
      </c>
      <c r="K9" s="38"/>
      <c r="L9" s="2484"/>
      <c r="M9" s="2435"/>
      <c r="N9" s="2435"/>
      <c r="O9" s="2435"/>
      <c r="P9" s="3478" t="s">
        <v>1686</v>
      </c>
      <c r="Q9" s="530" t="str">
        <f t="shared" ref="Q9:Q14" si="6">B9</f>
        <v>用途</v>
      </c>
      <c r="R9" s="660" t="s">
        <v>14</v>
      </c>
      <c r="S9" s="661">
        <f t="shared" si="0"/>
        <v>100</v>
      </c>
      <c r="T9" s="660" t="s">
        <v>14</v>
      </c>
      <c r="U9" s="661">
        <f t="shared" si="1"/>
        <v>100</v>
      </c>
      <c r="V9" s="660" t="s">
        <v>14</v>
      </c>
      <c r="W9" s="661">
        <f t="shared" si="2"/>
        <v>100</v>
      </c>
      <c r="X9" s="662"/>
      <c r="Y9" s="3353" t="s">
        <v>1687</v>
      </c>
      <c r="Z9" s="50" t="str">
        <f t="shared" ref="Z9:Z14" si="7">Q9</f>
        <v>用途</v>
      </c>
      <c r="AA9" s="50">
        <f t="shared" si="3"/>
        <v>1</v>
      </c>
      <c r="AB9" s="50">
        <f t="shared" si="4"/>
        <v>1</v>
      </c>
      <c r="AC9" s="50">
        <f t="shared" si="5"/>
        <v>1</v>
      </c>
    </row>
    <row r="10" spans="1:29" s="366" customFormat="1" ht="27">
      <c r="A10" s="564"/>
      <c r="B10" s="565"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78"/>
      <c r="Q10" s="530" t="str">
        <f t="shared" si="6"/>
        <v>土地使用年限（年）</v>
      </c>
      <c r="R10" s="660" t="s">
        <v>14</v>
      </c>
      <c r="S10" s="661">
        <f t="shared" si="0"/>
        <v>100</v>
      </c>
      <c r="T10" s="660" t="s">
        <v>14</v>
      </c>
      <c r="U10" s="661">
        <f t="shared" si="1"/>
        <v>100</v>
      </c>
      <c r="V10" s="660" t="s">
        <v>14</v>
      </c>
      <c r="W10" s="661">
        <f t="shared" si="2"/>
        <v>100</v>
      </c>
      <c r="X10" s="662"/>
      <c r="Y10" s="335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78"/>
      <c r="Q11" s="530">
        <f t="shared" si="6"/>
        <v>111</v>
      </c>
      <c r="R11" s="660" t="s">
        <v>14</v>
      </c>
      <c r="S11" s="661">
        <f t="shared" si="0"/>
        <v>100</v>
      </c>
      <c r="T11" s="660" t="s">
        <v>14</v>
      </c>
      <c r="U11" s="661">
        <f t="shared" si="1"/>
        <v>100</v>
      </c>
      <c r="V11" s="660" t="s">
        <v>14</v>
      </c>
      <c r="W11" s="661">
        <f t="shared" si="2"/>
        <v>100</v>
      </c>
      <c r="X11" s="662"/>
      <c r="Y11" s="335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478"/>
      <c r="Q12" s="530">
        <f t="shared" si="6"/>
        <v>111</v>
      </c>
      <c r="R12" s="660" t="s">
        <v>14</v>
      </c>
      <c r="S12" s="661">
        <f t="shared" si="0"/>
        <v>100</v>
      </c>
      <c r="T12" s="660" t="s">
        <v>14</v>
      </c>
      <c r="U12" s="661">
        <f t="shared" si="1"/>
        <v>100</v>
      </c>
      <c r="V12" s="660" t="s">
        <v>14</v>
      </c>
      <c r="W12" s="661">
        <f t="shared" si="2"/>
        <v>100</v>
      </c>
      <c r="X12" s="662"/>
      <c r="Y12" s="335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78"/>
      <c r="Q13" s="530">
        <f t="shared" si="6"/>
        <v>111</v>
      </c>
      <c r="R13" s="660" t="s">
        <v>14</v>
      </c>
      <c r="S13" s="661">
        <f t="shared" si="0"/>
        <v>100</v>
      </c>
      <c r="T13" s="660" t="s">
        <v>14</v>
      </c>
      <c r="U13" s="661">
        <f t="shared" si="1"/>
        <v>100</v>
      </c>
      <c r="V13" s="660" t="s">
        <v>14</v>
      </c>
      <c r="W13" s="661">
        <f t="shared" si="2"/>
        <v>100</v>
      </c>
      <c r="X13" s="662"/>
      <c r="Y13" s="3353"/>
      <c r="Z13" s="50">
        <f t="shared" si="7"/>
        <v>111</v>
      </c>
      <c r="AA13" s="50">
        <f t="shared" si="3"/>
        <v>1</v>
      </c>
      <c r="AB13" s="50">
        <f t="shared" si="4"/>
        <v>1</v>
      </c>
      <c r="AC13" s="50">
        <f t="shared" si="5"/>
        <v>1</v>
      </c>
    </row>
    <row r="14" spans="1:29" ht="99.75">
      <c r="A14" s="345" t="s">
        <v>1690</v>
      </c>
      <c r="B14" s="553" t="s">
        <v>1833</v>
      </c>
      <c r="C14" s="1816" t="str">
        <f>IF(B1="工业",估价对象房地状况!G4,估价对象房地状况!C6)</f>
        <v>估价对象周边道路状况、公共交通通达情况808、809等、停车便捷程度较好，综合评价交通便捷度一般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102</v>
      </c>
      <c r="K14" s="540">
        <f>'比较法-商业'!K17</f>
        <v>2</v>
      </c>
      <c r="L14" s="2488"/>
      <c r="M14" s="2483"/>
      <c r="N14" s="2483"/>
      <c r="O14" s="2483"/>
      <c r="P14" s="3480" t="s">
        <v>1691</v>
      </c>
      <c r="Q14" s="1260" t="str">
        <f t="shared" si="6"/>
        <v>交通便捷度</v>
      </c>
      <c r="R14" s="663" t="s">
        <v>14</v>
      </c>
      <c r="S14" s="664">
        <f t="shared" si="0"/>
        <v>100</v>
      </c>
      <c r="T14" s="663" t="s">
        <v>14</v>
      </c>
      <c r="U14" s="664">
        <f t="shared" si="1"/>
        <v>100</v>
      </c>
      <c r="V14" s="663" t="s">
        <v>14</v>
      </c>
      <c r="W14" s="664">
        <f t="shared" si="2"/>
        <v>102</v>
      </c>
      <c r="X14" s="1262"/>
      <c r="Y14" s="3480" t="s">
        <v>1691</v>
      </c>
      <c r="Z14" s="1261" t="str">
        <f t="shared" si="7"/>
        <v>交通便捷度</v>
      </c>
      <c r="AA14" s="1261">
        <f t="shared" si="3"/>
        <v>1</v>
      </c>
      <c r="AB14" s="1261">
        <f t="shared" si="4"/>
        <v>1</v>
      </c>
      <c r="AC14" s="1261">
        <f t="shared" si="5"/>
        <v>0.98039215686274506</v>
      </c>
    </row>
    <row r="15" spans="1:29" ht="15">
      <c r="A15" s="348"/>
      <c r="B15" s="570"/>
      <c r="C15" s="386" t="s">
        <v>3460</v>
      </c>
      <c r="D15" s="387"/>
      <c r="E15" s="386" t="s">
        <v>3460</v>
      </c>
      <c r="F15" s="388"/>
      <c r="G15" s="386" t="s">
        <v>3460</v>
      </c>
      <c r="H15" s="389"/>
      <c r="I15" s="386" t="s">
        <v>3459</v>
      </c>
      <c r="J15" s="387"/>
      <c r="K15" s="541"/>
      <c r="L15" s="2488"/>
      <c r="M15" s="2483"/>
      <c r="N15" s="2483"/>
      <c r="O15" s="2483"/>
      <c r="P15" s="3481"/>
      <c r="Q15" s="1260"/>
      <c r="R15" s="663"/>
      <c r="S15" s="664"/>
      <c r="T15" s="663"/>
      <c r="U15" s="664"/>
      <c r="V15" s="663"/>
      <c r="W15" s="664"/>
      <c r="X15" s="1262"/>
      <c r="Y15" s="3481"/>
      <c r="Z15" s="1261"/>
      <c r="AA15" s="1261">
        <v>1</v>
      </c>
      <c r="AB15" s="1261">
        <v>1</v>
      </c>
      <c r="AC15" s="1261">
        <v>1</v>
      </c>
    </row>
    <row r="16" spans="1:29" ht="256.5">
      <c r="A16" s="348"/>
      <c r="B16" s="555" t="s">
        <v>1812</v>
      </c>
      <c r="C16" s="1751" t="str">
        <f>IF(B1="工业",估价对象房地状况!G5,估价对象房地状况!C7)</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16" s="394">
        <v>100</v>
      </c>
      <c r="E16" s="396"/>
      <c r="F16" s="397">
        <f>SUMIF(65:65,E17,66:66)-SUMIF(65:65,C17,66:66)+100</f>
        <v>102</v>
      </c>
      <c r="G16" s="398"/>
      <c r="H16" s="394">
        <f>SUMIF(65:65,G17,66:66)-SUMIF(65:65,C17,66:66)+100</f>
        <v>102</v>
      </c>
      <c r="I16" s="396"/>
      <c r="J16" s="394">
        <f>SUMIF(65:65,I17,66:66)-SUMIF(65:65,C17,66:66)+100</f>
        <v>104</v>
      </c>
      <c r="K16" s="540">
        <f>'比较法-仓储'!K16</f>
        <v>2</v>
      </c>
      <c r="L16" s="2488"/>
      <c r="M16" s="2483"/>
      <c r="N16" s="2483"/>
      <c r="O16" s="2483"/>
      <c r="P16" s="3481"/>
      <c r="Q16" s="1260" t="str">
        <f>B16</f>
        <v>公共配套设施</v>
      </c>
      <c r="R16" s="663" t="s">
        <v>14</v>
      </c>
      <c r="S16" s="664">
        <f>F16</f>
        <v>102</v>
      </c>
      <c r="T16" s="663" t="s">
        <v>14</v>
      </c>
      <c r="U16" s="664">
        <f>H16</f>
        <v>102</v>
      </c>
      <c r="V16" s="663" t="s">
        <v>14</v>
      </c>
      <c r="W16" s="664">
        <f>J16</f>
        <v>104</v>
      </c>
      <c r="X16" s="1262"/>
      <c r="Y16" s="3481"/>
      <c r="Z16" s="1261" t="str">
        <f>Q16</f>
        <v>公共配套设施</v>
      </c>
      <c r="AA16" s="1261">
        <f t="shared" si="3"/>
        <v>0.98039215686274506</v>
      </c>
      <c r="AB16" s="1261">
        <f t="shared" si="4"/>
        <v>0.98039215686274506</v>
      </c>
      <c r="AC16" s="1261">
        <f t="shared" si="5"/>
        <v>0.96153846153846156</v>
      </c>
    </row>
    <row r="17" spans="1:29" ht="15">
      <c r="A17" s="348"/>
      <c r="B17" s="401"/>
      <c r="C17" s="1752" t="s">
        <v>3458</v>
      </c>
      <c r="D17" s="387"/>
      <c r="E17" s="386" t="s">
        <v>3460</v>
      </c>
      <c r="F17" s="388"/>
      <c r="G17" s="386" t="s">
        <v>3460</v>
      </c>
      <c r="H17" s="387"/>
      <c r="I17" s="386" t="s">
        <v>3459</v>
      </c>
      <c r="J17" s="387"/>
      <c r="K17" s="541"/>
      <c r="L17" s="2488"/>
      <c r="M17" s="2483"/>
      <c r="N17" s="2483"/>
      <c r="O17" s="2483"/>
      <c r="P17" s="3481"/>
      <c r="Q17" s="1260"/>
      <c r="R17" s="663"/>
      <c r="S17" s="664"/>
      <c r="T17" s="663"/>
      <c r="U17" s="664"/>
      <c r="V17" s="663"/>
      <c r="W17" s="664"/>
      <c r="X17" s="1262"/>
      <c r="Y17" s="3481"/>
      <c r="Z17" s="1261"/>
      <c r="AA17" s="1261">
        <v>1</v>
      </c>
      <c r="AB17" s="1261">
        <v>1</v>
      </c>
      <c r="AC17" s="1261">
        <v>1</v>
      </c>
    </row>
    <row r="18" spans="1:29" ht="28.5">
      <c r="A18" s="348"/>
      <c r="B18" s="556" t="s">
        <v>1813</v>
      </c>
      <c r="C18" s="1751"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v>1</v>
      </c>
      <c r="L18" s="2488"/>
      <c r="M18" s="2483"/>
      <c r="N18" s="2483"/>
      <c r="O18" s="2483"/>
      <c r="P18" s="3481"/>
      <c r="Q18" s="1260" t="str">
        <f>B18</f>
        <v>基础设施水平</v>
      </c>
      <c r="R18" s="663" t="s">
        <v>14</v>
      </c>
      <c r="S18" s="664">
        <f>F18</f>
        <v>100</v>
      </c>
      <c r="T18" s="663" t="s">
        <v>14</v>
      </c>
      <c r="U18" s="664">
        <f>H18</f>
        <v>100</v>
      </c>
      <c r="V18" s="663" t="s">
        <v>14</v>
      </c>
      <c r="W18" s="664">
        <f>J18</f>
        <v>100</v>
      </c>
      <c r="X18" s="1262"/>
      <c r="Y18" s="3481"/>
      <c r="Z18" s="1261" t="str">
        <f>Q18</f>
        <v>基础设施水平</v>
      </c>
      <c r="AA18" s="1261">
        <f t="shared" ref="AA18" si="8">D18/F18</f>
        <v>1</v>
      </c>
      <c r="AB18" s="1261">
        <f t="shared" ref="AB18" si="9">D18/H18</f>
        <v>1</v>
      </c>
      <c r="AC18" s="1261">
        <f t="shared" ref="AC18" si="10">D18/J18</f>
        <v>1</v>
      </c>
    </row>
    <row r="19" spans="1:29" ht="15">
      <c r="A19" s="348"/>
      <c r="B19" s="556"/>
      <c r="C19" s="1752" t="s">
        <v>3505</v>
      </c>
      <c r="D19" s="389"/>
      <c r="E19" s="1752" t="s">
        <v>3505</v>
      </c>
      <c r="F19" s="392"/>
      <c r="G19" s="1752" t="s">
        <v>3505</v>
      </c>
      <c r="H19" s="387"/>
      <c r="I19" s="1752" t="s">
        <v>3505</v>
      </c>
      <c r="J19" s="387"/>
      <c r="K19" s="1061"/>
      <c r="L19" s="2488"/>
      <c r="M19" s="2483"/>
      <c r="N19" s="2483"/>
      <c r="O19" s="2483"/>
      <c r="P19" s="3481"/>
      <c r="Q19" s="1260"/>
      <c r="R19" s="663"/>
      <c r="S19" s="664"/>
      <c r="T19" s="663"/>
      <c r="U19" s="664"/>
      <c r="V19" s="663"/>
      <c r="W19" s="664"/>
      <c r="X19" s="1262"/>
      <c r="Y19" s="3481"/>
      <c r="Z19" s="1261"/>
      <c r="AA19" s="1261">
        <v>1</v>
      </c>
      <c r="AB19" s="1261">
        <v>1</v>
      </c>
      <c r="AC19" s="1261">
        <v>1</v>
      </c>
    </row>
    <row r="20" spans="1:29" ht="85.5">
      <c r="A20" s="348"/>
      <c r="B20" s="555" t="s">
        <v>1834</v>
      </c>
      <c r="C20" s="1751" t="str">
        <f>IF(B1="工业",估价对象房地状况!G7,估价对象房地状况!C9)</f>
        <v>区域自然环境：潞城中心公园；人文环境：工商大学嘉华学院；综合评价环境状况一般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f>'比较法-仓储'!K20</f>
        <v>2</v>
      </c>
      <c r="L20" s="2488"/>
      <c r="M20" s="2483"/>
      <c r="N20" s="2483"/>
      <c r="O20" s="2483"/>
      <c r="P20" s="3481"/>
      <c r="Q20" s="1260" t="str">
        <f>B20</f>
        <v>自然及人文环境</v>
      </c>
      <c r="R20" s="663" t="s">
        <v>14</v>
      </c>
      <c r="S20" s="664">
        <f>F20</f>
        <v>100</v>
      </c>
      <c r="T20" s="663" t="s">
        <v>14</v>
      </c>
      <c r="U20" s="664">
        <f>H20</f>
        <v>100</v>
      </c>
      <c r="V20" s="663" t="s">
        <v>14</v>
      </c>
      <c r="W20" s="664">
        <f>J20</f>
        <v>100</v>
      </c>
      <c r="X20" s="1262"/>
      <c r="Y20" s="3481"/>
      <c r="Z20" s="1261" t="str">
        <f>Q20</f>
        <v>自然及人文环境</v>
      </c>
      <c r="AA20" s="1261">
        <f t="shared" si="3"/>
        <v>1</v>
      </c>
      <c r="AB20" s="1261">
        <f t="shared" si="4"/>
        <v>1</v>
      </c>
      <c r="AC20" s="1261">
        <f t="shared" si="5"/>
        <v>1</v>
      </c>
    </row>
    <row r="21" spans="1:29" ht="15">
      <c r="A21" s="348"/>
      <c r="B21" s="401"/>
      <c r="C21" s="386" t="s">
        <v>3460</v>
      </c>
      <c r="D21" s="387"/>
      <c r="E21" s="386" t="s">
        <v>3460</v>
      </c>
      <c r="F21" s="388"/>
      <c r="G21" s="386" t="s">
        <v>3460</v>
      </c>
      <c r="H21" s="387"/>
      <c r="I21" s="386" t="s">
        <v>3460</v>
      </c>
      <c r="J21" s="387"/>
      <c r="K21" s="541"/>
      <c r="L21" s="2488"/>
      <c r="M21" s="2483"/>
      <c r="N21" s="2483"/>
      <c r="O21" s="2483"/>
      <c r="P21" s="3481"/>
      <c r="Q21" s="1260"/>
      <c r="R21" s="663"/>
      <c r="S21" s="664"/>
      <c r="T21" s="663"/>
      <c r="U21" s="664"/>
      <c r="V21" s="663"/>
      <c r="W21" s="664"/>
      <c r="X21" s="1262"/>
      <c r="Y21" s="3481"/>
      <c r="Z21" s="1261"/>
      <c r="AA21" s="1261">
        <v>1</v>
      </c>
      <c r="AB21" s="1261">
        <v>1</v>
      </c>
      <c r="AC21" s="1261">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81"/>
      <c r="Q22" s="1260" t="str">
        <f>B22</f>
        <v>楼层</v>
      </c>
      <c r="R22" s="663" t="s">
        <v>14</v>
      </c>
      <c r="S22" s="664">
        <f>F22</f>
        <v>100</v>
      </c>
      <c r="T22" s="663" t="s">
        <v>14</v>
      </c>
      <c r="U22" s="664">
        <f>H22</f>
        <v>100</v>
      </c>
      <c r="V22" s="663" t="s">
        <v>14</v>
      </c>
      <c r="W22" s="664">
        <f>J22</f>
        <v>100</v>
      </c>
      <c r="X22" s="1262"/>
      <c r="Y22" s="3481"/>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81"/>
      <c r="Q23" s="1260">
        <f>B23</f>
        <v>111</v>
      </c>
      <c r="R23" s="663" t="s">
        <v>14</v>
      </c>
      <c r="S23" s="664">
        <f>F23</f>
        <v>100</v>
      </c>
      <c r="T23" s="663" t="s">
        <v>14</v>
      </c>
      <c r="U23" s="664">
        <f>H23</f>
        <v>100</v>
      </c>
      <c r="V23" s="663" t="s">
        <v>14</v>
      </c>
      <c r="W23" s="664">
        <f>J23</f>
        <v>100</v>
      </c>
      <c r="X23" s="1262"/>
      <c r="Y23" s="3481"/>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81"/>
      <c r="Q24" s="1260">
        <f t="shared" ref="Q24:Q36" si="11">B24</f>
        <v>111</v>
      </c>
      <c r="R24" s="663" t="s">
        <v>14</v>
      </c>
      <c r="S24" s="664">
        <f>F24</f>
        <v>100</v>
      </c>
      <c r="T24" s="663" t="s">
        <v>14</v>
      </c>
      <c r="U24" s="664">
        <f>H24</f>
        <v>100</v>
      </c>
      <c r="V24" s="663" t="s">
        <v>14</v>
      </c>
      <c r="W24" s="664">
        <f>J24</f>
        <v>100</v>
      </c>
      <c r="X24" s="1262"/>
      <c r="Y24" s="3481"/>
      <c r="Z24" s="1261">
        <f>Q24</f>
        <v>111</v>
      </c>
      <c r="AA24" s="1261">
        <f t="shared" si="3"/>
        <v>1</v>
      </c>
      <c r="AB24" s="1261">
        <f t="shared" si="4"/>
        <v>1</v>
      </c>
      <c r="AC24" s="1261">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4"/>
      <c r="M25" s="2435"/>
      <c r="N25" s="2435"/>
      <c r="O25" s="2435"/>
      <c r="P25" s="3481"/>
      <c r="Q25" s="530">
        <f t="shared" si="11"/>
        <v>111</v>
      </c>
      <c r="R25" s="660" t="s">
        <v>14</v>
      </c>
      <c r="S25" s="661">
        <f>F25</f>
        <v>100</v>
      </c>
      <c r="T25" s="660" t="s">
        <v>14</v>
      </c>
      <c r="U25" s="661">
        <f>H25</f>
        <v>100</v>
      </c>
      <c r="V25" s="660" t="s">
        <v>14</v>
      </c>
      <c r="W25" s="661">
        <f>J25</f>
        <v>100</v>
      </c>
      <c r="X25" s="662"/>
      <c r="Y25" s="3481"/>
      <c r="Z25" s="50">
        <f>Q25</f>
        <v>111</v>
      </c>
      <c r="AA25" s="1261">
        <f>D25/F25</f>
        <v>1</v>
      </c>
      <c r="AB25" s="1261">
        <f>D25/H25</f>
        <v>1</v>
      </c>
      <c r="AC25" s="1261">
        <f>D25/J25</f>
        <v>1</v>
      </c>
    </row>
    <row r="26" spans="1:29" ht="28.5">
      <c r="A26" s="573" t="s">
        <v>1694</v>
      </c>
      <c r="B26" s="59" t="s">
        <v>1836</v>
      </c>
      <c r="C26" s="1817" t="str">
        <f>B1</f>
        <v>车库</v>
      </c>
      <c r="D26" s="387">
        <v>100</v>
      </c>
      <c r="E26" s="386" t="s">
        <v>3332</v>
      </c>
      <c r="F26" s="388">
        <f>SUMIF(79:79,E26,80:80)-SUMIF(79:79,C26,80:80)+100</f>
        <v>100</v>
      </c>
      <c r="G26" s="386" t="s">
        <v>3332</v>
      </c>
      <c r="H26" s="387">
        <f>SUMIF(79:79,G26,80:80)-SUMIF(79:79,C26,80:80)+100</f>
        <v>100</v>
      </c>
      <c r="I26" s="386" t="s">
        <v>3332</v>
      </c>
      <c r="J26" s="387">
        <f>SUMIF(79:79,I26,80:80)-SUMIF(79:79,C26,80:80)+100</f>
        <v>100</v>
      </c>
      <c r="K26" s="538"/>
      <c r="L26" s="2488"/>
      <c r="M26" s="2483"/>
      <c r="N26" s="2483"/>
      <c r="O26" s="2483"/>
      <c r="P26" s="3543" t="s">
        <v>1696</v>
      </c>
      <c r="Q26" s="1260" t="str">
        <f t="shared" si="11"/>
        <v>配套类型</v>
      </c>
      <c r="R26" s="663" t="s">
        <v>14</v>
      </c>
      <c r="S26" s="664">
        <f t="shared" ref="S26:S36" si="12">F26</f>
        <v>100</v>
      </c>
      <c r="T26" s="663" t="s">
        <v>14</v>
      </c>
      <c r="U26" s="664">
        <f t="shared" ref="U26:U36" si="13">H26</f>
        <v>100</v>
      </c>
      <c r="V26" s="663" t="s">
        <v>14</v>
      </c>
      <c r="W26" s="664">
        <f t="shared" ref="W26:W36" si="14">J26</f>
        <v>100</v>
      </c>
      <c r="X26" s="1262"/>
      <c r="Y26" s="3485" t="s">
        <v>1696</v>
      </c>
      <c r="Z26" s="1261" t="str">
        <f t="shared" ref="Z26:Z36" si="15">Q26</f>
        <v>配套类型</v>
      </c>
      <c r="AA26" s="1261">
        <f t="shared" si="3"/>
        <v>1</v>
      </c>
      <c r="AB26" s="1261">
        <f t="shared" si="4"/>
        <v>1</v>
      </c>
      <c r="AC26" s="1261">
        <f t="shared" si="5"/>
        <v>1</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7"/>
      <c r="M27" s="2489"/>
      <c r="N27" s="2489"/>
      <c r="O27" s="2489"/>
      <c r="P27" s="3485"/>
      <c r="Q27" s="531" t="str">
        <f t="shared" si="11"/>
        <v>项目停车位配比</v>
      </c>
      <c r="R27" s="665" t="s">
        <v>14</v>
      </c>
      <c r="S27" s="666">
        <f t="shared" si="12"/>
        <v>100</v>
      </c>
      <c r="T27" s="665" t="s">
        <v>14</v>
      </c>
      <c r="U27" s="666">
        <f t="shared" si="13"/>
        <v>100</v>
      </c>
      <c r="V27" s="665" t="s">
        <v>14</v>
      </c>
      <c r="W27" s="666">
        <f t="shared" si="14"/>
        <v>100</v>
      </c>
      <c r="X27" s="667"/>
      <c r="Y27" s="3485"/>
      <c r="Z27" s="668" t="str">
        <f t="shared" si="15"/>
        <v>项目停车位配比</v>
      </c>
      <c r="AA27" s="1261">
        <f t="shared" si="3"/>
        <v>1</v>
      </c>
      <c r="AB27" s="1261">
        <f t="shared" si="4"/>
        <v>1</v>
      </c>
      <c r="AC27" s="1261">
        <f t="shared" si="5"/>
        <v>1</v>
      </c>
    </row>
    <row r="28" spans="1:29" ht="15">
      <c r="A28" s="576"/>
      <c r="B28" s="119" t="s">
        <v>1838</v>
      </c>
      <c r="C28" s="399" t="s">
        <v>3580</v>
      </c>
      <c r="D28" s="374">
        <v>100</v>
      </c>
      <c r="E28" s="399" t="s">
        <v>3580</v>
      </c>
      <c r="F28" s="400">
        <f>SUMIF(83:83,E28,84:84)-SUMIF(83:83,C28,84:84)+100</f>
        <v>100</v>
      </c>
      <c r="G28" s="399" t="s">
        <v>3580</v>
      </c>
      <c r="H28" s="374">
        <f>SUMIF(83:83,G28,84:84)-SUMIF(83:83,C28,84:84)+100</f>
        <v>100</v>
      </c>
      <c r="I28" s="399" t="s">
        <v>3580</v>
      </c>
      <c r="J28" s="374">
        <f>SUMIF(83:83,I28,84:84)-SUMIF(83:83,C28,84:84)+100</f>
        <v>100</v>
      </c>
      <c r="K28" s="538">
        <v>2</v>
      </c>
      <c r="L28" s="2488"/>
      <c r="M28" s="2483"/>
      <c r="N28" s="2483"/>
      <c r="O28" s="2483"/>
      <c r="P28" s="3485"/>
      <c r="Q28" s="1260" t="str">
        <f t="shared" si="11"/>
        <v>公共部分装修</v>
      </c>
      <c r="R28" s="663" t="s">
        <v>14</v>
      </c>
      <c r="S28" s="664">
        <f t="shared" si="12"/>
        <v>100</v>
      </c>
      <c r="T28" s="663" t="s">
        <v>14</v>
      </c>
      <c r="U28" s="664">
        <f t="shared" si="13"/>
        <v>100</v>
      </c>
      <c r="V28" s="663" t="s">
        <v>14</v>
      </c>
      <c r="W28" s="664">
        <f t="shared" si="14"/>
        <v>100</v>
      </c>
      <c r="X28" s="1262"/>
      <c r="Y28" s="3485"/>
      <c r="Z28" s="1261" t="str">
        <f t="shared" si="15"/>
        <v>公共部分装修</v>
      </c>
      <c r="AA28" s="1261">
        <f t="shared" si="3"/>
        <v>1</v>
      </c>
      <c r="AB28" s="1261">
        <f t="shared" si="4"/>
        <v>1</v>
      </c>
      <c r="AC28" s="1261">
        <f t="shared" si="5"/>
        <v>1</v>
      </c>
    </row>
    <row r="29" spans="1:29" ht="15">
      <c r="A29" s="576"/>
      <c r="B29" s="119" t="s">
        <v>1839</v>
      </c>
      <c r="C29" s="411">
        <v>1</v>
      </c>
      <c r="D29" s="374">
        <v>100</v>
      </c>
      <c r="E29" s="411">
        <f>1-(2023-2006)/60</f>
        <v>0.71666666666666667</v>
      </c>
      <c r="F29" s="400">
        <f>LOOKUP(E29,86:86,87:87)-LOOKUP(C29,86:86,87:87)+100</f>
        <v>98</v>
      </c>
      <c r="G29" s="411">
        <f>1-(2023-2011)/60</f>
        <v>0.8</v>
      </c>
      <c r="H29" s="400">
        <f>LOOKUP(G29,86:86,87:87)-LOOKUP(C29,86:86,87:87)+100</f>
        <v>99</v>
      </c>
      <c r="I29" s="411">
        <f>1-(2023-2013)/60</f>
        <v>0.83333333333333337</v>
      </c>
      <c r="J29" s="374">
        <f>LOOKUP(I29,86:86,87:87)-LOOKUP(C29,86:86,87:87)+100</f>
        <v>99</v>
      </c>
      <c r="K29" s="538">
        <v>1</v>
      </c>
      <c r="L29" s="2488"/>
      <c r="M29" s="2483"/>
      <c r="N29" s="2483"/>
      <c r="O29" s="2483"/>
      <c r="P29" s="3485"/>
      <c r="Q29" s="1260" t="str">
        <f t="shared" si="11"/>
        <v>成新率</v>
      </c>
      <c r="R29" s="663" t="s">
        <v>14</v>
      </c>
      <c r="S29" s="664">
        <f t="shared" si="12"/>
        <v>98</v>
      </c>
      <c r="T29" s="663" t="s">
        <v>14</v>
      </c>
      <c r="U29" s="664">
        <f t="shared" si="13"/>
        <v>99</v>
      </c>
      <c r="V29" s="663" t="s">
        <v>14</v>
      </c>
      <c r="W29" s="664">
        <f t="shared" si="14"/>
        <v>99</v>
      </c>
      <c r="X29" s="1262"/>
      <c r="Y29" s="3485"/>
      <c r="Z29" s="1261" t="str">
        <f t="shared" si="15"/>
        <v>成新率</v>
      </c>
      <c r="AA29" s="1261">
        <f t="shared" si="3"/>
        <v>1.0204081632653061</v>
      </c>
      <c r="AB29" s="1261">
        <f t="shared" si="4"/>
        <v>1.0101010101010102</v>
      </c>
      <c r="AC29" s="1261">
        <f t="shared" si="5"/>
        <v>1.0101010101010102</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8"/>
      <c r="M30" s="2483"/>
      <c r="N30" s="2483"/>
      <c r="O30" s="2483"/>
      <c r="P30" s="3485"/>
      <c r="Q30" s="1260" t="str">
        <f t="shared" si="11"/>
        <v>物业等级</v>
      </c>
      <c r="R30" s="663" t="s">
        <v>14</v>
      </c>
      <c r="S30" s="664">
        <f t="shared" si="12"/>
        <v>100</v>
      </c>
      <c r="T30" s="663" t="s">
        <v>14</v>
      </c>
      <c r="U30" s="664">
        <f t="shared" si="13"/>
        <v>100</v>
      </c>
      <c r="V30" s="663" t="s">
        <v>14</v>
      </c>
      <c r="W30" s="664">
        <f t="shared" si="14"/>
        <v>100</v>
      </c>
      <c r="X30" s="1262"/>
      <c r="Y30" s="3485"/>
      <c r="Z30" s="1261" t="str">
        <f t="shared" si="15"/>
        <v>物业等级</v>
      </c>
      <c r="AA30" s="1261">
        <f t="shared" si="3"/>
        <v>1</v>
      </c>
      <c r="AB30" s="1261">
        <f t="shared" si="4"/>
        <v>1</v>
      </c>
      <c r="AC30" s="1261">
        <f t="shared" si="5"/>
        <v>1</v>
      </c>
    </row>
    <row r="31" spans="1:29" s="102" customFormat="1" ht="15">
      <c r="A31" s="578"/>
      <c r="B31" s="119" t="s">
        <v>1841</v>
      </c>
      <c r="C31" s="3183">
        <f>明细表!J85</f>
        <v>32.910276760276759</v>
      </c>
      <c r="D31" s="119">
        <v>100</v>
      </c>
      <c r="E31" s="3183">
        <v>26</v>
      </c>
      <c r="F31" s="400">
        <f>LOOKUP(E31,91:91,92:92)-LOOKUP(C31,91:91,92:92)+100</f>
        <v>99</v>
      </c>
      <c r="G31" s="3183">
        <v>30</v>
      </c>
      <c r="H31" s="374">
        <f>LOOKUP(G31,91:91,92:92)-LOOKUP(C31,91:91,92:92)+100</f>
        <v>100</v>
      </c>
      <c r="I31" s="3183">
        <v>25</v>
      </c>
      <c r="J31" s="374">
        <f>LOOKUP(I31,91:91,92:92)-LOOKUP(C31,91:91,92:92)+100</f>
        <v>99</v>
      </c>
      <c r="K31" s="538"/>
      <c r="L31" s="2484"/>
      <c r="M31" s="2435"/>
      <c r="N31" s="2435"/>
      <c r="O31" s="2435"/>
      <c r="P31" s="3485"/>
      <c r="Q31" s="530" t="str">
        <f t="shared" si="11"/>
        <v>停车位面积</v>
      </c>
      <c r="R31" s="660" t="s">
        <v>14</v>
      </c>
      <c r="S31" s="661">
        <f t="shared" si="12"/>
        <v>99</v>
      </c>
      <c r="T31" s="660" t="s">
        <v>14</v>
      </c>
      <c r="U31" s="661">
        <f t="shared" si="13"/>
        <v>100</v>
      </c>
      <c r="V31" s="660" t="s">
        <v>14</v>
      </c>
      <c r="W31" s="661">
        <f t="shared" si="14"/>
        <v>99</v>
      </c>
      <c r="X31" s="662"/>
      <c r="Y31" s="3485"/>
      <c r="Z31" s="50" t="str">
        <f t="shared" si="15"/>
        <v>停车位面积</v>
      </c>
      <c r="AA31" s="50">
        <f t="shared" si="3"/>
        <v>1.0101010101010102</v>
      </c>
      <c r="AB31" s="50">
        <f t="shared" si="4"/>
        <v>1</v>
      </c>
      <c r="AC31" s="50">
        <f t="shared" si="5"/>
        <v>1.0101010101010102</v>
      </c>
    </row>
    <row r="32" spans="1:29" ht="15">
      <c r="A32" s="576"/>
      <c r="B32" s="119" t="s">
        <v>1842</v>
      </c>
      <c r="C32" s="399" t="s">
        <v>3578</v>
      </c>
      <c r="D32" s="374">
        <v>100</v>
      </c>
      <c r="E32" s="399" t="s">
        <v>3578</v>
      </c>
      <c r="F32" s="400">
        <f>SUMIF(93:93,E32,94:94)-SUMIF(93:93,C32,94:94)+100</f>
        <v>100</v>
      </c>
      <c r="G32" s="399" t="s">
        <v>3578</v>
      </c>
      <c r="H32" s="374">
        <f>SUMIF(93:93,G32,94:94)-SUMIF(93:93,C32,94:94)+100</f>
        <v>100</v>
      </c>
      <c r="I32" s="399" t="s">
        <v>3578</v>
      </c>
      <c r="J32" s="374">
        <f>SUMIF(93:93,I32,94:94)-SUMIF(93:93,C32,94:94)+100</f>
        <v>100</v>
      </c>
      <c r="K32" s="538">
        <v>2</v>
      </c>
      <c r="L32" s="2488"/>
      <c r="M32" s="2483"/>
      <c r="N32" s="2483"/>
      <c r="O32" s="2483"/>
      <c r="P32" s="3485" t="s">
        <v>1696</v>
      </c>
      <c r="Q32" s="1260" t="str">
        <f t="shared" si="11"/>
        <v>车位类型</v>
      </c>
      <c r="R32" s="663" t="s">
        <v>14</v>
      </c>
      <c r="S32" s="664">
        <f t="shared" si="12"/>
        <v>100</v>
      </c>
      <c r="T32" s="663" t="s">
        <v>14</v>
      </c>
      <c r="U32" s="664">
        <f t="shared" si="13"/>
        <v>100</v>
      </c>
      <c r="V32" s="663" t="s">
        <v>14</v>
      </c>
      <c r="W32" s="664">
        <f t="shared" si="14"/>
        <v>100</v>
      </c>
      <c r="X32" s="1262"/>
      <c r="Y32" s="3485" t="s">
        <v>1696</v>
      </c>
      <c r="Z32" s="1261" t="str">
        <f t="shared" si="15"/>
        <v>车位类型</v>
      </c>
      <c r="AA32" s="1261">
        <f t="shared" si="3"/>
        <v>1</v>
      </c>
      <c r="AB32" s="1261">
        <f t="shared" si="4"/>
        <v>1</v>
      </c>
      <c r="AC32" s="1261">
        <f t="shared" si="5"/>
        <v>1</v>
      </c>
    </row>
    <row r="33" spans="1:29" ht="15">
      <c r="A33" s="576"/>
      <c r="B33" s="119" t="s">
        <v>1843</v>
      </c>
      <c r="C33" s="399" t="s">
        <v>3579</v>
      </c>
      <c r="D33" s="374">
        <v>100</v>
      </c>
      <c r="E33" s="399" t="s">
        <v>3579</v>
      </c>
      <c r="F33" s="400">
        <f>SUMIF(95:95,E33,96:96)-SUMIF(95:95,C33,96:96)+100</f>
        <v>100</v>
      </c>
      <c r="G33" s="399" t="s">
        <v>3579</v>
      </c>
      <c r="H33" s="374">
        <f>SUMIF(95:95,G33,96:96)-SUMIF(95:95,C33,96:96)+100</f>
        <v>100</v>
      </c>
      <c r="I33" s="399" t="s">
        <v>3579</v>
      </c>
      <c r="J33" s="374">
        <f>SUMIF(95:95,I33,96:96)-SUMIF(95:95,C33,96:96)+100</f>
        <v>100</v>
      </c>
      <c r="K33" s="538">
        <v>2</v>
      </c>
      <c r="L33" s="2488"/>
      <c r="M33" s="2483"/>
      <c r="N33" s="2483"/>
      <c r="O33" s="2483"/>
      <c r="P33" s="3485"/>
      <c r="Q33" s="1260" t="str">
        <f t="shared" si="11"/>
        <v>是否直接入户</v>
      </c>
      <c r="R33" s="663" t="s">
        <v>14</v>
      </c>
      <c r="S33" s="664">
        <f t="shared" si="12"/>
        <v>100</v>
      </c>
      <c r="T33" s="663" t="s">
        <v>14</v>
      </c>
      <c r="U33" s="664">
        <f t="shared" si="13"/>
        <v>100</v>
      </c>
      <c r="V33" s="663" t="s">
        <v>14</v>
      </c>
      <c r="W33" s="664">
        <f t="shared" si="14"/>
        <v>100</v>
      </c>
      <c r="X33" s="1262"/>
      <c r="Y33" s="3485"/>
      <c r="Z33" s="1261" t="str">
        <f t="shared" si="15"/>
        <v>是否直接入户</v>
      </c>
      <c r="AA33" s="1261">
        <f t="shared" si="3"/>
        <v>1</v>
      </c>
      <c r="AB33" s="1261">
        <f t="shared" si="4"/>
        <v>1</v>
      </c>
      <c r="AC33" s="1261">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85"/>
      <c r="Q34" s="1260">
        <f t="shared" si="11"/>
        <v>111</v>
      </c>
      <c r="R34" s="663" t="s">
        <v>14</v>
      </c>
      <c r="S34" s="664">
        <f t="shared" si="12"/>
        <v>100</v>
      </c>
      <c r="T34" s="663" t="s">
        <v>14</v>
      </c>
      <c r="U34" s="664">
        <f t="shared" si="13"/>
        <v>100</v>
      </c>
      <c r="V34" s="663" t="s">
        <v>14</v>
      </c>
      <c r="W34" s="664">
        <f t="shared" si="14"/>
        <v>100</v>
      </c>
      <c r="X34" s="1262"/>
      <c r="Y34" s="3485"/>
      <c r="Z34" s="1261">
        <f t="shared" si="15"/>
        <v>111</v>
      </c>
      <c r="AA34" s="1261">
        <f t="shared" si="3"/>
        <v>1</v>
      </c>
      <c r="AB34" s="1261">
        <f t="shared" si="4"/>
        <v>1</v>
      </c>
      <c r="AC34" s="1261">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85"/>
      <c r="Q35" s="531">
        <f t="shared" si="11"/>
        <v>111</v>
      </c>
      <c r="R35" s="665" t="s">
        <v>14</v>
      </c>
      <c r="S35" s="666">
        <f t="shared" si="12"/>
        <v>100</v>
      </c>
      <c r="T35" s="665" t="s">
        <v>14</v>
      </c>
      <c r="U35" s="666">
        <f t="shared" si="13"/>
        <v>100</v>
      </c>
      <c r="V35" s="665" t="s">
        <v>14</v>
      </c>
      <c r="W35" s="666">
        <f t="shared" si="14"/>
        <v>100</v>
      </c>
      <c r="X35" s="667"/>
      <c r="Y35" s="3485"/>
      <c r="Z35" s="668">
        <f t="shared" si="15"/>
        <v>111</v>
      </c>
      <c r="AA35" s="1261">
        <f t="shared" si="3"/>
        <v>1</v>
      </c>
      <c r="AB35" s="1261">
        <f t="shared" si="4"/>
        <v>1</v>
      </c>
      <c r="AC35" s="1261">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85"/>
      <c r="Q36" s="1260">
        <f t="shared" si="11"/>
        <v>111</v>
      </c>
      <c r="R36" s="663" t="s">
        <v>14</v>
      </c>
      <c r="S36" s="664">
        <f t="shared" si="12"/>
        <v>100</v>
      </c>
      <c r="T36" s="663" t="s">
        <v>14</v>
      </c>
      <c r="U36" s="664">
        <f t="shared" si="13"/>
        <v>100</v>
      </c>
      <c r="V36" s="663" t="s">
        <v>14</v>
      </c>
      <c r="W36" s="664">
        <f t="shared" si="14"/>
        <v>100</v>
      </c>
      <c r="X36" s="1262"/>
      <c r="Y36" s="3485"/>
      <c r="Z36" s="1261">
        <f t="shared" si="15"/>
        <v>111</v>
      </c>
      <c r="AA36" s="1261">
        <f t="shared" si="3"/>
        <v>1</v>
      </c>
      <c r="AB36" s="1261">
        <f t="shared" si="4"/>
        <v>1</v>
      </c>
      <c r="AC36" s="1261">
        <f t="shared" si="5"/>
        <v>1</v>
      </c>
    </row>
    <row r="37" spans="1:29" ht="15">
      <c r="A37" s="416" t="s">
        <v>1844</v>
      </c>
      <c r="B37" s="1818" t="s">
        <v>3353</v>
      </c>
      <c r="C37" s="1078" t="s">
        <v>0</v>
      </c>
      <c r="D37" s="418"/>
      <c r="E37" s="419">
        <v>360</v>
      </c>
      <c r="F37" s="420"/>
      <c r="G37" s="421">
        <v>380</v>
      </c>
      <c r="H37" s="422"/>
      <c r="I37" s="419">
        <v>350</v>
      </c>
      <c r="J37" s="422"/>
      <c r="K37" s="544"/>
      <c r="L37" s="2490"/>
      <c r="M37" s="2483"/>
      <c r="N37" s="2483"/>
      <c r="O37" s="2483"/>
      <c r="P37" s="3478" t="str">
        <f>A37</f>
        <v>成交单价</v>
      </c>
      <c r="Q37" s="3478"/>
      <c r="R37" s="3479">
        <f>E37</f>
        <v>360</v>
      </c>
      <c r="S37" s="3479"/>
      <c r="T37" s="3479">
        <f>G37</f>
        <v>380</v>
      </c>
      <c r="U37" s="3479"/>
      <c r="V37" s="3479">
        <f>I37</f>
        <v>350</v>
      </c>
      <c r="W37" s="3479"/>
      <c r="X37" s="385"/>
      <c r="Y37" s="669"/>
      <c r="Z37" s="385"/>
      <c r="AA37" s="385"/>
      <c r="AB37" s="385"/>
      <c r="AC37" s="385"/>
    </row>
    <row r="38" spans="1:29" ht="15.75" thickBot="1">
      <c r="A38" s="423" t="s">
        <v>1845</v>
      </c>
      <c r="B38" s="424" t="str">
        <f>B37</f>
        <v>元/平方米</v>
      </c>
      <c r="C38" s="1079">
        <f>R39</f>
        <v>359</v>
      </c>
      <c r="D38" s="2138" t="s">
        <v>2135</v>
      </c>
      <c r="E38" s="1080">
        <f>R38</f>
        <v>364</v>
      </c>
      <c r="F38" s="2139"/>
      <c r="G38" s="1079">
        <f>T38</f>
        <v>376</v>
      </c>
      <c r="H38" s="2139"/>
      <c r="I38" s="1080">
        <f>V38</f>
        <v>337</v>
      </c>
      <c r="J38" s="2139"/>
      <c r="K38" s="2141">
        <f>F38+H38+J38</f>
        <v>0</v>
      </c>
      <c r="L38" s="2490"/>
      <c r="M38" s="2483"/>
      <c r="N38" s="2483"/>
      <c r="O38" s="2483"/>
      <c r="P38" s="3478" t="str">
        <f>A38</f>
        <v>比较价值（元/平方米）</v>
      </c>
      <c r="Q38" s="3478"/>
      <c r="R38" s="3479">
        <f>IF(F1="售价",ROUND(PRODUCT(R37,AA7:AA36),0),ROUND(PRODUCT(R37,AA7:AA36),1))</f>
        <v>364</v>
      </c>
      <c r="S38" s="3479"/>
      <c r="T38" s="3479">
        <f>IF(F1="售价",ROUND(PRODUCT(T37,AB7:AB36),0),ROUND(PRODUCT(T37,AB7:AB36),1))</f>
        <v>376</v>
      </c>
      <c r="U38" s="3479"/>
      <c r="V38" s="3479">
        <f>IF(F1="售价",ROUND(PRODUCT(V37,AC7:AC36),0),ROUND(PRODUCT(V37,AC7:AC36),1))</f>
        <v>337</v>
      </c>
      <c r="W38" s="3479"/>
      <c r="X38" s="385"/>
      <c r="Y38" s="385"/>
      <c r="Z38" s="385"/>
      <c r="AA38" s="385"/>
      <c r="AB38" s="385"/>
      <c r="AC38" s="385"/>
    </row>
    <row r="39" spans="1:29" ht="15.75" thickBot="1">
      <c r="A39" s="427" t="s">
        <v>1846</v>
      </c>
      <c r="B39" s="428"/>
      <c r="C39" s="351">
        <f>R39</f>
        <v>359</v>
      </c>
      <c r="D39" s="351"/>
      <c r="E39" s="351"/>
      <c r="F39" s="351"/>
      <c r="G39" s="351"/>
      <c r="H39" s="351"/>
      <c r="I39" s="351"/>
      <c r="J39" s="351"/>
      <c r="K39" s="545"/>
      <c r="L39" s="2490"/>
      <c r="M39" s="2483"/>
      <c r="N39" s="2483"/>
      <c r="O39" s="2483"/>
      <c r="P39" s="3475" t="str">
        <f>A39</f>
        <v>估价对象XX用房的比较价值（楼面单价，元/平方米）</v>
      </c>
      <c r="Q39" s="3476"/>
      <c r="R39" s="3544">
        <f>IF(F1="售价",ROUND(IF(D38="简单平均",AVERAGE(R38:W38),R38*F38+T38*H38+V38*J38),0),ROUND(IF(D38="简单平均",AVERAGE(R38:V38),R38*F38+T38*H38+V38*J38),1))</f>
        <v>359</v>
      </c>
      <c r="S39" s="3544"/>
      <c r="T39" s="3544"/>
      <c r="U39" s="3544"/>
      <c r="V39" s="3544"/>
      <c r="W39" s="3544"/>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f>IF(E37&lt;E38,E38/E37-1,E37/E38-1)</f>
        <v>1.1111111111111072E-2</v>
      </c>
      <c r="F42" s="435" t="str">
        <f>IF(OR(E42&gt;=0.3,E42&lt;=-0.3),"超过30%","")</f>
        <v/>
      </c>
      <c r="G42" s="434">
        <f>IF(G37&lt;G38,G38/G37-1,G37/G38-1)</f>
        <v>1.0638297872340496E-2</v>
      </c>
      <c r="H42" s="435" t="str">
        <f>IF(OR(G42&gt;=0.3,G42&lt;=-0.3),"超过30%","")</f>
        <v/>
      </c>
      <c r="I42" s="434">
        <f>IF(I37&lt;I38,I38/I37-1,I37/I38-1)</f>
        <v>3.8575667655786461E-2</v>
      </c>
      <c r="J42" s="435"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f>IF(E38&lt;G38,G38/E38-1,E38/G38-1)</f>
        <v>3.2967032967033072E-2</v>
      </c>
      <c r="F43" s="435" t="str">
        <f>IF(OR(E43&gt;=0.2,E43&lt;=-0.2),"超过20%","")</f>
        <v/>
      </c>
      <c r="G43" s="434">
        <f>IF(G38&lt;I38,I38/G38-1,G38/I38-1)</f>
        <v>0.11572700296735916</v>
      </c>
      <c r="H43" s="435" t="str">
        <f>IF(OR(G43&gt;=0.2,G43&lt;=-0.2),"超过20%","")</f>
        <v/>
      </c>
      <c r="I43" s="434">
        <f>IF(I38&lt;E38,E38/I38-1,I38/E38-1)</f>
        <v>8.0118694362017795E-2</v>
      </c>
      <c r="J43" s="435"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f>IF(E37&lt;G37,G37/E37-1,E37/G37-1)</f>
        <v>5.555555555555558E-2</v>
      </c>
      <c r="F44" s="435" t="str">
        <f>IF(OR(E44&gt;=0.3,E44&lt;=-0.3),"超过30%","")</f>
        <v/>
      </c>
      <c r="G44" s="434">
        <f>IF(G37&lt;I37,I37/G37-1,G37/I37-1)</f>
        <v>8.5714285714285632E-2</v>
      </c>
      <c r="H44" s="435" t="str">
        <f>IF(OR(G44&gt;=0.3,G44&lt;=-0.3),"超过30%","")</f>
        <v/>
      </c>
      <c r="I44" s="434">
        <f>IF(I37&lt;E37,E37/I37-1,I37/E37-1)</f>
        <v>2.857142857142847E-2</v>
      </c>
      <c r="J44" s="435"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7"/>
      <c r="C47" s="882"/>
      <c r="D47" s="882"/>
      <c r="E47" s="882"/>
      <c r="F47" s="1085"/>
      <c r="G47" s="1085"/>
      <c r="H47" s="882"/>
      <c r="I47" s="882"/>
      <c r="J47" s="882"/>
      <c r="K47" s="883"/>
      <c r="L47" s="884"/>
      <c r="M47" s="882"/>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0" t="str">
        <f>YEAR(C7)&amp;"-"&amp;MONTH(C7)</f>
        <v>2023-10</v>
      </c>
      <c r="D48" s="1101">
        <f>EDATE(C48,-1)</f>
        <v>45170</v>
      </c>
      <c r="E48" s="1101">
        <f t="shared" ref="E48:O48" si="16">EDATE(D48,-1)</f>
        <v>45139</v>
      </c>
      <c r="F48" s="1101">
        <f t="shared" si="16"/>
        <v>45108</v>
      </c>
      <c r="G48" s="1101">
        <f t="shared" si="16"/>
        <v>45078</v>
      </c>
      <c r="H48" s="1101">
        <f t="shared" si="16"/>
        <v>45047</v>
      </c>
      <c r="I48" s="1101">
        <f t="shared" si="16"/>
        <v>45017</v>
      </c>
      <c r="J48" s="1101">
        <f t="shared" si="16"/>
        <v>44986</v>
      </c>
      <c r="K48" s="1101">
        <f t="shared" si="16"/>
        <v>44958</v>
      </c>
      <c r="L48" s="1101">
        <f t="shared" si="16"/>
        <v>44927</v>
      </c>
      <c r="M48" s="1101">
        <f t="shared" si="16"/>
        <v>44896</v>
      </c>
      <c r="N48" s="1101">
        <f t="shared" si="16"/>
        <v>44866</v>
      </c>
      <c r="O48" s="1101">
        <f t="shared" si="16"/>
        <v>44835</v>
      </c>
      <c r="P48" s="2523"/>
      <c r="Q48" s="2506"/>
      <c r="R48" s="2506"/>
      <c r="S48" s="2506"/>
      <c r="T48" s="2506"/>
      <c r="U48" s="2506"/>
      <c r="V48" s="2506"/>
      <c r="W48" s="2506"/>
      <c r="X48" s="2506"/>
      <c r="Y48" s="2506"/>
      <c r="Z48" s="2506"/>
      <c r="AA48" s="2506"/>
      <c r="AB48" s="2506"/>
      <c r="AC48" s="2506"/>
    </row>
    <row r="49" spans="1:29" s="102" customFormat="1" ht="15">
      <c r="A49" s="443"/>
      <c r="B49" s="444"/>
      <c r="C49" s="1094">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2">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1719</v>
      </c>
      <c r="B53" s="460" t="s">
        <v>1685</v>
      </c>
      <c r="C53" s="461" t="str">
        <f>C9</f>
        <v>车库</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0">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98</v>
      </c>
      <c r="E64" s="475">
        <f>D64-$K14</f>
        <v>96</v>
      </c>
      <c r="F64" s="475">
        <f>E64-$K14</f>
        <v>94</v>
      </c>
      <c r="G64" s="475">
        <f>F64-$K14</f>
        <v>92</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98</v>
      </c>
      <c r="E66" s="475">
        <f>D66-$K16</f>
        <v>96</v>
      </c>
      <c r="F66" s="475">
        <f>E66-$K16</f>
        <v>94</v>
      </c>
      <c r="G66" s="475">
        <f>F66-$K16</f>
        <v>92</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0" t="s">
        <v>1799</v>
      </c>
      <c r="D67" s="580" t="s">
        <v>1800</v>
      </c>
      <c r="E67" s="580" t="s">
        <v>1801</v>
      </c>
      <c r="F67" s="580" t="s">
        <v>1802</v>
      </c>
      <c r="G67" s="580" t="s">
        <v>1803</v>
      </c>
      <c r="H67" s="470"/>
      <c r="I67" s="470"/>
      <c r="J67" s="470"/>
      <c r="K67" s="470"/>
      <c r="L67" s="470"/>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99</v>
      </c>
      <c r="E68" s="475">
        <f>D68-$K18</f>
        <v>98</v>
      </c>
      <c r="F68" s="475">
        <f>E68-$K18</f>
        <v>97</v>
      </c>
      <c r="G68" s="475">
        <f>F68-$K18</f>
        <v>96</v>
      </c>
      <c r="H68" s="580"/>
      <c r="I68" s="580"/>
      <c r="J68" s="580"/>
      <c r="K68" s="580"/>
      <c r="L68" s="580"/>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98</v>
      </c>
      <c r="E70" s="475">
        <f>D70-$K20</f>
        <v>96</v>
      </c>
      <c r="F70" s="475">
        <f>E70-$K20</f>
        <v>94</v>
      </c>
      <c r="G70" s="475">
        <f>F70-$K20</f>
        <v>92</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3148" t="s">
        <v>3568</v>
      </c>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3148" t="s">
        <v>3569</v>
      </c>
      <c r="D83" s="3148" t="s">
        <v>3570</v>
      </c>
      <c r="E83" s="3148" t="s">
        <v>3571</v>
      </c>
      <c r="F83" s="3149" t="s">
        <v>3572</v>
      </c>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3147" t="s">
        <v>3573</v>
      </c>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0(含)-20</v>
      </c>
      <c r="D90" s="509" t="str">
        <f t="shared" ref="D90:L90" si="21">D91&amp;"(含)"&amp;"-"&amp;E91</f>
        <v>20(含)-30</v>
      </c>
      <c r="E90" s="509" t="str">
        <f t="shared" si="21"/>
        <v>30(含)-40</v>
      </c>
      <c r="F90" s="509" t="str">
        <f t="shared" si="21"/>
        <v>40(含)-50</v>
      </c>
      <c r="G90" s="509" t="str">
        <f t="shared" si="21"/>
        <v>50(含)-60</v>
      </c>
      <c r="H90" s="509" t="str">
        <f t="shared" si="21"/>
        <v>60(含)-70</v>
      </c>
      <c r="I90" s="509" t="str">
        <f t="shared" si="21"/>
        <v>70(含)-</v>
      </c>
      <c r="J90" s="509" t="str">
        <f t="shared" si="21"/>
        <v>(含)-</v>
      </c>
      <c r="K90" s="509" t="str">
        <f t="shared" si="21"/>
        <v>(含)-</v>
      </c>
      <c r="L90" s="509"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v>0</v>
      </c>
      <c r="D91" s="6">
        <v>20</v>
      </c>
      <c r="E91" s="6">
        <v>30</v>
      </c>
      <c r="F91" s="6">
        <v>40</v>
      </c>
      <c r="G91" s="6">
        <v>50</v>
      </c>
      <c r="H91" s="6">
        <v>60</v>
      </c>
      <c r="I91" s="6">
        <v>70</v>
      </c>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v>100</v>
      </c>
      <c r="D92" s="467">
        <f>C92+1</f>
        <v>101</v>
      </c>
      <c r="E92" s="467">
        <f t="shared" ref="E92:I92" si="22">D92+1</f>
        <v>102</v>
      </c>
      <c r="F92" s="467">
        <f t="shared" si="22"/>
        <v>103</v>
      </c>
      <c r="G92" s="467">
        <f t="shared" si="22"/>
        <v>104</v>
      </c>
      <c r="H92" s="467">
        <f t="shared" si="22"/>
        <v>105</v>
      </c>
      <c r="I92" s="467">
        <f t="shared" si="22"/>
        <v>106</v>
      </c>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3148" t="s">
        <v>3574</v>
      </c>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3147" t="s">
        <v>3575</v>
      </c>
      <c r="D95" s="3147" t="s">
        <v>3576</v>
      </c>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98</v>
      </c>
      <c r="E96" s="475">
        <f>D96-$K33</f>
        <v>96</v>
      </c>
      <c r="F96" s="475">
        <f>E96-$K33</f>
        <v>94</v>
      </c>
      <c r="G96" s="475">
        <f>F96-$K33</f>
        <v>92</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59">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7"/>
      <c r="E1" s="647"/>
      <c r="F1" s="646" t="s">
        <v>1767</v>
      </c>
      <c r="G1" s="647"/>
      <c r="H1" s="647"/>
      <c r="I1" s="647"/>
      <c r="J1" s="647"/>
      <c r="K1" s="648"/>
      <c r="L1" s="649"/>
      <c r="M1" s="650"/>
      <c r="N1" s="650"/>
      <c r="O1" s="650"/>
      <c r="P1" s="341"/>
      <c r="Q1" s="341"/>
      <c r="R1" s="341"/>
      <c r="S1" s="341"/>
      <c r="T1" s="341"/>
      <c r="U1" s="341"/>
      <c r="V1" s="341"/>
      <c r="W1" s="341"/>
      <c r="X1" s="341"/>
      <c r="Y1" s="341"/>
      <c r="Z1" s="341"/>
      <c r="AA1" s="341"/>
      <c r="AB1" s="341"/>
      <c r="AC1" s="659"/>
    </row>
    <row r="2" spans="1:29" s="342" customFormat="1" ht="28.5" customHeight="1">
      <c r="A2" s="193" t="s">
        <v>1462</v>
      </c>
      <c r="B2" s="590" t="e">
        <f>F65</f>
        <v>#DIV/0!</v>
      </c>
      <c r="C2" s="850"/>
      <c r="D2" s="850"/>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t="e">
        <f>ROUND(IF(D3="",B2*10000/'数据-汇总表'!E3,B2*10000/D3),0)</f>
        <v>#DIV/0!</v>
      </c>
      <c r="C3" s="195" t="s">
        <v>1869</v>
      </c>
      <c r="D3" s="1108"/>
      <c r="E3" s="851"/>
      <c r="F3" s="852"/>
      <c r="G3" s="851"/>
      <c r="H3" s="851"/>
      <c r="I3" s="851"/>
      <c r="J3" s="851"/>
      <c r="K3" s="853"/>
      <c r="L3" s="2499"/>
      <c r="M3" s="2500"/>
      <c r="N3" s="2500"/>
      <c r="O3" s="2500"/>
      <c r="P3" s="341"/>
      <c r="Q3" s="341"/>
      <c r="R3" s="341"/>
      <c r="S3" s="341"/>
      <c r="T3" s="341"/>
      <c r="U3" s="341"/>
      <c r="V3" s="341"/>
      <c r="W3" s="341"/>
      <c r="X3" s="341"/>
      <c r="Y3" s="341"/>
      <c r="Z3" s="341"/>
      <c r="AA3" s="341"/>
      <c r="AB3" s="672"/>
      <c r="AC3" s="659"/>
    </row>
    <row r="4" spans="1:29" ht="15">
      <c r="A4" s="345" t="s">
        <v>1769</v>
      </c>
      <c r="B4" s="346"/>
      <c r="C4" s="3493" t="s">
        <v>1770</v>
      </c>
      <c r="D4" s="3494"/>
      <c r="E4" s="3495" t="s">
        <v>1771</v>
      </c>
      <c r="F4" s="3496"/>
      <c r="G4" s="3493" t="s">
        <v>1772</v>
      </c>
      <c r="H4" s="3494"/>
      <c r="I4" s="3493" t="s">
        <v>1773</v>
      </c>
      <c r="J4" s="3494"/>
      <c r="K4" s="537" t="s">
        <v>1774</v>
      </c>
      <c r="L4" s="2482"/>
      <c r="M4" s="2483"/>
      <c r="N4" s="2483"/>
      <c r="O4" s="2483"/>
      <c r="P4" s="3497" t="s">
        <v>1775</v>
      </c>
      <c r="Q4" s="3498"/>
      <c r="R4" s="3503" t="s">
        <v>1771</v>
      </c>
      <c r="S4" s="3504"/>
      <c r="T4" s="3503" t="s">
        <v>1772</v>
      </c>
      <c r="U4" s="3504"/>
      <c r="V4" s="3479" t="s">
        <v>1773</v>
      </c>
      <c r="W4" s="3479"/>
      <c r="X4" s="1262"/>
      <c r="Y4" s="3503" t="s">
        <v>1775</v>
      </c>
      <c r="Z4" s="3504"/>
      <c r="AA4" s="3490" t="s">
        <v>1771</v>
      </c>
      <c r="AB4" s="3491" t="s">
        <v>1772</v>
      </c>
      <c r="AC4" s="3490" t="s">
        <v>1773</v>
      </c>
    </row>
    <row r="5" spans="1:29" ht="15">
      <c r="A5" s="348"/>
      <c r="B5" s="349"/>
      <c r="C5" s="3511" t="s">
        <v>1673</v>
      </c>
      <c r="D5" s="3512"/>
      <c r="E5" s="3518" t="s">
        <v>1674</v>
      </c>
      <c r="F5" s="3519"/>
      <c r="G5" s="3511" t="s">
        <v>1675</v>
      </c>
      <c r="H5" s="3512"/>
      <c r="I5" s="3511" t="s">
        <v>1676</v>
      </c>
      <c r="J5" s="3512"/>
      <c r="K5" s="537"/>
      <c r="L5" s="2482"/>
      <c r="M5" s="2483"/>
      <c r="N5" s="2483"/>
      <c r="O5" s="2483"/>
      <c r="P5" s="3499"/>
      <c r="Q5" s="3500"/>
      <c r="R5" s="3505"/>
      <c r="S5" s="3506"/>
      <c r="T5" s="3505"/>
      <c r="U5" s="3506"/>
      <c r="V5" s="3479"/>
      <c r="W5" s="3479"/>
      <c r="X5" s="1262"/>
      <c r="Y5" s="3505"/>
      <c r="Z5" s="3506"/>
      <c r="AA5" s="3491"/>
      <c r="AB5" s="3491"/>
      <c r="AC5" s="3491"/>
    </row>
    <row r="6" spans="1:29" ht="15.75" thickBot="1">
      <c r="A6" s="350"/>
      <c r="B6" s="351"/>
      <c r="C6" s="3509" t="s">
        <v>1677</v>
      </c>
      <c r="D6" s="3510"/>
      <c r="E6" s="3516" t="s">
        <v>1677</v>
      </c>
      <c r="F6" s="3517"/>
      <c r="G6" s="3509" t="s">
        <v>1677</v>
      </c>
      <c r="H6" s="3510"/>
      <c r="I6" s="3509" t="s">
        <v>1677</v>
      </c>
      <c r="J6" s="3510"/>
      <c r="K6" s="537" t="s">
        <v>1678</v>
      </c>
      <c r="L6" s="2482"/>
      <c r="M6" s="2483"/>
      <c r="N6" s="2483"/>
      <c r="O6" s="2483"/>
      <c r="P6" s="3501"/>
      <c r="Q6" s="3502"/>
      <c r="R6" s="3505"/>
      <c r="S6" s="3506"/>
      <c r="T6" s="3507"/>
      <c r="U6" s="3508"/>
      <c r="V6" s="3479"/>
      <c r="W6" s="3479"/>
      <c r="X6" s="1262"/>
      <c r="Y6" s="3507"/>
      <c r="Z6" s="3508"/>
      <c r="AA6" s="3492"/>
      <c r="AB6" s="3492"/>
      <c r="AC6" s="3492"/>
    </row>
    <row r="7" spans="1:29" s="102" customFormat="1" ht="15.75" thickBot="1">
      <c r="A7" s="352" t="s">
        <v>1679</v>
      </c>
      <c r="B7" s="353"/>
      <c r="C7" s="354">
        <f>'数据-取费表'!B2</f>
        <v>45215</v>
      </c>
      <c r="D7" s="355">
        <v>100</v>
      </c>
      <c r="E7" s="356"/>
      <c r="F7" s="357">
        <f>SUMIF(69:69,YEAR(E7)&amp;"-"&amp;INT((MONTH(E7)+2)/3),70:70)</f>
        <v>0</v>
      </c>
      <c r="G7" s="1819"/>
      <c r="H7" s="355">
        <f>SUMIF(69:69,YEAR(G7)&amp;"-"&amp;INT((MONTH(G7)+2)/3),70:70)</f>
        <v>0</v>
      </c>
      <c r="I7" s="1819"/>
      <c r="J7" s="355">
        <f>SUMIF(69:69,YEAR(I7)&amp;"-"&amp;INT((MONTH(I7)+2)/3),70:70)</f>
        <v>0</v>
      </c>
      <c r="K7" s="38"/>
      <c r="L7" s="2484"/>
      <c r="M7" s="2435"/>
      <c r="N7" s="2435"/>
      <c r="O7" s="2435"/>
      <c r="P7" s="3513" t="s">
        <v>1680</v>
      </c>
      <c r="Q7" s="3515"/>
      <c r="R7" s="660" t="s">
        <v>14</v>
      </c>
      <c r="S7" s="661">
        <f t="shared" ref="S7:S15" si="0">F7</f>
        <v>0</v>
      </c>
      <c r="T7" s="660" t="s">
        <v>14</v>
      </c>
      <c r="U7" s="661">
        <f t="shared" ref="U7:U15" si="1">H7</f>
        <v>0</v>
      </c>
      <c r="V7" s="660" t="s">
        <v>14</v>
      </c>
      <c r="W7" s="661">
        <f t="shared" ref="W7:W15" si="2">J7</f>
        <v>0</v>
      </c>
      <c r="X7" s="662"/>
      <c r="Y7" s="3513" t="s">
        <v>1680</v>
      </c>
      <c r="Z7" s="35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513" t="s">
        <v>1683</v>
      </c>
      <c r="Q8" s="3514"/>
      <c r="R8" s="660" t="s">
        <v>14</v>
      </c>
      <c r="S8" s="661">
        <f t="shared" si="0"/>
        <v>0</v>
      </c>
      <c r="T8" s="660" t="s">
        <v>14</v>
      </c>
      <c r="U8" s="661">
        <f t="shared" si="1"/>
        <v>0</v>
      </c>
      <c r="V8" s="660" t="s">
        <v>14</v>
      </c>
      <c r="W8" s="661">
        <f t="shared" si="2"/>
        <v>0</v>
      </c>
      <c r="X8" s="662"/>
      <c r="Y8" s="3513" t="s">
        <v>1683</v>
      </c>
      <c r="Z8" s="3514"/>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4"/>
      <c r="M9" s="2435"/>
      <c r="N9" s="2435"/>
      <c r="O9" s="2536"/>
      <c r="P9" s="3478" t="s">
        <v>1686</v>
      </c>
      <c r="Q9" s="530" t="str">
        <f t="shared" ref="Q9:Q15" si="6">B9</f>
        <v>用途</v>
      </c>
      <c r="R9" s="660" t="s">
        <v>14</v>
      </c>
      <c r="S9" s="661">
        <f t="shared" si="0"/>
        <v>100</v>
      </c>
      <c r="T9" s="660" t="s">
        <v>14</v>
      </c>
      <c r="U9" s="661">
        <f t="shared" si="1"/>
        <v>100</v>
      </c>
      <c r="V9" s="660" t="s">
        <v>14</v>
      </c>
      <c r="W9" s="661">
        <f t="shared" si="2"/>
        <v>100</v>
      </c>
      <c r="X9" s="662"/>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5"/>
      <c r="M10" s="2486"/>
      <c r="N10" s="2486"/>
      <c r="O10" s="2537"/>
      <c r="P10" s="3478"/>
      <c r="Q10" s="530" t="str">
        <f t="shared" si="6"/>
        <v>土地使用年限（年）</v>
      </c>
      <c r="R10" s="660" t="s">
        <v>14</v>
      </c>
      <c r="S10" s="661" t="e">
        <f t="shared" si="0"/>
        <v>#DIV/0!</v>
      </c>
      <c r="T10" s="660" t="s">
        <v>14</v>
      </c>
      <c r="U10" s="661" t="e">
        <f t="shared" si="1"/>
        <v>#DIV/0!</v>
      </c>
      <c r="V10" s="660" t="s">
        <v>14</v>
      </c>
      <c r="W10" s="661" t="e">
        <f t="shared" si="2"/>
        <v>#DIV/0!</v>
      </c>
      <c r="X10" s="662"/>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7"/>
      <c r="M11" s="2483"/>
      <c r="N11" s="2483"/>
      <c r="O11" s="2538"/>
      <c r="P11" s="3478"/>
      <c r="Q11" s="530" t="str">
        <f t="shared" si="6"/>
        <v>容积率</v>
      </c>
      <c r="R11" s="660" t="s">
        <v>14</v>
      </c>
      <c r="S11" s="661" t="e">
        <f t="shared" si="0"/>
        <v>#N/A</v>
      </c>
      <c r="T11" s="660" t="s">
        <v>14</v>
      </c>
      <c r="U11" s="661" t="e">
        <f t="shared" si="1"/>
        <v>#N/A</v>
      </c>
      <c r="V11" s="660" t="s">
        <v>14</v>
      </c>
      <c r="W11" s="661" t="e">
        <f t="shared" si="2"/>
        <v>#N/A</v>
      </c>
      <c r="X11" s="662"/>
      <c r="Y11" s="33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4"/>
      <c r="M12" s="2435"/>
      <c r="N12" s="2435"/>
      <c r="O12" s="2536"/>
      <c r="P12" s="3478"/>
      <c r="Q12" s="530" t="str">
        <f t="shared" si="6"/>
        <v>配建</v>
      </c>
      <c r="R12" s="660" t="s">
        <v>14</v>
      </c>
      <c r="S12" s="661">
        <f t="shared" si="0"/>
        <v>100</v>
      </c>
      <c r="T12" s="660" t="s">
        <v>14</v>
      </c>
      <c r="U12" s="661">
        <f t="shared" si="1"/>
        <v>100</v>
      </c>
      <c r="V12" s="660" t="s">
        <v>14</v>
      </c>
      <c r="W12" s="661">
        <f t="shared" si="2"/>
        <v>100</v>
      </c>
      <c r="X12" s="662"/>
      <c r="Y12" s="33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8"/>
      <c r="M13" s="2483"/>
      <c r="N13" s="2483"/>
      <c r="O13" s="2538"/>
      <c r="P13" s="3478"/>
      <c r="Q13" s="530">
        <f t="shared" si="6"/>
        <v>111</v>
      </c>
      <c r="R13" s="660" t="s">
        <v>14</v>
      </c>
      <c r="S13" s="661">
        <f t="shared" si="0"/>
        <v>100</v>
      </c>
      <c r="T13" s="660" t="s">
        <v>14</v>
      </c>
      <c r="U13" s="661">
        <f t="shared" si="1"/>
        <v>100</v>
      </c>
      <c r="V13" s="660" t="s">
        <v>14</v>
      </c>
      <c r="W13" s="661">
        <f t="shared" si="2"/>
        <v>100</v>
      </c>
      <c r="X13" s="662"/>
      <c r="Y13" s="3353"/>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3"/>
      <c r="H14" s="377">
        <f>SUMIF(85:85,G14,86:86)-SUMIF(85:85,C14,86:86)+100</f>
        <v>100</v>
      </c>
      <c r="I14" s="593"/>
      <c r="J14" s="377">
        <f>SUMIF(85:85,I14,86:86)-SUMIF(85:85,C14,86:86)+100</f>
        <v>100</v>
      </c>
      <c r="K14" s="591"/>
      <c r="L14" s="2488"/>
      <c r="M14" s="2483"/>
      <c r="N14" s="2483"/>
      <c r="O14" s="2538"/>
      <c r="P14" s="3478"/>
      <c r="Q14" s="530">
        <f t="shared" si="6"/>
        <v>111</v>
      </c>
      <c r="R14" s="660" t="s">
        <v>14</v>
      </c>
      <c r="S14" s="661">
        <f t="shared" si="0"/>
        <v>100</v>
      </c>
      <c r="T14" s="660" t="s">
        <v>14</v>
      </c>
      <c r="U14" s="661">
        <f t="shared" si="1"/>
        <v>100</v>
      </c>
      <c r="V14" s="660" t="s">
        <v>14</v>
      </c>
      <c r="W14" s="661">
        <f t="shared" si="2"/>
        <v>100</v>
      </c>
      <c r="X14" s="662"/>
      <c r="Y14" s="3353"/>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8"/>
      <c r="M15" s="2483"/>
      <c r="N15" s="2483"/>
      <c r="O15" s="2538"/>
      <c r="P15" s="3480" t="s">
        <v>1691</v>
      </c>
      <c r="Q15" s="1260" t="str">
        <f t="shared" si="6"/>
        <v>居住社区成熟度</v>
      </c>
      <c r="R15" s="663" t="s">
        <v>14</v>
      </c>
      <c r="S15" s="664">
        <f t="shared" si="0"/>
        <v>100</v>
      </c>
      <c r="T15" s="663" t="s">
        <v>14</v>
      </c>
      <c r="U15" s="664">
        <f t="shared" si="1"/>
        <v>100</v>
      </c>
      <c r="V15" s="663" t="s">
        <v>14</v>
      </c>
      <c r="W15" s="664">
        <f t="shared" si="2"/>
        <v>100</v>
      </c>
      <c r="X15" s="1262"/>
      <c r="Y15" s="3480"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1"/>
      <c r="L16" s="2488"/>
      <c r="M16" s="2483"/>
      <c r="N16" s="2483"/>
      <c r="O16" s="2538"/>
      <c r="P16" s="3481"/>
      <c r="Q16" s="1260"/>
      <c r="R16" s="663"/>
      <c r="S16" s="664"/>
      <c r="T16" s="663"/>
      <c r="U16" s="664"/>
      <c r="V16" s="663"/>
      <c r="W16" s="664"/>
      <c r="X16" s="1262"/>
      <c r="Y16" s="3481"/>
      <c r="Z16" s="1261"/>
      <c r="AA16" s="1261">
        <v>1</v>
      </c>
      <c r="AB16" s="1261">
        <v>1</v>
      </c>
      <c r="AC16" s="1261">
        <v>1</v>
      </c>
    </row>
    <row r="17" spans="1:29" ht="99.75">
      <c r="A17" s="367"/>
      <c r="B17" s="390" t="s">
        <v>1777</v>
      </c>
      <c r="C17" s="1803" t="str">
        <f>估价对象房地状况!C16</f>
        <v>估价对象位于丁各庄，为住宅配套项目，周边商业氛围成熟度较差，人流量较小，商业繁华度较差</v>
      </c>
      <c r="D17" s="389">
        <v>100</v>
      </c>
      <c r="E17" s="391"/>
      <c r="F17" s="389">
        <f>SUMIF(89:89,E18,90:90)-SUMIF(89:89,C18,90:90)+100</f>
        <v>100</v>
      </c>
      <c r="G17" s="391"/>
      <c r="H17" s="394">
        <f>SUMIF(89:89,G18,90:90)-SUMIF(89:89,C18,90:90)+100</f>
        <v>100</v>
      </c>
      <c r="I17" s="393"/>
      <c r="J17" s="394">
        <f>SUMIF(89:89,I18,90:90)-SUMIF(89:89,C18,90:90)+100</f>
        <v>100</v>
      </c>
      <c r="K17" s="592"/>
      <c r="L17" s="2488"/>
      <c r="M17" s="2483"/>
      <c r="N17" s="2483"/>
      <c r="O17" s="2538"/>
      <c r="P17" s="3481"/>
      <c r="Q17" s="1260" t="str">
        <f>B17</f>
        <v>商业繁华度</v>
      </c>
      <c r="R17" s="663" t="s">
        <v>14</v>
      </c>
      <c r="S17" s="664">
        <f>F17</f>
        <v>100</v>
      </c>
      <c r="T17" s="663" t="s">
        <v>14</v>
      </c>
      <c r="U17" s="664">
        <f>H17</f>
        <v>100</v>
      </c>
      <c r="V17" s="663" t="s">
        <v>14</v>
      </c>
      <c r="W17" s="664">
        <f>J17</f>
        <v>100</v>
      </c>
      <c r="X17" s="1262"/>
      <c r="Y17" s="3481"/>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1"/>
      <c r="L18" s="2488"/>
      <c r="M18" s="2483"/>
      <c r="N18" s="2483"/>
      <c r="O18" s="2538"/>
      <c r="P18" s="3481"/>
      <c r="Q18" s="1260"/>
      <c r="R18" s="663"/>
      <c r="S18" s="664"/>
      <c r="T18" s="663"/>
      <c r="U18" s="664"/>
      <c r="V18" s="663"/>
      <c r="W18" s="664"/>
      <c r="X18" s="1262"/>
      <c r="Y18" s="3481"/>
      <c r="Z18" s="1261"/>
      <c r="AA18" s="1261">
        <v>1</v>
      </c>
      <c r="AB18" s="1261">
        <v>1</v>
      </c>
      <c r="AC18" s="1261">
        <v>1</v>
      </c>
    </row>
    <row r="19" spans="1:29" ht="85.5">
      <c r="A19" s="367"/>
      <c r="B19" s="390" t="s">
        <v>1811</v>
      </c>
      <c r="C19" s="1803" t="str">
        <f>估价对象房地状况!C17</f>
        <v>估价对象位于丁各庄，为住宅配套项目，周边办公楼项目较少，入驻率较低，办公集聚程度较差</v>
      </c>
      <c r="D19" s="394">
        <v>100</v>
      </c>
      <c r="E19" s="396"/>
      <c r="F19" s="394">
        <f>SUMIF(91:91,E20,92:92)-SUMIF(91:91,C20,92:92)+100</f>
        <v>100</v>
      </c>
      <c r="G19" s="396"/>
      <c r="H19" s="389">
        <f>SUMIF(91:91,G20,92:92)-SUMIF(91:91,C20,92:92)+100</f>
        <v>100</v>
      </c>
      <c r="I19" s="398"/>
      <c r="J19" s="389">
        <f>SUMIF(91:91,I20,92:92)-SUMIF(91:91,C20,92:92)+100</f>
        <v>100</v>
      </c>
      <c r="K19" s="592"/>
      <c r="L19" s="2488"/>
      <c r="M19" s="2483"/>
      <c r="N19" s="2483"/>
      <c r="O19" s="2538"/>
      <c r="P19" s="3481"/>
      <c r="Q19" s="1260" t="str">
        <f>B19</f>
        <v>办公集聚程度</v>
      </c>
      <c r="R19" s="663" t="s">
        <v>14</v>
      </c>
      <c r="S19" s="664">
        <f>F19</f>
        <v>100</v>
      </c>
      <c r="T19" s="663" t="s">
        <v>14</v>
      </c>
      <c r="U19" s="664">
        <f>H19</f>
        <v>100</v>
      </c>
      <c r="V19" s="663" t="s">
        <v>14</v>
      </c>
      <c r="W19" s="664">
        <f>J19</f>
        <v>100</v>
      </c>
      <c r="X19" s="1262"/>
      <c r="Y19" s="3481"/>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1"/>
      <c r="L20" s="2488"/>
      <c r="M20" s="2483"/>
      <c r="N20" s="2483"/>
      <c r="O20" s="2538"/>
      <c r="P20" s="3481"/>
      <c r="Q20" s="1260"/>
      <c r="R20" s="663"/>
      <c r="S20" s="664"/>
      <c r="T20" s="663"/>
      <c r="U20" s="664"/>
      <c r="V20" s="663"/>
      <c r="W20" s="664"/>
      <c r="X20" s="1262"/>
      <c r="Y20" s="3481"/>
      <c r="Z20" s="1261"/>
      <c r="AA20" s="1261">
        <v>1</v>
      </c>
      <c r="AB20" s="1261">
        <v>1</v>
      </c>
      <c r="AC20" s="1261">
        <v>1</v>
      </c>
    </row>
    <row r="21" spans="1:29" ht="99.75">
      <c r="A21" s="367"/>
      <c r="B21" s="390" t="s">
        <v>1833</v>
      </c>
      <c r="C21" s="1751" t="str">
        <f>估价对象房地状况!C18</f>
        <v>估价对象周边道路状况、公共交通通达情况808、809等、停车便捷程度较好，综合评价交通便捷度一般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2"/>
      <c r="L21" s="2488"/>
      <c r="M21" s="2483"/>
      <c r="N21" s="2483"/>
      <c r="O21" s="2538"/>
      <c r="P21" s="3481"/>
      <c r="Q21" s="1260" t="str">
        <f>B21</f>
        <v>交通便捷度</v>
      </c>
      <c r="R21" s="663" t="s">
        <v>14</v>
      </c>
      <c r="S21" s="664">
        <f>F21</f>
        <v>100</v>
      </c>
      <c r="T21" s="663" t="s">
        <v>14</v>
      </c>
      <c r="U21" s="664">
        <f>H21</f>
        <v>100</v>
      </c>
      <c r="V21" s="663" t="s">
        <v>14</v>
      </c>
      <c r="W21" s="664">
        <f>J21</f>
        <v>100</v>
      </c>
      <c r="X21" s="1262"/>
      <c r="Y21" s="3481"/>
      <c r="Z21" s="1261" t="str">
        <f>Q21</f>
        <v>交通便捷度</v>
      </c>
      <c r="AA21" s="1261">
        <f t="shared" si="3"/>
        <v>1</v>
      </c>
      <c r="AB21" s="1261">
        <f t="shared" si="4"/>
        <v>1</v>
      </c>
      <c r="AC21" s="1261">
        <f t="shared" si="5"/>
        <v>1</v>
      </c>
    </row>
    <row r="22" spans="1:29" ht="15">
      <c r="A22" s="367"/>
      <c r="B22" s="585"/>
      <c r="C22" s="386"/>
      <c r="D22" s="389"/>
      <c r="E22" s="1749"/>
      <c r="F22" s="387"/>
      <c r="G22" s="1749"/>
      <c r="H22" s="387"/>
      <c r="I22" s="1748"/>
      <c r="J22" s="387"/>
      <c r="K22" s="591"/>
      <c r="L22" s="2488"/>
      <c r="M22" s="2483"/>
      <c r="N22" s="2483"/>
      <c r="O22" s="2538"/>
      <c r="P22" s="3481"/>
      <c r="Q22" s="1260"/>
      <c r="R22" s="663"/>
      <c r="S22" s="664"/>
      <c r="T22" s="663"/>
      <c r="U22" s="664"/>
      <c r="V22" s="663"/>
      <c r="W22" s="664"/>
      <c r="X22" s="1262"/>
      <c r="Y22" s="3481"/>
      <c r="Z22" s="1261"/>
      <c r="AA22" s="1261">
        <v>1</v>
      </c>
      <c r="AB22" s="1261">
        <v>1</v>
      </c>
      <c r="AC22" s="1261">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8"/>
      <c r="M23" s="2483"/>
      <c r="N23" s="2483"/>
      <c r="O23" s="2538"/>
      <c r="P23" s="3481"/>
      <c r="Q23" s="1260" t="str">
        <f t="shared" ref="Q23:Q37" si="8">B23</f>
        <v>区域土地利用方向</v>
      </c>
      <c r="R23" s="663" t="s">
        <v>14</v>
      </c>
      <c r="S23" s="664">
        <f>F23</f>
        <v>100</v>
      </c>
      <c r="T23" s="663" t="s">
        <v>14</v>
      </c>
      <c r="U23" s="664">
        <f>H23</f>
        <v>100</v>
      </c>
      <c r="V23" s="663" t="s">
        <v>14</v>
      </c>
      <c r="W23" s="664">
        <f>J23</f>
        <v>100</v>
      </c>
      <c r="X23" s="1262"/>
      <c r="Y23" s="3481"/>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4"/>
      <c r="L24" s="2488"/>
      <c r="M24" s="2483"/>
      <c r="N24" s="2483"/>
      <c r="O24" s="2538"/>
      <c r="P24" s="3481"/>
      <c r="Q24" s="1260"/>
      <c r="R24" s="663"/>
      <c r="S24" s="664"/>
      <c r="T24" s="663"/>
      <c r="U24" s="664"/>
      <c r="V24" s="663"/>
      <c r="W24" s="664"/>
      <c r="X24" s="1262"/>
      <c r="Y24" s="3481"/>
      <c r="Z24" s="1261"/>
      <c r="AA24" s="1261"/>
      <c r="AB24" s="1261"/>
      <c r="AC24" s="1261"/>
    </row>
    <row r="25" spans="1:29" ht="85.5">
      <c r="A25" s="348"/>
      <c r="B25" s="585" t="s">
        <v>1872</v>
      </c>
      <c r="C25" s="1803" t="str">
        <f>估价对象房地状况!C20</f>
        <v>区域自然环境：潞城中心公园；人文环境：工商大学嘉华学院；综合评价环境状况一般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8"/>
      <c r="M25" s="2483"/>
      <c r="N25" s="2483"/>
      <c r="O25" s="2538"/>
      <c r="P25" s="3481"/>
      <c r="Q25" s="1260" t="str">
        <f t="shared" si="8"/>
        <v>自然及人文环境状况</v>
      </c>
      <c r="R25" s="663" t="s">
        <v>14</v>
      </c>
      <c r="S25" s="664">
        <f>F25</f>
        <v>100</v>
      </c>
      <c r="T25" s="663" t="s">
        <v>14</v>
      </c>
      <c r="U25" s="664">
        <f>H25</f>
        <v>100</v>
      </c>
      <c r="V25" s="663" t="s">
        <v>14</v>
      </c>
      <c r="W25" s="664">
        <f>J25</f>
        <v>100</v>
      </c>
      <c r="X25" s="1262"/>
      <c r="Y25" s="3481"/>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1"/>
      <c r="L26" s="2488"/>
      <c r="M26" s="2483"/>
      <c r="N26" s="2483"/>
      <c r="O26" s="2538"/>
      <c r="P26" s="3481"/>
      <c r="Q26" s="1260"/>
      <c r="R26" s="663"/>
      <c r="S26" s="664"/>
      <c r="T26" s="663"/>
      <c r="U26" s="664"/>
      <c r="V26" s="663"/>
      <c r="W26" s="664"/>
      <c r="X26" s="1262"/>
      <c r="Y26" s="3481"/>
      <c r="Z26" s="1261"/>
      <c r="AA26" s="1261">
        <v>1</v>
      </c>
      <c r="AB26" s="1261">
        <v>1</v>
      </c>
      <c r="AC26" s="1261">
        <v>1</v>
      </c>
    </row>
    <row r="27" spans="1:29" s="102" customFormat="1" ht="256.5">
      <c r="A27" s="443"/>
      <c r="B27" s="585" t="s">
        <v>1778</v>
      </c>
      <c r="C27" s="1751"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D27" s="389">
        <v>100</v>
      </c>
      <c r="E27" s="391"/>
      <c r="F27" s="389">
        <f>SUMIF(99:99,E28,100:100)-SUMIF(99:99,C28,100:100)+100</f>
        <v>100</v>
      </c>
      <c r="G27" s="391"/>
      <c r="H27" s="389">
        <f>SUMIF(99:99,G28,100:100)-SUMIF(99:99,C28,100:100)+100</f>
        <v>100</v>
      </c>
      <c r="I27" s="393"/>
      <c r="J27" s="389">
        <f>SUMIF(99:99,I28,100:100)-SUMIF(99:99,C28,100:100)+100</f>
        <v>100</v>
      </c>
      <c r="K27" s="592"/>
      <c r="L27" s="2484"/>
      <c r="M27" s="2435"/>
      <c r="N27" s="2435"/>
      <c r="O27" s="2536"/>
      <c r="P27" s="3481"/>
      <c r="Q27" s="530" t="str">
        <f t="shared" si="8"/>
        <v>公共配套设施</v>
      </c>
      <c r="R27" s="660" t="s">
        <v>14</v>
      </c>
      <c r="S27" s="661">
        <f>F27</f>
        <v>100</v>
      </c>
      <c r="T27" s="660" t="s">
        <v>14</v>
      </c>
      <c r="U27" s="661">
        <f>H27</f>
        <v>100</v>
      </c>
      <c r="V27" s="660" t="s">
        <v>14</v>
      </c>
      <c r="W27" s="661">
        <f>J27</f>
        <v>100</v>
      </c>
      <c r="X27" s="662"/>
      <c r="Y27" s="3481"/>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1"/>
      <c r="L28" s="2484"/>
      <c r="M28" s="2435"/>
      <c r="N28" s="2435"/>
      <c r="O28" s="2536"/>
      <c r="P28" s="3481"/>
      <c r="Q28" s="530"/>
      <c r="R28" s="660"/>
      <c r="S28" s="661"/>
      <c r="T28" s="660"/>
      <c r="U28" s="661"/>
      <c r="V28" s="660"/>
      <c r="W28" s="661"/>
      <c r="X28" s="662"/>
      <c r="Y28" s="3481"/>
      <c r="Z28" s="50"/>
      <c r="AA28" s="1261">
        <v>1</v>
      </c>
      <c r="AB28" s="1261">
        <v>1</v>
      </c>
      <c r="AC28" s="1261">
        <v>1</v>
      </c>
    </row>
    <row r="29" spans="1:29" s="102" customFormat="1" ht="28.5">
      <c r="A29" s="443"/>
      <c r="B29" s="585" t="s">
        <v>1779</v>
      </c>
      <c r="C29" s="1751"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4"/>
      <c r="M29" s="2435"/>
      <c r="N29" s="2435"/>
      <c r="O29" s="2536"/>
      <c r="P29" s="3481"/>
      <c r="Q29" s="530" t="str">
        <f t="shared" ref="Q29" si="9">B29</f>
        <v>基础设施水平</v>
      </c>
      <c r="R29" s="660" t="s">
        <v>14</v>
      </c>
      <c r="S29" s="661">
        <f>F29</f>
        <v>100</v>
      </c>
      <c r="T29" s="660" t="s">
        <v>14</v>
      </c>
      <c r="U29" s="661">
        <f>H29</f>
        <v>100</v>
      </c>
      <c r="V29" s="660" t="s">
        <v>14</v>
      </c>
      <c r="W29" s="661">
        <f>J29</f>
        <v>100</v>
      </c>
      <c r="X29" s="662"/>
      <c r="Y29" s="3481"/>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1"/>
      <c r="L30" s="2484"/>
      <c r="M30" s="2435"/>
      <c r="N30" s="2435"/>
      <c r="O30" s="2536"/>
      <c r="P30" s="3481"/>
      <c r="Q30" s="530"/>
      <c r="R30" s="660"/>
      <c r="S30" s="661"/>
      <c r="T30" s="660"/>
      <c r="U30" s="661"/>
      <c r="V30" s="660"/>
      <c r="W30" s="661"/>
      <c r="X30" s="662"/>
      <c r="Y30" s="3481"/>
      <c r="Z30" s="50"/>
      <c r="AA30" s="1261">
        <v>1</v>
      </c>
      <c r="AB30" s="1261">
        <v>1</v>
      </c>
      <c r="AC30" s="1261">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8"/>
      <c r="M31" s="2483"/>
      <c r="N31" s="2483"/>
      <c r="O31" s="2538"/>
      <c r="P31" s="3481"/>
      <c r="Q31" s="1260" t="str">
        <f t="shared" si="8"/>
        <v>临街状况</v>
      </c>
      <c r="R31" s="663" t="s">
        <v>14</v>
      </c>
      <c r="S31" s="664">
        <f t="shared" ref="S31:S45" si="10">F31</f>
        <v>100</v>
      </c>
      <c r="T31" s="663" t="s">
        <v>14</v>
      </c>
      <c r="U31" s="664">
        <f t="shared" ref="U31:U45" si="11">H31</f>
        <v>100</v>
      </c>
      <c r="V31" s="663" t="s">
        <v>14</v>
      </c>
      <c r="W31" s="664">
        <f t="shared" ref="W31:W45" si="12">J31</f>
        <v>100</v>
      </c>
      <c r="X31" s="1262"/>
      <c r="Y31" s="3481"/>
      <c r="Z31" s="1261" t="str">
        <f t="shared" ref="Z31:Z45" si="13">Q31</f>
        <v>临街状况</v>
      </c>
      <c r="AA31" s="1261">
        <f t="shared" si="3"/>
        <v>1</v>
      </c>
      <c r="AB31" s="1261">
        <f t="shared" si="4"/>
        <v>1</v>
      </c>
      <c r="AC31" s="1261">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8"/>
      <c r="M32" s="2483"/>
      <c r="N32" s="2483"/>
      <c r="O32" s="2538"/>
      <c r="P32" s="3481"/>
      <c r="Q32" s="1260" t="str">
        <f t="shared" si="8"/>
        <v>毗邻道路的类型与等级</v>
      </c>
      <c r="R32" s="663" t="s">
        <v>14</v>
      </c>
      <c r="S32" s="664">
        <f t="shared" si="10"/>
        <v>100</v>
      </c>
      <c r="T32" s="663" t="s">
        <v>14</v>
      </c>
      <c r="U32" s="664">
        <f t="shared" si="11"/>
        <v>100</v>
      </c>
      <c r="V32" s="663" t="s">
        <v>14</v>
      </c>
      <c r="W32" s="664">
        <f t="shared" si="12"/>
        <v>100</v>
      </c>
      <c r="X32" s="1262"/>
      <c r="Y32" s="3481"/>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8"/>
      <c r="M33" s="2483"/>
      <c r="N33" s="2483"/>
      <c r="O33" s="2538"/>
      <c r="P33" s="3481"/>
      <c r="Q33" s="1260"/>
      <c r="R33" s="663"/>
      <c r="S33" s="664"/>
      <c r="T33" s="663"/>
      <c r="U33" s="664"/>
      <c r="V33" s="663"/>
      <c r="W33" s="664"/>
      <c r="X33" s="1262"/>
      <c r="Y33" s="3481"/>
      <c r="Z33" s="1261"/>
      <c r="AA33" s="1261">
        <v>1</v>
      </c>
      <c r="AB33" s="1261">
        <v>1</v>
      </c>
      <c r="AC33" s="1261">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8"/>
      <c r="M34" s="2483"/>
      <c r="N34" s="2483"/>
      <c r="O34" s="2538"/>
      <c r="P34" s="3481"/>
      <c r="Q34" s="1260" t="str">
        <f t="shared" si="8"/>
        <v>土地级别</v>
      </c>
      <c r="R34" s="663" t="s">
        <v>14</v>
      </c>
      <c r="S34" s="664">
        <f t="shared" si="10"/>
        <v>100</v>
      </c>
      <c r="T34" s="663" t="s">
        <v>14</v>
      </c>
      <c r="U34" s="664">
        <f t="shared" si="11"/>
        <v>100</v>
      </c>
      <c r="V34" s="663" t="s">
        <v>14</v>
      </c>
      <c r="W34" s="664">
        <f t="shared" si="12"/>
        <v>100</v>
      </c>
      <c r="X34" s="1262"/>
      <c r="Y34" s="3481"/>
      <c r="Z34" s="1261" t="str">
        <f t="shared" si="13"/>
        <v>土地级别</v>
      </c>
      <c r="AA34" s="1261">
        <f t="shared" si="3"/>
        <v>1</v>
      </c>
      <c r="AB34" s="1261">
        <f t="shared" si="4"/>
        <v>1</v>
      </c>
      <c r="AC34" s="1261">
        <f t="shared" si="5"/>
        <v>1</v>
      </c>
    </row>
    <row r="35" spans="1:29" ht="15">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8"/>
      <c r="M35" s="2483"/>
      <c r="N35" s="2483"/>
      <c r="O35" s="2538"/>
      <c r="P35" s="3481"/>
      <c r="Q35" s="1260">
        <f t="shared" si="8"/>
        <v>111</v>
      </c>
      <c r="R35" s="663" t="s">
        <v>14</v>
      </c>
      <c r="S35" s="664">
        <f t="shared" si="10"/>
        <v>100</v>
      </c>
      <c r="T35" s="663" t="s">
        <v>14</v>
      </c>
      <c r="U35" s="664">
        <f t="shared" si="11"/>
        <v>100</v>
      </c>
      <c r="V35" s="663" t="s">
        <v>14</v>
      </c>
      <c r="W35" s="664">
        <f t="shared" si="12"/>
        <v>100</v>
      </c>
      <c r="X35" s="1262"/>
      <c r="Y35" s="3481"/>
      <c r="Z35" s="1261">
        <f t="shared" si="13"/>
        <v>111</v>
      </c>
      <c r="AA35" s="1261">
        <f t="shared" si="3"/>
        <v>1</v>
      </c>
      <c r="AB35" s="1261">
        <f t="shared" si="4"/>
        <v>1</v>
      </c>
      <c r="AC35" s="1261">
        <f t="shared" si="5"/>
        <v>1</v>
      </c>
    </row>
    <row r="36" spans="1:29" ht="15">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8"/>
      <c r="M36" s="2483"/>
      <c r="N36" s="2483"/>
      <c r="O36" s="2538"/>
      <c r="P36" s="3543" t="s">
        <v>1696</v>
      </c>
      <c r="Q36" s="1260">
        <f t="shared" si="8"/>
        <v>111</v>
      </c>
      <c r="R36" s="663" t="s">
        <v>14</v>
      </c>
      <c r="S36" s="664">
        <f t="shared" si="10"/>
        <v>100</v>
      </c>
      <c r="T36" s="663" t="s">
        <v>14</v>
      </c>
      <c r="U36" s="664">
        <f t="shared" si="11"/>
        <v>100</v>
      </c>
      <c r="V36" s="663" t="s">
        <v>14</v>
      </c>
      <c r="W36" s="664">
        <f t="shared" si="12"/>
        <v>100</v>
      </c>
      <c r="X36" s="1262"/>
      <c r="Y36" s="3485" t="s">
        <v>1696</v>
      </c>
      <c r="Z36" s="1261">
        <f t="shared" si="13"/>
        <v>111</v>
      </c>
      <c r="AA36" s="1261">
        <f t="shared" si="3"/>
        <v>1</v>
      </c>
      <c r="AB36" s="1261">
        <f t="shared" si="4"/>
        <v>1</v>
      </c>
      <c r="AC36" s="1261">
        <f t="shared" si="5"/>
        <v>1</v>
      </c>
    </row>
    <row r="37" spans="1:29" s="408" customFormat="1" ht="15.75"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7"/>
      <c r="M37" s="2489"/>
      <c r="N37" s="2489"/>
      <c r="O37" s="2539"/>
      <c r="P37" s="3485"/>
      <c r="Q37" s="1260">
        <f t="shared" si="8"/>
        <v>111</v>
      </c>
      <c r="R37" s="665" t="s">
        <v>14</v>
      </c>
      <c r="S37" s="666">
        <f t="shared" si="10"/>
        <v>100</v>
      </c>
      <c r="T37" s="665" t="s">
        <v>14</v>
      </c>
      <c r="U37" s="666">
        <f t="shared" si="11"/>
        <v>100</v>
      </c>
      <c r="V37" s="665" t="s">
        <v>14</v>
      </c>
      <c r="W37" s="666">
        <f t="shared" si="12"/>
        <v>100</v>
      </c>
      <c r="X37" s="667"/>
      <c r="Y37" s="3485"/>
      <c r="Z37" s="668">
        <f t="shared" si="13"/>
        <v>111</v>
      </c>
      <c r="AA37" s="1261">
        <f t="shared" si="3"/>
        <v>1</v>
      </c>
      <c r="AB37" s="1261">
        <f t="shared" si="4"/>
        <v>1</v>
      </c>
      <c r="AC37" s="1261">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8"/>
      <c r="M38" s="2483"/>
      <c r="N38" s="2483"/>
      <c r="O38" s="2538"/>
      <c r="P38" s="3485"/>
      <c r="Q38" s="1260" t="str">
        <f>B38</f>
        <v>宗地面积</v>
      </c>
      <c r="R38" s="663" t="s">
        <v>14</v>
      </c>
      <c r="S38" s="664" t="e">
        <f t="shared" si="10"/>
        <v>#N/A</v>
      </c>
      <c r="T38" s="663" t="s">
        <v>14</v>
      </c>
      <c r="U38" s="664" t="e">
        <f t="shared" si="11"/>
        <v>#N/A</v>
      </c>
      <c r="V38" s="663" t="s">
        <v>14</v>
      </c>
      <c r="W38" s="664" t="e">
        <f t="shared" si="12"/>
        <v>#N/A</v>
      </c>
      <c r="X38" s="1262"/>
      <c r="Y38" s="3485"/>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8"/>
      <c r="M39" s="2483"/>
      <c r="N39" s="2483"/>
      <c r="O39" s="2538"/>
      <c r="P39" s="3485"/>
      <c r="Q39" s="1260" t="str">
        <f t="shared" ref="Q39:Q45" si="14">B39</f>
        <v>宗地形状</v>
      </c>
      <c r="R39" s="663" t="s">
        <v>14</v>
      </c>
      <c r="S39" s="664">
        <f t="shared" si="10"/>
        <v>100</v>
      </c>
      <c r="T39" s="663" t="s">
        <v>14</v>
      </c>
      <c r="U39" s="664">
        <f t="shared" si="11"/>
        <v>100</v>
      </c>
      <c r="V39" s="663" t="s">
        <v>14</v>
      </c>
      <c r="W39" s="664">
        <f t="shared" si="12"/>
        <v>100</v>
      </c>
      <c r="X39" s="1262"/>
      <c r="Y39" s="3485"/>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8"/>
      <c r="M40" s="2483"/>
      <c r="N40" s="2483"/>
      <c r="O40" s="2538"/>
      <c r="P40" s="3485"/>
      <c r="Q40" s="1260" t="str">
        <f t="shared" si="14"/>
        <v>临街宽度及深度</v>
      </c>
      <c r="R40" s="663" t="s">
        <v>14</v>
      </c>
      <c r="S40" s="664">
        <f t="shared" si="10"/>
        <v>100</v>
      </c>
      <c r="T40" s="663" t="s">
        <v>14</v>
      </c>
      <c r="U40" s="664">
        <f t="shared" si="11"/>
        <v>100</v>
      </c>
      <c r="V40" s="663" t="s">
        <v>14</v>
      </c>
      <c r="W40" s="664">
        <f t="shared" si="12"/>
        <v>100</v>
      </c>
      <c r="X40" s="1262"/>
      <c r="Y40" s="3485"/>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4"/>
      <c r="M41" s="2435"/>
      <c r="N41" s="2435"/>
      <c r="O41" s="2536"/>
      <c r="P41" s="3485"/>
      <c r="Q41" s="1260" t="str">
        <f t="shared" si="14"/>
        <v>宗地开发程度</v>
      </c>
      <c r="R41" s="660" t="s">
        <v>14</v>
      </c>
      <c r="S41" s="661">
        <f t="shared" si="10"/>
        <v>100</v>
      </c>
      <c r="T41" s="660" t="s">
        <v>14</v>
      </c>
      <c r="U41" s="661">
        <f t="shared" si="11"/>
        <v>100</v>
      </c>
      <c r="V41" s="660" t="s">
        <v>14</v>
      </c>
      <c r="W41" s="661">
        <f t="shared" si="12"/>
        <v>100</v>
      </c>
      <c r="X41" s="662"/>
      <c r="Y41" s="3485"/>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8"/>
      <c r="M42" s="2483"/>
      <c r="N42" s="2483"/>
      <c r="O42" s="2538"/>
      <c r="P42" s="3485" t="s">
        <v>1696</v>
      </c>
      <c r="Q42" s="1260" t="str">
        <f t="shared" si="14"/>
        <v>工程地质条件</v>
      </c>
      <c r="R42" s="663" t="s">
        <v>14</v>
      </c>
      <c r="S42" s="664">
        <f t="shared" si="10"/>
        <v>100</v>
      </c>
      <c r="T42" s="663" t="s">
        <v>14</v>
      </c>
      <c r="U42" s="664">
        <f t="shared" si="11"/>
        <v>100</v>
      </c>
      <c r="V42" s="663" t="s">
        <v>14</v>
      </c>
      <c r="W42" s="664">
        <f t="shared" si="12"/>
        <v>100</v>
      </c>
      <c r="X42" s="1262"/>
      <c r="Y42" s="3485" t="s">
        <v>1696</v>
      </c>
      <c r="Z42" s="1261" t="str">
        <f t="shared" si="13"/>
        <v>工程地质条件</v>
      </c>
      <c r="AA42" s="1261">
        <f t="shared" si="3"/>
        <v>1</v>
      </c>
      <c r="AB42" s="1261">
        <f t="shared" si="4"/>
        <v>1</v>
      </c>
      <c r="AC42" s="1261">
        <f t="shared" si="5"/>
        <v>1</v>
      </c>
    </row>
    <row r="43" spans="1:29" ht="15">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8"/>
      <c r="M43" s="2483"/>
      <c r="N43" s="2483"/>
      <c r="O43" s="2538"/>
      <c r="P43" s="3485"/>
      <c r="Q43" s="1260">
        <f t="shared" si="14"/>
        <v>111</v>
      </c>
      <c r="R43" s="663" t="s">
        <v>14</v>
      </c>
      <c r="S43" s="664">
        <f t="shared" si="10"/>
        <v>100</v>
      </c>
      <c r="T43" s="663" t="s">
        <v>14</v>
      </c>
      <c r="U43" s="664">
        <f t="shared" si="11"/>
        <v>100</v>
      </c>
      <c r="V43" s="663" t="s">
        <v>14</v>
      </c>
      <c r="W43" s="664">
        <f t="shared" si="12"/>
        <v>100</v>
      </c>
      <c r="X43" s="1262"/>
      <c r="Y43" s="3485"/>
      <c r="Z43" s="1261">
        <f t="shared" si="13"/>
        <v>111</v>
      </c>
      <c r="AA43" s="1261">
        <f t="shared" si="3"/>
        <v>1</v>
      </c>
      <c r="AB43" s="1261">
        <f t="shared" si="4"/>
        <v>1</v>
      </c>
      <c r="AC43" s="1261">
        <f t="shared" si="5"/>
        <v>1</v>
      </c>
    </row>
    <row r="44" spans="1:29" ht="15">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8"/>
      <c r="M44" s="2483"/>
      <c r="N44" s="2483"/>
      <c r="O44" s="2538"/>
      <c r="P44" s="3485"/>
      <c r="Q44" s="1260">
        <f t="shared" si="14"/>
        <v>111</v>
      </c>
      <c r="R44" s="663" t="s">
        <v>14</v>
      </c>
      <c r="S44" s="664">
        <f t="shared" si="10"/>
        <v>100</v>
      </c>
      <c r="T44" s="663" t="s">
        <v>14</v>
      </c>
      <c r="U44" s="664">
        <f t="shared" si="11"/>
        <v>100</v>
      </c>
      <c r="V44" s="663" t="s">
        <v>14</v>
      </c>
      <c r="W44" s="664">
        <f t="shared" si="12"/>
        <v>100</v>
      </c>
      <c r="X44" s="1262"/>
      <c r="Y44" s="3485"/>
      <c r="Z44" s="1261">
        <f t="shared" si="13"/>
        <v>111</v>
      </c>
      <c r="AA44" s="1261">
        <f t="shared" si="3"/>
        <v>1</v>
      </c>
      <c r="AB44" s="1261">
        <f t="shared" si="4"/>
        <v>1</v>
      </c>
      <c r="AC44" s="1261">
        <f t="shared" si="5"/>
        <v>1</v>
      </c>
    </row>
    <row r="45" spans="1:29" s="408" customFormat="1" ht="15.75" thickBot="1">
      <c r="A45" s="406"/>
      <c r="B45" s="1064">
        <v>111</v>
      </c>
      <c r="C45" s="1826"/>
      <c r="D45" s="599">
        <v>100</v>
      </c>
      <c r="E45" s="593"/>
      <c r="F45" s="377">
        <f>SUMIF(130:130,E45,131:131)-SUMIF(130:130,C45,131:131)+100</f>
        <v>100</v>
      </c>
      <c r="G45" s="593"/>
      <c r="H45" s="377">
        <f>SUMIF(130:130,G45,131:131)-SUMIF(130:130,C45,131:131)+100</f>
        <v>100</v>
      </c>
      <c r="I45" s="593"/>
      <c r="J45" s="377">
        <f>SUMIF(130:130,I45,131:131)-SUMIF(130:130,C45,131:131)+100</f>
        <v>100</v>
      </c>
      <c r="K45" s="600"/>
      <c r="L45" s="2487"/>
      <c r="M45" s="2489"/>
      <c r="N45" s="2489"/>
      <c r="O45" s="2539"/>
      <c r="P45" s="3485"/>
      <c r="Q45" s="1260">
        <f t="shared" si="14"/>
        <v>111</v>
      </c>
      <c r="R45" s="665" t="s">
        <v>14</v>
      </c>
      <c r="S45" s="666">
        <f t="shared" si="10"/>
        <v>100</v>
      </c>
      <c r="T45" s="665" t="s">
        <v>14</v>
      </c>
      <c r="U45" s="666">
        <f t="shared" si="11"/>
        <v>100</v>
      </c>
      <c r="V45" s="665" t="s">
        <v>14</v>
      </c>
      <c r="W45" s="666">
        <f t="shared" si="12"/>
        <v>100</v>
      </c>
      <c r="X45" s="667"/>
      <c r="Y45" s="3485"/>
      <c r="Z45" s="668">
        <f t="shared" si="13"/>
        <v>111</v>
      </c>
      <c r="AA45" s="1261">
        <f t="shared" si="3"/>
        <v>1</v>
      </c>
      <c r="AB45" s="1261">
        <f t="shared" si="4"/>
        <v>1</v>
      </c>
      <c r="AC45" s="1261">
        <f t="shared" si="5"/>
        <v>1</v>
      </c>
    </row>
    <row r="46" spans="1:29" ht="15">
      <c r="A46" s="416" t="s">
        <v>1844</v>
      </c>
      <c r="B46" s="1827" t="s">
        <v>1879</v>
      </c>
      <c r="C46" s="601" t="s">
        <v>0</v>
      </c>
      <c r="D46" s="418"/>
      <c r="E46" s="419"/>
      <c r="F46" s="420"/>
      <c r="G46" s="421"/>
      <c r="H46" s="422"/>
      <c r="I46" s="419"/>
      <c r="J46" s="422"/>
      <c r="K46" s="670"/>
      <c r="L46" s="2490"/>
      <c r="M46" s="2483"/>
      <c r="N46" s="2483"/>
      <c r="O46" s="2483"/>
      <c r="P46" s="3478" t="str">
        <f>A46</f>
        <v>成交单价</v>
      </c>
      <c r="Q46" s="3478"/>
      <c r="R46" s="3479">
        <f>E46</f>
        <v>0</v>
      </c>
      <c r="S46" s="3479"/>
      <c r="T46" s="3479">
        <f>G46</f>
        <v>0</v>
      </c>
      <c r="U46" s="3479"/>
      <c r="V46" s="3479">
        <f>I46</f>
        <v>0</v>
      </c>
      <c r="W46" s="3479"/>
      <c r="X46" s="385"/>
      <c r="Y46" s="669"/>
      <c r="Z46" s="385"/>
      <c r="AA46" s="385"/>
      <c r="AB46" s="385"/>
      <c r="AC46" s="385"/>
    </row>
    <row r="47" spans="1:29" ht="15.75" thickBot="1">
      <c r="A47" s="423" t="s">
        <v>1793</v>
      </c>
      <c r="B47" s="602"/>
      <c r="C47" s="426" t="e">
        <f>R48</f>
        <v>#DIV/0!</v>
      </c>
      <c r="D47" s="2138" t="s">
        <v>2135</v>
      </c>
      <c r="E47" s="426" t="e">
        <f>R47</f>
        <v>#DIV/0!</v>
      </c>
      <c r="F47" s="2139"/>
      <c r="G47" s="425" t="e">
        <f>T47</f>
        <v>#DIV/0!</v>
      </c>
      <c r="H47" s="2139"/>
      <c r="I47" s="426" t="e">
        <f>V47</f>
        <v>#DIV/0!</v>
      </c>
      <c r="J47" s="2139"/>
      <c r="K47" s="2141">
        <f>F47+H47+J47</f>
        <v>0</v>
      </c>
      <c r="L47" s="2490"/>
      <c r="M47" s="2483"/>
      <c r="N47" s="2483"/>
      <c r="O47" s="2483"/>
      <c r="P47" s="3478" t="str">
        <f>A47</f>
        <v>比较价值（元/平方米）</v>
      </c>
      <c r="Q47" s="3478"/>
      <c r="R47" s="3545" t="e">
        <f>ROUND(PRODUCT(R46,AA7:AA45),0)</f>
        <v>#DIV/0!</v>
      </c>
      <c r="S47" s="3545"/>
      <c r="T47" s="3545" t="e">
        <f>ROUND(PRODUCT(T46,AB7:AB45),0)</f>
        <v>#DIV/0!</v>
      </c>
      <c r="U47" s="3545"/>
      <c r="V47" s="3545" t="e">
        <f>ROUND(PRODUCT(V46,AC7:AC45),0)</f>
        <v>#DIV/0!</v>
      </c>
      <c r="W47" s="3545"/>
      <c r="X47" s="385"/>
      <c r="Y47" s="385"/>
      <c r="Z47" s="385"/>
      <c r="AA47" s="385"/>
      <c r="AB47" s="385"/>
      <c r="AC47" s="385"/>
    </row>
    <row r="48" spans="1:29" ht="15.75" thickBot="1">
      <c r="A48" s="427" t="s">
        <v>1880</v>
      </c>
      <c r="B48" s="428"/>
      <c r="C48" s="429" t="e">
        <f>R48</f>
        <v>#DIV/0!</v>
      </c>
      <c r="D48" s="429"/>
      <c r="E48" s="429"/>
      <c r="F48" s="429"/>
      <c r="G48" s="429"/>
      <c r="H48" s="429"/>
      <c r="I48" s="429"/>
      <c r="J48" s="429"/>
      <c r="K48" s="671"/>
      <c r="L48" s="2490"/>
      <c r="M48" s="2483"/>
      <c r="N48" s="2483"/>
      <c r="O48" s="2483"/>
      <c r="P48" s="3475" t="str">
        <f>A48</f>
        <v>估价对象XX用房的比较价值（楼面单价，元/平方米）</v>
      </c>
      <c r="Q48" s="3476"/>
      <c r="R48" s="3546" t="e">
        <f>ROUND(IF(D47="简单平均",AVERAGE(R47:W47),R47*F47+T47*H47+V47*J47),0)</f>
        <v>#DIV/0!</v>
      </c>
      <c r="S48" s="3546"/>
      <c r="T48" s="3546"/>
      <c r="U48" s="3546"/>
      <c r="V48" s="3546"/>
      <c r="W48" s="3546"/>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3"/>
      <c r="D54" s="651"/>
      <c r="E54" s="651"/>
      <c r="F54" s="651"/>
      <c r="G54" s="651"/>
      <c r="H54" s="651"/>
      <c r="I54" s="651"/>
      <c r="J54" s="651"/>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28" t="s">
        <v>1883</v>
      </c>
      <c r="D55" s="1829" t="s">
        <v>1884</v>
      </c>
      <c r="E55" s="605" t="s">
        <v>1885</v>
      </c>
      <c r="F55" s="833" t="s">
        <v>1886</v>
      </c>
      <c r="G55" s="3493" t="s">
        <v>1887</v>
      </c>
      <c r="H55" s="3547"/>
      <c r="I55" s="127" t="s">
        <v>1888</v>
      </c>
      <c r="J55" s="1830">
        <f>项目基本情况!F35</f>
        <v>0</v>
      </c>
      <c r="K55" s="1831"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6">
        <v>1</v>
      </c>
      <c r="E56" s="609">
        <f>'数据-汇总表'!E8+'数据-汇总表'!E9</f>
        <v>0</v>
      </c>
      <c r="F56" s="829" t="e">
        <f t="shared" ref="F56:F64" si="15">ROUND(B56*E56/10000,0)</f>
        <v>#DIV/0!</v>
      </c>
      <c r="G56" s="3489"/>
      <c r="H56" s="3478"/>
      <c r="I56" s="834">
        <v>1</v>
      </c>
      <c r="J56" s="837">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10" t="e">
        <f>ROUND($C$48*C57*D57,0)</f>
        <v>#DIV/0!</v>
      </c>
      <c r="C57" s="163">
        <f t="shared" ref="C57:C64" si="16">IF($C$55="北京市系数",I57,J57)</f>
        <v>0</v>
      </c>
      <c r="D57" s="887">
        <v>0.25</v>
      </c>
      <c r="E57" s="613"/>
      <c r="F57" s="829" t="e">
        <f t="shared" si="15"/>
        <v>#DIV/0!</v>
      </c>
      <c r="G57" s="2746" t="s">
        <v>1892</v>
      </c>
      <c r="H57" s="830">
        <f>项目基本情况!B37</f>
        <v>0</v>
      </c>
      <c r="I57" s="834">
        <f>SUMIF(修正!A57:A68,H57,修正!B57:B68)</f>
        <v>0</v>
      </c>
      <c r="J57" s="838"/>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10" t="e">
        <f t="shared" ref="B58:B64" si="17">ROUND($C$48*C58*D58,0)</f>
        <v>#DIV/0!</v>
      </c>
      <c r="C58" s="163">
        <f t="shared" si="16"/>
        <v>0</v>
      </c>
      <c r="D58" s="887">
        <v>0.25</v>
      </c>
      <c r="E58" s="613"/>
      <c r="F58" s="829" t="e">
        <f t="shared" si="15"/>
        <v>#DIV/0!</v>
      </c>
      <c r="G58" s="2747"/>
      <c r="H58" s="830">
        <f>项目基本情况!B37</f>
        <v>0</v>
      </c>
      <c r="I58" s="834">
        <f>SUMIF(修正!A57:A68,H58,修正!C57:C68)</f>
        <v>0</v>
      </c>
      <c r="J58" s="838"/>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10" t="e">
        <f t="shared" si="17"/>
        <v>#DIV/0!</v>
      </c>
      <c r="C59" s="163">
        <f t="shared" si="16"/>
        <v>0</v>
      </c>
      <c r="D59" s="887">
        <v>0.25</v>
      </c>
      <c r="E59" s="613"/>
      <c r="F59" s="829" t="e">
        <f t="shared" si="15"/>
        <v>#DIV/0!</v>
      </c>
      <c r="G59" s="2747"/>
      <c r="H59" s="830">
        <f>项目基本情况!B37</f>
        <v>0</v>
      </c>
      <c r="I59" s="834">
        <f>SUMIF(修正!A57:A68,H59,修正!D57:D68)</f>
        <v>0</v>
      </c>
      <c r="J59" s="838"/>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10" t="e">
        <f t="shared" si="17"/>
        <v>#DIV/0!</v>
      </c>
      <c r="C60" s="163">
        <f t="shared" si="16"/>
        <v>0</v>
      </c>
      <c r="D60" s="887">
        <v>0.25</v>
      </c>
      <c r="E60" s="209">
        <f>'数据-汇总表'!E11</f>
        <v>0</v>
      </c>
      <c r="F60" s="829" t="e">
        <f t="shared" si="15"/>
        <v>#DIV/0!</v>
      </c>
      <c r="G60" s="1832" t="s">
        <v>1896</v>
      </c>
      <c r="H60" s="830">
        <f>项目基本情况!C37</f>
        <v>0</v>
      </c>
      <c r="I60" s="834">
        <f>SUMIF(修正!A57:A68,H60,修正!E57:E68)</f>
        <v>0</v>
      </c>
      <c r="J60" s="838"/>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10" t="e">
        <f t="shared" si="17"/>
        <v>#DIV/0!</v>
      </c>
      <c r="C61" s="163">
        <f t="shared" si="16"/>
        <v>0</v>
      </c>
      <c r="D61" s="887">
        <v>0.25</v>
      </c>
      <c r="E61" s="209">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10" t="e">
        <f t="shared" si="17"/>
        <v>#DIV/0!</v>
      </c>
      <c r="C62" s="163">
        <f t="shared" si="16"/>
        <v>0</v>
      </c>
      <c r="D62" s="887">
        <v>0.25</v>
      </c>
      <c r="E62" s="209">
        <f>'数据-汇总表'!E13</f>
        <v>0</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10" t="e">
        <f t="shared" si="17"/>
        <v>#DIV/0!</v>
      </c>
      <c r="C63" s="163">
        <f t="shared" si="16"/>
        <v>0</v>
      </c>
      <c r="D63" s="887">
        <v>0.25</v>
      </c>
      <c r="E63" s="209">
        <f>'数据-汇总表'!E14</f>
        <v>0</v>
      </c>
      <c r="F63" s="829" t="e">
        <f t="shared" si="15"/>
        <v>#DIV/0!</v>
      </c>
      <c r="G63" s="1832" t="s">
        <v>1892</v>
      </c>
      <c r="H63" s="830">
        <f>项目基本情况!B37</f>
        <v>0</v>
      </c>
      <c r="I63" s="834">
        <f>SUMIF(修正!A57:A68,H63,修正!G57:G68)</f>
        <v>0</v>
      </c>
      <c r="J63" s="838"/>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5" thickBot="1">
      <c r="A64" s="612" t="s">
        <v>1902</v>
      </c>
      <c r="B64" s="210" t="e">
        <f t="shared" si="17"/>
        <v>#DIV/0!</v>
      </c>
      <c r="C64" s="163">
        <f t="shared" si="16"/>
        <v>0</v>
      </c>
      <c r="D64" s="887">
        <v>0.25</v>
      </c>
      <c r="E64" s="209">
        <f>'数据-汇总表'!E15</f>
        <v>0</v>
      </c>
      <c r="F64" s="829" t="e">
        <f t="shared" si="15"/>
        <v>#DIV/0!</v>
      </c>
      <c r="G64" s="1833" t="s">
        <v>1896</v>
      </c>
      <c r="H64" s="840">
        <f>项目基本情况!C37</f>
        <v>0</v>
      </c>
      <c r="I64" s="836">
        <f>SUMIF(修正!A57:A68,H64,修正!G57:G68)</f>
        <v>0</v>
      </c>
      <c r="J64" s="839"/>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ht="13.5" thickBot="1">
      <c r="A65" s="614" t="s">
        <v>1903</v>
      </c>
      <c r="B65" s="615" t="s">
        <v>22</v>
      </c>
      <c r="C65" s="615" t="s">
        <v>23</v>
      </c>
      <c r="D65" s="615" t="s">
        <v>392</v>
      </c>
      <c r="E65" s="615">
        <f>IF(B46="楼面地价",SUM(E56:E64),'数据-汇总表'!D3)</f>
        <v>0</v>
      </c>
      <c r="F65" s="616" t="e">
        <f>IF(B46="楼面地价",SUM(F56:F64),ROUND(C48*E65/10000,0))</f>
        <v>#DIV/0!</v>
      </c>
      <c r="G65" s="673"/>
      <c r="H65" s="673"/>
      <c r="I65" s="673"/>
      <c r="J65" s="673"/>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2"/>
      <c r="C66" s="653"/>
      <c r="D66" s="385"/>
      <c r="E66" s="385"/>
      <c r="F66" s="385"/>
      <c r="G66" s="385"/>
      <c r="H66" s="385"/>
      <c r="I66" s="385"/>
      <c r="J66" s="857"/>
      <c r="K66" s="831"/>
      <c r="L66" s="832"/>
      <c r="M66" s="857"/>
      <c r="N66" s="857"/>
      <c r="O66" s="857"/>
      <c r="P66" s="2483"/>
      <c r="Q66" s="2483"/>
      <c r="R66" s="2483"/>
      <c r="S66" s="2483"/>
      <c r="T66" s="2483"/>
      <c r="U66" s="2483"/>
      <c r="V66" s="2483"/>
      <c r="W66" s="2483"/>
      <c r="X66" s="2483"/>
      <c r="Y66" s="2483"/>
      <c r="Z66" s="2483"/>
      <c r="AA66" s="2483"/>
      <c r="AB66" s="2483"/>
      <c r="AC66" s="2483"/>
    </row>
    <row r="67" spans="1:29">
      <c r="A67" s="385"/>
      <c r="B67" s="652"/>
      <c r="C67" s="652" t="str">
        <f>YEAR(C7)&amp;"-"&amp;MONTH(C7)&amp;"-1"</f>
        <v>2023-10-1</v>
      </c>
      <c r="D67" s="652">
        <f>EDATE(C67,-3)</f>
        <v>45108</v>
      </c>
      <c r="E67" s="652">
        <f>EDATE(D67,-3)</f>
        <v>45017</v>
      </c>
      <c r="F67" s="652">
        <f t="shared" ref="F67:O67" si="18">EDATE(E67,-3)</f>
        <v>44927</v>
      </c>
      <c r="G67" s="652">
        <f t="shared" si="18"/>
        <v>44835</v>
      </c>
      <c r="H67" s="652">
        <f t="shared" si="18"/>
        <v>44743</v>
      </c>
      <c r="I67" s="652">
        <f t="shared" si="18"/>
        <v>44652</v>
      </c>
      <c r="J67" s="652">
        <f t="shared" si="18"/>
        <v>44562</v>
      </c>
      <c r="K67" s="652">
        <f t="shared" si="18"/>
        <v>44470</v>
      </c>
      <c r="L67" s="652">
        <f t="shared" si="18"/>
        <v>44378</v>
      </c>
      <c r="M67" s="652">
        <f t="shared" si="18"/>
        <v>44287</v>
      </c>
      <c r="N67" s="652">
        <f t="shared" si="18"/>
        <v>44197</v>
      </c>
      <c r="O67" s="652">
        <f t="shared" si="18"/>
        <v>44105</v>
      </c>
      <c r="P67" s="2483"/>
      <c r="Q67" s="2483"/>
      <c r="R67" s="2483"/>
      <c r="S67" s="2483"/>
      <c r="T67" s="2483"/>
      <c r="U67" s="2483"/>
      <c r="V67" s="2483"/>
      <c r="W67" s="2483"/>
      <c r="X67" s="2483"/>
      <c r="Y67" s="2483"/>
      <c r="Z67" s="2483"/>
      <c r="AA67" s="2483"/>
      <c r="AB67" s="2483"/>
      <c r="AC67" s="2483"/>
    </row>
    <row r="68" spans="1:29" ht="21.75" thickBot="1">
      <c r="A68" s="654" t="s">
        <v>1798</v>
      </c>
      <c r="B68" s="385"/>
      <c r="C68" s="655"/>
      <c r="D68" s="655"/>
      <c r="E68" s="655"/>
      <c r="F68" s="656"/>
      <c r="G68" s="656"/>
      <c r="H68" s="655"/>
      <c r="I68" s="655"/>
      <c r="J68" s="882"/>
      <c r="K68" s="883"/>
      <c r="L68" s="884"/>
      <c r="M68" s="882"/>
      <c r="N68" s="2533"/>
      <c r="O68" s="2533"/>
      <c r="P68" s="2533"/>
      <c r="Q68" s="2504"/>
      <c r="R68" s="2483"/>
      <c r="S68" s="2483"/>
      <c r="T68" s="2483"/>
      <c r="U68" s="2483"/>
      <c r="V68" s="2483"/>
      <c r="W68" s="2483"/>
      <c r="X68" s="2483"/>
      <c r="Y68" s="2483"/>
      <c r="Z68" s="2483"/>
      <c r="AA68" s="2483"/>
      <c r="AB68" s="2483"/>
      <c r="AC68" s="2483"/>
    </row>
    <row r="69" spans="1:29" s="442" customFormat="1" ht="15">
      <c r="A69" s="1627" t="s">
        <v>1904</v>
      </c>
      <c r="B69" s="1043"/>
      <c r="C69" s="1098" t="str">
        <f>YEAR(C67)&amp;"-"&amp;ROUNDUP(MONTH(C67)/3,0)</f>
        <v>2023-4</v>
      </c>
      <c r="D69" s="1098" t="str">
        <f>YEAR(D67)&amp;"-"&amp;ROUNDUP(MONTH(D67)/3,0)</f>
        <v>2023-3</v>
      </c>
      <c r="E69" s="1098" t="str">
        <f t="shared" ref="E69:O69" si="19">YEAR(E67)&amp;"-"&amp;ROUNDUP(MONTH(E67)/3,0)</f>
        <v>2023-2</v>
      </c>
      <c r="F69" s="1098" t="str">
        <f t="shared" si="19"/>
        <v>2023-1</v>
      </c>
      <c r="G69" s="1098" t="str">
        <f t="shared" si="19"/>
        <v>2022-4</v>
      </c>
      <c r="H69" s="1098" t="str">
        <f t="shared" si="19"/>
        <v>2022-3</v>
      </c>
      <c r="I69" s="1098" t="str">
        <f t="shared" si="19"/>
        <v>2022-2</v>
      </c>
      <c r="J69" s="1098" t="str">
        <f t="shared" si="19"/>
        <v>2022-1</v>
      </c>
      <c r="K69" s="1098" t="str">
        <f t="shared" si="19"/>
        <v>2021-4</v>
      </c>
      <c r="L69" s="1098" t="str">
        <f t="shared" si="19"/>
        <v>2021-3</v>
      </c>
      <c r="M69" s="1098" t="str">
        <f t="shared" si="19"/>
        <v>2021-2</v>
      </c>
      <c r="N69" s="1098" t="str">
        <f t="shared" si="19"/>
        <v>2021-1</v>
      </c>
      <c r="O69" s="1098" t="str">
        <f t="shared" si="19"/>
        <v>2020-4</v>
      </c>
      <c r="P69" s="2506"/>
      <c r="Q69" s="2506"/>
      <c r="R69" s="2506"/>
      <c r="S69" s="2506"/>
      <c r="T69" s="2506"/>
      <c r="U69" s="2506"/>
      <c r="V69" s="2506"/>
      <c r="W69" s="2506"/>
      <c r="X69" s="2506"/>
      <c r="Y69" s="2506"/>
      <c r="Z69" s="2506"/>
      <c r="AA69" s="2506"/>
      <c r="AB69" s="2506"/>
      <c r="AC69" s="2506"/>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9" t="s">
        <v>1716</v>
      </c>
      <c r="B71" s="450"/>
      <c r="C71" s="451"/>
      <c r="D71" s="452"/>
      <c r="E71" s="452"/>
      <c r="F71" s="452"/>
      <c r="G71" s="452"/>
      <c r="H71" s="452"/>
      <c r="I71" s="452"/>
      <c r="J71" s="452"/>
      <c r="K71" s="452"/>
      <c r="L71" s="452"/>
      <c r="M71" s="453"/>
      <c r="N71" s="452"/>
      <c r="O71" s="885"/>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2">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4"/>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19"/>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7"/>
      <c r="E1" s="647"/>
      <c r="F1" s="646" t="s">
        <v>1767</v>
      </c>
      <c r="G1" s="647"/>
      <c r="H1" s="647"/>
      <c r="I1" s="647"/>
      <c r="J1" s="647"/>
      <c r="K1" s="648"/>
      <c r="L1" s="649"/>
      <c r="M1" s="650"/>
      <c r="N1" s="650"/>
      <c r="O1" s="650"/>
      <c r="P1" s="341"/>
      <c r="Q1" s="341"/>
      <c r="R1" s="341"/>
      <c r="S1" s="341"/>
      <c r="T1" s="341"/>
      <c r="U1" s="341"/>
      <c r="V1" s="341"/>
      <c r="W1" s="341"/>
      <c r="X1" s="341"/>
      <c r="Y1" s="341"/>
      <c r="Z1" s="341"/>
      <c r="AA1" s="341"/>
      <c r="AB1" s="341"/>
      <c r="AC1" s="659"/>
    </row>
    <row r="2" spans="1:29" s="342" customFormat="1" ht="28.5" customHeight="1">
      <c r="A2" s="193" t="s">
        <v>1462</v>
      </c>
      <c r="B2" s="590" t="e">
        <f>F61</f>
        <v>#DIV/0!</v>
      </c>
      <c r="C2" s="851"/>
      <c r="D2" s="851"/>
      <c r="E2" s="851"/>
      <c r="F2" s="852"/>
      <c r="G2" s="851"/>
      <c r="H2" s="851"/>
      <c r="I2" s="851"/>
      <c r="J2" s="851"/>
      <c r="K2" s="853"/>
      <c r="L2" s="2499"/>
      <c r="M2" s="2500"/>
      <c r="N2" s="2500"/>
      <c r="O2" s="2500"/>
      <c r="P2" s="341"/>
      <c r="Q2" s="341"/>
      <c r="R2" s="341"/>
      <c r="S2" s="341"/>
      <c r="T2" s="341"/>
      <c r="U2" s="341"/>
      <c r="V2" s="341"/>
      <c r="W2" s="341"/>
      <c r="X2" s="341"/>
      <c r="Y2" s="341"/>
      <c r="Z2" s="341"/>
      <c r="AA2" s="341"/>
      <c r="AB2" s="341"/>
      <c r="AC2" s="659"/>
    </row>
    <row r="3" spans="1:29" s="342" customFormat="1" ht="28.5" customHeight="1" thickBot="1">
      <c r="A3" s="195" t="s">
        <v>1464</v>
      </c>
      <c r="B3" s="536" t="e">
        <f>ROUND(IF(D3="",B2*10000/'数据-汇总表'!E3,B2*10000/D3),0)</f>
        <v>#DIV/0!</v>
      </c>
      <c r="C3" s="195" t="s">
        <v>1869</v>
      </c>
      <c r="D3" s="1108"/>
      <c r="E3" s="851"/>
      <c r="F3" s="852"/>
      <c r="G3" s="851"/>
      <c r="H3" s="851"/>
      <c r="I3" s="851"/>
      <c r="J3" s="851"/>
      <c r="K3" s="853"/>
      <c r="L3" s="2499"/>
      <c r="M3" s="2500"/>
      <c r="N3" s="2500"/>
      <c r="O3" s="2500"/>
      <c r="P3" s="341"/>
      <c r="Q3" s="341"/>
      <c r="R3" s="341"/>
      <c r="S3" s="341"/>
      <c r="T3" s="341"/>
      <c r="U3" s="341"/>
      <c r="V3" s="341"/>
      <c r="W3" s="341"/>
      <c r="X3" s="341"/>
      <c r="Y3" s="341"/>
      <c r="Z3" s="341"/>
      <c r="AA3" s="341"/>
      <c r="AB3" s="672"/>
      <c r="AC3" s="659"/>
    </row>
    <row r="4" spans="1:29" ht="15">
      <c r="A4" s="345" t="s">
        <v>1769</v>
      </c>
      <c r="B4" s="346"/>
      <c r="C4" s="3493" t="s">
        <v>1770</v>
      </c>
      <c r="D4" s="3494"/>
      <c r="E4" s="3495" t="s">
        <v>1771</v>
      </c>
      <c r="F4" s="3496"/>
      <c r="G4" s="3493" t="s">
        <v>1772</v>
      </c>
      <c r="H4" s="3494"/>
      <c r="I4" s="3493" t="s">
        <v>1773</v>
      </c>
      <c r="J4" s="3494"/>
      <c r="K4" s="537" t="s">
        <v>1774</v>
      </c>
      <c r="L4" s="2482"/>
      <c r="M4" s="2483"/>
      <c r="N4" s="2483"/>
      <c r="O4" s="2483"/>
      <c r="P4" s="3497" t="s">
        <v>1775</v>
      </c>
      <c r="Q4" s="3498"/>
      <c r="R4" s="3503" t="s">
        <v>1771</v>
      </c>
      <c r="S4" s="3504"/>
      <c r="T4" s="3503" t="s">
        <v>1772</v>
      </c>
      <c r="U4" s="3504"/>
      <c r="V4" s="3479" t="s">
        <v>1773</v>
      </c>
      <c r="W4" s="3479"/>
      <c r="X4" s="1262"/>
      <c r="Y4" s="3503" t="s">
        <v>1775</v>
      </c>
      <c r="Z4" s="3504"/>
      <c r="AA4" s="3490" t="s">
        <v>1771</v>
      </c>
      <c r="AB4" s="3491" t="s">
        <v>1772</v>
      </c>
      <c r="AC4" s="3490" t="s">
        <v>1773</v>
      </c>
    </row>
    <row r="5" spans="1:29" ht="15">
      <c r="A5" s="348"/>
      <c r="B5" s="349"/>
      <c r="C5" s="3511" t="s">
        <v>1673</v>
      </c>
      <c r="D5" s="3512"/>
      <c r="E5" s="3518" t="s">
        <v>1674</v>
      </c>
      <c r="F5" s="3519"/>
      <c r="G5" s="3511" t="s">
        <v>1675</v>
      </c>
      <c r="H5" s="3512"/>
      <c r="I5" s="3511" t="s">
        <v>1676</v>
      </c>
      <c r="J5" s="3512"/>
      <c r="K5" s="537"/>
      <c r="L5" s="2482"/>
      <c r="M5" s="2483"/>
      <c r="N5" s="2483"/>
      <c r="O5" s="2483"/>
      <c r="P5" s="3499"/>
      <c r="Q5" s="3500"/>
      <c r="R5" s="3505"/>
      <c r="S5" s="3506"/>
      <c r="T5" s="3505"/>
      <c r="U5" s="3506"/>
      <c r="V5" s="3479"/>
      <c r="W5" s="3479"/>
      <c r="X5" s="1262"/>
      <c r="Y5" s="3505"/>
      <c r="Z5" s="3506"/>
      <c r="AA5" s="3491"/>
      <c r="AB5" s="3491"/>
      <c r="AC5" s="3491"/>
    </row>
    <row r="6" spans="1:29" ht="15.75" thickBot="1">
      <c r="A6" s="350"/>
      <c r="B6" s="351"/>
      <c r="C6" s="3548" t="s">
        <v>1919</v>
      </c>
      <c r="D6" s="3549"/>
      <c r="E6" s="3550" t="s">
        <v>1919</v>
      </c>
      <c r="F6" s="3551"/>
      <c r="G6" s="3548" t="s">
        <v>1919</v>
      </c>
      <c r="H6" s="3549"/>
      <c r="I6" s="3548" t="s">
        <v>1919</v>
      </c>
      <c r="J6" s="3549"/>
      <c r="K6" s="537" t="s">
        <v>1678</v>
      </c>
      <c r="L6" s="2482"/>
      <c r="M6" s="2483"/>
      <c r="N6" s="2483"/>
      <c r="O6" s="2483"/>
      <c r="P6" s="3501"/>
      <c r="Q6" s="3502"/>
      <c r="R6" s="3505"/>
      <c r="S6" s="3506"/>
      <c r="T6" s="3507"/>
      <c r="U6" s="3508"/>
      <c r="V6" s="3479"/>
      <c r="W6" s="3479"/>
      <c r="X6" s="1262"/>
      <c r="Y6" s="3507"/>
      <c r="Z6" s="3508"/>
      <c r="AA6" s="3492"/>
      <c r="AB6" s="3492"/>
      <c r="AC6" s="3492"/>
    </row>
    <row r="7" spans="1:29" s="102" customFormat="1" ht="15.75" thickBot="1">
      <c r="A7" s="352" t="s">
        <v>1679</v>
      </c>
      <c r="B7" s="353"/>
      <c r="C7" s="354">
        <f>'数据-取费表'!B2</f>
        <v>45215</v>
      </c>
      <c r="D7" s="355">
        <v>100</v>
      </c>
      <c r="E7" s="356"/>
      <c r="F7" s="357">
        <f>SUMIF(65:65,YEAR(E7)&amp;"-"&amp;INT((MONTH(E7)+2)/3),66:66)</f>
        <v>0</v>
      </c>
      <c r="G7" s="1819"/>
      <c r="H7" s="355">
        <f>SUMIF(65:65,YEAR(G7)&amp;"-"&amp;INT((MONTH(G7)+2)/3),66:66)</f>
        <v>0</v>
      </c>
      <c r="I7" s="1819"/>
      <c r="J7" s="355">
        <f>SUMIF(65:65,YEAR(I7)&amp;"-"&amp;INT((MONTH(I7)+2)/3),66:66)</f>
        <v>0</v>
      </c>
      <c r="K7" s="38"/>
      <c r="L7" s="2484"/>
      <c r="M7" s="2435"/>
      <c r="N7" s="2435"/>
      <c r="O7" s="2435"/>
      <c r="P7" s="3513" t="s">
        <v>1680</v>
      </c>
      <c r="Q7" s="3515"/>
      <c r="R7" s="660" t="s">
        <v>14</v>
      </c>
      <c r="S7" s="661">
        <f t="shared" ref="S7:S15" si="0">F7</f>
        <v>0</v>
      </c>
      <c r="T7" s="660" t="s">
        <v>14</v>
      </c>
      <c r="U7" s="661">
        <f t="shared" ref="U7:U15" si="1">H7</f>
        <v>0</v>
      </c>
      <c r="V7" s="660" t="s">
        <v>14</v>
      </c>
      <c r="W7" s="661">
        <f t="shared" ref="W7:W15" si="2">J7</f>
        <v>0</v>
      </c>
      <c r="X7" s="662"/>
      <c r="Y7" s="3513" t="s">
        <v>1680</v>
      </c>
      <c r="Z7" s="35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513" t="s">
        <v>1683</v>
      </c>
      <c r="Q8" s="3514"/>
      <c r="R8" s="660" t="s">
        <v>14</v>
      </c>
      <c r="S8" s="661">
        <f t="shared" si="0"/>
        <v>0</v>
      </c>
      <c r="T8" s="660" t="s">
        <v>14</v>
      </c>
      <c r="U8" s="661">
        <f t="shared" si="1"/>
        <v>0</v>
      </c>
      <c r="V8" s="660" t="s">
        <v>14</v>
      </c>
      <c r="W8" s="661">
        <f t="shared" si="2"/>
        <v>0</v>
      </c>
      <c r="X8" s="662"/>
      <c r="Y8" s="3513" t="s">
        <v>1683</v>
      </c>
      <c r="Z8" s="3514"/>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4"/>
      <c r="M9" s="2435"/>
      <c r="N9" s="2435"/>
      <c r="O9" s="2536"/>
      <c r="P9" s="3478" t="s">
        <v>1686</v>
      </c>
      <c r="Q9" s="530" t="str">
        <f t="shared" ref="Q9:Q15" si="6">B9</f>
        <v>用途</v>
      </c>
      <c r="R9" s="660" t="s">
        <v>14</v>
      </c>
      <c r="S9" s="661">
        <f t="shared" si="0"/>
        <v>100</v>
      </c>
      <c r="T9" s="660" t="s">
        <v>14</v>
      </c>
      <c r="U9" s="661">
        <f t="shared" si="1"/>
        <v>100</v>
      </c>
      <c r="V9" s="660" t="s">
        <v>14</v>
      </c>
      <c r="W9" s="661">
        <f t="shared" si="2"/>
        <v>100</v>
      </c>
      <c r="X9" s="662"/>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5"/>
      <c r="M10" s="2486"/>
      <c r="N10" s="2486"/>
      <c r="O10" s="2537"/>
      <c r="P10" s="3478"/>
      <c r="Q10" s="530" t="str">
        <f t="shared" si="6"/>
        <v>土地使用年限（年）</v>
      </c>
      <c r="R10" s="660" t="s">
        <v>14</v>
      </c>
      <c r="S10" s="661" t="e">
        <f t="shared" si="0"/>
        <v>#DIV/0!</v>
      </c>
      <c r="T10" s="660" t="s">
        <v>14</v>
      </c>
      <c r="U10" s="661" t="e">
        <f t="shared" si="1"/>
        <v>#DIV/0!</v>
      </c>
      <c r="V10" s="660" t="s">
        <v>14</v>
      </c>
      <c r="W10" s="661" t="e">
        <f t="shared" si="2"/>
        <v>#DIV/0!</v>
      </c>
      <c r="X10" s="662"/>
      <c r="Y10" s="33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7"/>
      <c r="M11" s="2483"/>
      <c r="N11" s="2483"/>
      <c r="O11" s="2538"/>
      <c r="P11" s="3478"/>
      <c r="Q11" s="530" t="str">
        <f t="shared" si="6"/>
        <v>容积率</v>
      </c>
      <c r="R11" s="660" t="s">
        <v>14</v>
      </c>
      <c r="S11" s="661" t="e">
        <f t="shared" si="0"/>
        <v>#N/A</v>
      </c>
      <c r="T11" s="660" t="s">
        <v>14</v>
      </c>
      <c r="U11" s="661" t="e">
        <f t="shared" si="1"/>
        <v>#N/A</v>
      </c>
      <c r="V11" s="660" t="s">
        <v>14</v>
      </c>
      <c r="W11" s="661" t="e">
        <f t="shared" si="2"/>
        <v>#N/A</v>
      </c>
      <c r="X11" s="662"/>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4"/>
      <c r="M12" s="2435"/>
      <c r="N12" s="2435"/>
      <c r="O12" s="2536"/>
      <c r="P12" s="3478"/>
      <c r="Q12" s="530">
        <f t="shared" si="6"/>
        <v>111</v>
      </c>
      <c r="R12" s="660" t="s">
        <v>14</v>
      </c>
      <c r="S12" s="661">
        <f t="shared" si="0"/>
        <v>100</v>
      </c>
      <c r="T12" s="660" t="s">
        <v>14</v>
      </c>
      <c r="U12" s="661">
        <f t="shared" si="1"/>
        <v>100</v>
      </c>
      <c r="V12" s="660" t="s">
        <v>14</v>
      </c>
      <c r="W12" s="661">
        <f t="shared" si="2"/>
        <v>100</v>
      </c>
      <c r="X12" s="662"/>
      <c r="Y12" s="33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8"/>
      <c r="M13" s="2483"/>
      <c r="N13" s="2483"/>
      <c r="O13" s="2538"/>
      <c r="P13" s="3478"/>
      <c r="Q13" s="530">
        <f t="shared" si="6"/>
        <v>111</v>
      </c>
      <c r="R13" s="660" t="s">
        <v>14</v>
      </c>
      <c r="S13" s="661">
        <f t="shared" si="0"/>
        <v>100</v>
      </c>
      <c r="T13" s="660" t="s">
        <v>14</v>
      </c>
      <c r="U13" s="661">
        <f t="shared" si="1"/>
        <v>100</v>
      </c>
      <c r="V13" s="660" t="s">
        <v>14</v>
      </c>
      <c r="W13" s="661">
        <f t="shared" si="2"/>
        <v>100</v>
      </c>
      <c r="X13" s="662"/>
      <c r="Y13" s="3353"/>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3"/>
      <c r="H14" s="377">
        <f>SUMIF(81:81,G14,82:82)-SUMIF(81:81,C14,82:82)+100</f>
        <v>100</v>
      </c>
      <c r="I14" s="480"/>
      <c r="J14" s="377">
        <f>SUMIF(81:81,I14,82:82)-SUMIF(81:81,C14,82:82)+100</f>
        <v>100</v>
      </c>
      <c r="K14" s="591"/>
      <c r="L14" s="2488"/>
      <c r="M14" s="2483"/>
      <c r="N14" s="2483"/>
      <c r="O14" s="2538"/>
      <c r="P14" s="3478"/>
      <c r="Q14" s="530">
        <f t="shared" si="6"/>
        <v>111</v>
      </c>
      <c r="R14" s="660" t="s">
        <v>14</v>
      </c>
      <c r="S14" s="661">
        <f t="shared" si="0"/>
        <v>100</v>
      </c>
      <c r="T14" s="660" t="s">
        <v>14</v>
      </c>
      <c r="U14" s="661">
        <f t="shared" si="1"/>
        <v>100</v>
      </c>
      <c r="V14" s="660" t="s">
        <v>14</v>
      </c>
      <c r="W14" s="661">
        <f t="shared" si="2"/>
        <v>100</v>
      </c>
      <c r="X14" s="662"/>
      <c r="Y14" s="3353"/>
      <c r="Z14" s="50">
        <f t="shared" si="7"/>
        <v>111</v>
      </c>
      <c r="AA14" s="50">
        <f t="shared" si="3"/>
        <v>1</v>
      </c>
      <c r="AB14" s="50">
        <f t="shared" si="4"/>
        <v>1</v>
      </c>
      <c r="AC14" s="50">
        <f t="shared" si="5"/>
        <v>1</v>
      </c>
    </row>
    <row r="15" spans="1:29" ht="57">
      <c r="A15" s="379" t="s">
        <v>1690</v>
      </c>
      <c r="B15" s="553"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8"/>
      <c r="M15" s="2483"/>
      <c r="N15" s="2483"/>
      <c r="O15" s="2538"/>
      <c r="P15" s="3480" t="s">
        <v>1691</v>
      </c>
      <c r="Q15" s="1260" t="str">
        <f t="shared" si="6"/>
        <v>产业集聚程度</v>
      </c>
      <c r="R15" s="663" t="s">
        <v>14</v>
      </c>
      <c r="S15" s="664">
        <f t="shared" si="0"/>
        <v>100</v>
      </c>
      <c r="T15" s="663" t="s">
        <v>14</v>
      </c>
      <c r="U15" s="664">
        <f t="shared" si="1"/>
        <v>100</v>
      </c>
      <c r="V15" s="663" t="s">
        <v>14</v>
      </c>
      <c r="W15" s="664">
        <f t="shared" si="2"/>
        <v>100</v>
      </c>
      <c r="X15" s="1262"/>
      <c r="Y15" s="3480" t="s">
        <v>1691</v>
      </c>
      <c r="Z15" s="1261" t="str">
        <f t="shared" si="7"/>
        <v>产业集聚程度</v>
      </c>
      <c r="AA15" s="1261">
        <f t="shared" si="3"/>
        <v>1</v>
      </c>
      <c r="AB15" s="1261">
        <f t="shared" si="4"/>
        <v>1</v>
      </c>
      <c r="AC15" s="1261">
        <f t="shared" si="5"/>
        <v>1</v>
      </c>
    </row>
    <row r="16" spans="1:29" ht="15">
      <c r="A16" s="367"/>
      <c r="B16" s="554"/>
      <c r="C16" s="386"/>
      <c r="D16" s="387"/>
      <c r="E16" s="1755"/>
      <c r="F16" s="387"/>
      <c r="G16" s="1755"/>
      <c r="H16" s="389"/>
      <c r="I16" s="1755"/>
      <c r="J16" s="387"/>
      <c r="K16" s="591"/>
      <c r="L16" s="2488"/>
      <c r="M16" s="2483"/>
      <c r="N16" s="2483"/>
      <c r="O16" s="2538"/>
      <c r="P16" s="3481"/>
      <c r="Q16" s="1260"/>
      <c r="R16" s="663"/>
      <c r="S16" s="664"/>
      <c r="T16" s="663"/>
      <c r="U16" s="664"/>
      <c r="V16" s="663"/>
      <c r="W16" s="664"/>
      <c r="X16" s="1262"/>
      <c r="Y16" s="3481"/>
      <c r="Z16" s="1261"/>
      <c r="AA16" s="1261">
        <v>1</v>
      </c>
      <c r="AB16" s="1261">
        <v>1</v>
      </c>
      <c r="AC16" s="1261">
        <v>1</v>
      </c>
    </row>
    <row r="17" spans="1:29" ht="85.5">
      <c r="A17" s="367"/>
      <c r="B17" s="555"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8"/>
      <c r="M17" s="2483"/>
      <c r="N17" s="2483"/>
      <c r="O17" s="2538"/>
      <c r="P17" s="3481"/>
      <c r="Q17" s="1260" t="str">
        <f>B17</f>
        <v>交通便捷度</v>
      </c>
      <c r="R17" s="663" t="s">
        <v>14</v>
      </c>
      <c r="S17" s="664">
        <f>F17</f>
        <v>100</v>
      </c>
      <c r="T17" s="663" t="s">
        <v>14</v>
      </c>
      <c r="U17" s="664">
        <f>H17</f>
        <v>100</v>
      </c>
      <c r="V17" s="663" t="s">
        <v>14</v>
      </c>
      <c r="W17" s="664">
        <f>J17</f>
        <v>100</v>
      </c>
      <c r="X17" s="1262"/>
      <c r="Y17" s="3481"/>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1"/>
      <c r="L18" s="2488"/>
      <c r="M18" s="2483"/>
      <c r="N18" s="2483"/>
      <c r="O18" s="2538"/>
      <c r="P18" s="3481"/>
      <c r="Q18" s="1260"/>
      <c r="R18" s="663"/>
      <c r="S18" s="664"/>
      <c r="T18" s="663"/>
      <c r="U18" s="664"/>
      <c r="V18" s="663"/>
      <c r="W18" s="664"/>
      <c r="X18" s="1262"/>
      <c r="Y18" s="3481"/>
      <c r="Z18" s="1261"/>
      <c r="AA18" s="1261">
        <v>1</v>
      </c>
      <c r="AB18" s="1261">
        <v>1</v>
      </c>
      <c r="AC18" s="1261">
        <v>1</v>
      </c>
    </row>
    <row r="19" spans="1:29" ht="15">
      <c r="A19" s="367"/>
      <c r="B19" s="555"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8"/>
      <c r="M19" s="2483"/>
      <c r="N19" s="2483"/>
      <c r="O19" s="2538"/>
      <c r="P19" s="3481"/>
      <c r="Q19" s="1260" t="str">
        <f t="shared" ref="Q19:Q33" si="8">B19</f>
        <v>区域土地利用方向</v>
      </c>
      <c r="R19" s="663" t="s">
        <v>14</v>
      </c>
      <c r="S19" s="664">
        <f>F19</f>
        <v>100</v>
      </c>
      <c r="T19" s="663" t="s">
        <v>14</v>
      </c>
      <c r="U19" s="664">
        <f>H19</f>
        <v>100</v>
      </c>
      <c r="V19" s="663" t="s">
        <v>14</v>
      </c>
      <c r="W19" s="664">
        <f>J19</f>
        <v>100</v>
      </c>
      <c r="X19" s="1262"/>
      <c r="Y19" s="3481"/>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4"/>
      <c r="L20" s="2488"/>
      <c r="M20" s="2483"/>
      <c r="N20" s="2483"/>
      <c r="O20" s="2538"/>
      <c r="P20" s="3481"/>
      <c r="Q20" s="1260"/>
      <c r="R20" s="663"/>
      <c r="S20" s="664"/>
      <c r="T20" s="663"/>
      <c r="U20" s="664"/>
      <c r="V20" s="663"/>
      <c r="W20" s="664"/>
      <c r="X20" s="1262"/>
      <c r="Y20" s="3481"/>
      <c r="Z20" s="1261"/>
      <c r="AA20" s="1261"/>
      <c r="AB20" s="1261"/>
      <c r="AC20" s="1261"/>
    </row>
    <row r="21" spans="1:29" ht="71.25">
      <c r="A21" s="348"/>
      <c r="B21" s="555"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8"/>
      <c r="M21" s="2483"/>
      <c r="N21" s="2483"/>
      <c r="O21" s="2538"/>
      <c r="P21" s="3481"/>
      <c r="Q21" s="1260" t="str">
        <f t="shared" si="8"/>
        <v>环境状况</v>
      </c>
      <c r="R21" s="663" t="s">
        <v>14</v>
      </c>
      <c r="S21" s="664">
        <f>F21</f>
        <v>100</v>
      </c>
      <c r="T21" s="663" t="s">
        <v>14</v>
      </c>
      <c r="U21" s="664">
        <f>H21</f>
        <v>100</v>
      </c>
      <c r="V21" s="663" t="s">
        <v>14</v>
      </c>
      <c r="W21" s="664">
        <f>J21</f>
        <v>100</v>
      </c>
      <c r="X21" s="1262"/>
      <c r="Y21" s="3481"/>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1"/>
      <c r="L22" s="2488"/>
      <c r="M22" s="2483"/>
      <c r="N22" s="2483"/>
      <c r="O22" s="2538"/>
      <c r="P22" s="3481"/>
      <c r="Q22" s="1260"/>
      <c r="R22" s="663"/>
      <c r="S22" s="664"/>
      <c r="T22" s="663"/>
      <c r="U22" s="664"/>
      <c r="V22" s="663"/>
      <c r="W22" s="664"/>
      <c r="X22" s="1262"/>
      <c r="Y22" s="3481"/>
      <c r="Z22" s="1261"/>
      <c r="AA22" s="1261">
        <v>1</v>
      </c>
      <c r="AB22" s="1261">
        <v>1</v>
      </c>
      <c r="AC22" s="1261">
        <v>1</v>
      </c>
    </row>
    <row r="23" spans="1:29" s="102" customFormat="1" ht="42.75">
      <c r="A23" s="443"/>
      <c r="B23" s="556"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4"/>
      <c r="M23" s="2435"/>
      <c r="N23" s="2435"/>
      <c r="O23" s="2536"/>
      <c r="P23" s="3481"/>
      <c r="Q23" s="530" t="str">
        <f t="shared" si="8"/>
        <v>公共配套设施</v>
      </c>
      <c r="R23" s="660" t="s">
        <v>14</v>
      </c>
      <c r="S23" s="661">
        <f>F23</f>
        <v>100</v>
      </c>
      <c r="T23" s="660" t="s">
        <v>14</v>
      </c>
      <c r="U23" s="661">
        <f>H23</f>
        <v>100</v>
      </c>
      <c r="V23" s="660" t="s">
        <v>14</v>
      </c>
      <c r="W23" s="661">
        <f>J23</f>
        <v>100</v>
      </c>
      <c r="X23" s="662"/>
      <c r="Y23" s="3481"/>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1"/>
      <c r="L24" s="2484"/>
      <c r="M24" s="2435"/>
      <c r="N24" s="2435"/>
      <c r="O24" s="2536"/>
      <c r="P24" s="3481"/>
      <c r="Q24" s="530"/>
      <c r="R24" s="660"/>
      <c r="S24" s="661"/>
      <c r="T24" s="660"/>
      <c r="U24" s="661"/>
      <c r="V24" s="660"/>
      <c r="W24" s="661"/>
      <c r="X24" s="662"/>
      <c r="Y24" s="3481"/>
      <c r="Z24" s="50"/>
      <c r="AA24" s="50">
        <v>1</v>
      </c>
      <c r="AB24" s="50">
        <v>1</v>
      </c>
      <c r="AC24" s="50">
        <v>1</v>
      </c>
    </row>
    <row r="25" spans="1:29" s="102" customFormat="1" ht="28.5">
      <c r="A25" s="443"/>
      <c r="B25" s="556"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4"/>
      <c r="M25" s="2435"/>
      <c r="N25" s="2435"/>
      <c r="O25" s="2536"/>
      <c r="P25" s="3481"/>
      <c r="Q25" s="530" t="str">
        <f t="shared" ref="Q25" si="9">B25</f>
        <v>基础设施水平</v>
      </c>
      <c r="R25" s="660" t="s">
        <v>14</v>
      </c>
      <c r="S25" s="661">
        <f>F25</f>
        <v>100</v>
      </c>
      <c r="T25" s="660" t="s">
        <v>14</v>
      </c>
      <c r="U25" s="661">
        <f>H25</f>
        <v>100</v>
      </c>
      <c r="V25" s="660" t="s">
        <v>14</v>
      </c>
      <c r="W25" s="661">
        <f>J25</f>
        <v>100</v>
      </c>
      <c r="X25" s="662"/>
      <c r="Y25" s="3481"/>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1"/>
      <c r="L26" s="2484"/>
      <c r="M26" s="2435"/>
      <c r="N26" s="2435"/>
      <c r="O26" s="2536"/>
      <c r="P26" s="3481"/>
      <c r="Q26" s="530"/>
      <c r="R26" s="660"/>
      <c r="S26" s="661"/>
      <c r="T26" s="660"/>
      <c r="U26" s="661"/>
      <c r="V26" s="660"/>
      <c r="W26" s="661"/>
      <c r="X26" s="662"/>
      <c r="Y26" s="3481"/>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8"/>
      <c r="M27" s="2483"/>
      <c r="N27" s="2483"/>
      <c r="O27" s="2538"/>
      <c r="P27" s="3481"/>
      <c r="Q27" s="1260" t="str">
        <f t="shared" si="8"/>
        <v>临街状况</v>
      </c>
      <c r="R27" s="663" t="s">
        <v>14</v>
      </c>
      <c r="S27" s="664">
        <f t="shared" ref="S27:S40" si="10">F27</f>
        <v>100</v>
      </c>
      <c r="T27" s="663" t="s">
        <v>14</v>
      </c>
      <c r="U27" s="664">
        <f t="shared" ref="U27:U40" si="11">H27</f>
        <v>100</v>
      </c>
      <c r="V27" s="663" t="s">
        <v>14</v>
      </c>
      <c r="W27" s="664">
        <f t="shared" ref="W27:W40" si="12">J27</f>
        <v>100</v>
      </c>
      <c r="X27" s="1262"/>
      <c r="Y27" s="3481"/>
      <c r="Z27" s="1261" t="str">
        <f t="shared" ref="Z27:Z40" si="13">Q27</f>
        <v>临街状况</v>
      </c>
      <c r="AA27" s="1261">
        <f t="shared" si="3"/>
        <v>1</v>
      </c>
      <c r="AB27" s="1261">
        <f t="shared" si="4"/>
        <v>1</v>
      </c>
      <c r="AC27" s="1261">
        <f t="shared" si="5"/>
        <v>1</v>
      </c>
    </row>
    <row r="28" spans="1:29" ht="27">
      <c r="A28" s="367"/>
      <c r="B28" s="556"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8"/>
      <c r="M28" s="2483"/>
      <c r="N28" s="2483"/>
      <c r="O28" s="2538"/>
      <c r="P28" s="3481"/>
      <c r="Q28" s="1260" t="str">
        <f t="shared" si="8"/>
        <v>毗邻道路的类型与等级</v>
      </c>
      <c r="R28" s="663" t="s">
        <v>14</v>
      </c>
      <c r="S28" s="664">
        <f t="shared" si="10"/>
        <v>100</v>
      </c>
      <c r="T28" s="663" t="s">
        <v>14</v>
      </c>
      <c r="U28" s="664">
        <f t="shared" si="11"/>
        <v>100</v>
      </c>
      <c r="V28" s="663" t="s">
        <v>14</v>
      </c>
      <c r="W28" s="664">
        <f t="shared" si="12"/>
        <v>100</v>
      </c>
      <c r="X28" s="1262"/>
      <c r="Y28" s="3481"/>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8"/>
      <c r="M29" s="2483"/>
      <c r="N29" s="2483"/>
      <c r="O29" s="2538"/>
      <c r="P29" s="3481"/>
      <c r="Q29" s="1260"/>
      <c r="R29" s="663"/>
      <c r="S29" s="664"/>
      <c r="T29" s="663"/>
      <c r="U29" s="664"/>
      <c r="V29" s="663"/>
      <c r="W29" s="664"/>
      <c r="X29" s="1262"/>
      <c r="Y29" s="3481"/>
      <c r="Z29" s="1261"/>
      <c r="AA29" s="1261">
        <v>1</v>
      </c>
      <c r="AB29" s="1261">
        <v>1</v>
      </c>
      <c r="AC29" s="1261">
        <v>1</v>
      </c>
    </row>
    <row r="30" spans="1:29" ht="15">
      <c r="A30" s="367"/>
      <c r="B30" s="119" t="s">
        <v>1873</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8"/>
      <c r="M30" s="2483"/>
      <c r="N30" s="2483"/>
      <c r="O30" s="2538"/>
      <c r="P30" s="3481"/>
      <c r="Q30" s="1260" t="str">
        <f t="shared" si="8"/>
        <v>土地级别</v>
      </c>
      <c r="R30" s="663" t="s">
        <v>14</v>
      </c>
      <c r="S30" s="664">
        <f t="shared" si="10"/>
        <v>100</v>
      </c>
      <c r="T30" s="663" t="s">
        <v>14</v>
      </c>
      <c r="U30" s="664">
        <f t="shared" si="11"/>
        <v>100</v>
      </c>
      <c r="V30" s="663" t="s">
        <v>14</v>
      </c>
      <c r="W30" s="664">
        <f t="shared" si="12"/>
        <v>100</v>
      </c>
      <c r="X30" s="1262"/>
      <c r="Y30" s="3481"/>
      <c r="Z30" s="1261" t="str">
        <f t="shared" si="13"/>
        <v>土地级别</v>
      </c>
      <c r="AA30" s="1261">
        <f t="shared" si="3"/>
        <v>1</v>
      </c>
      <c r="AB30" s="1261">
        <f t="shared" si="4"/>
        <v>1</v>
      </c>
      <c r="AC30" s="1261">
        <f t="shared" si="5"/>
        <v>1</v>
      </c>
    </row>
    <row r="31" spans="1:29" ht="15">
      <c r="A31" s="348"/>
      <c r="B31" s="1096">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81"/>
      <c r="Q31" s="1260">
        <f t="shared" si="8"/>
        <v>111</v>
      </c>
      <c r="R31" s="663" t="s">
        <v>14</v>
      </c>
      <c r="S31" s="664">
        <f t="shared" si="10"/>
        <v>100</v>
      </c>
      <c r="T31" s="663" t="s">
        <v>14</v>
      </c>
      <c r="U31" s="664">
        <f t="shared" si="11"/>
        <v>100</v>
      </c>
      <c r="V31" s="663" t="s">
        <v>14</v>
      </c>
      <c r="W31" s="664">
        <f t="shared" si="12"/>
        <v>100</v>
      </c>
      <c r="X31" s="1262"/>
      <c r="Y31" s="3481"/>
      <c r="Z31" s="1261">
        <f t="shared" si="13"/>
        <v>111</v>
      </c>
      <c r="AA31" s="1261">
        <f t="shared" si="3"/>
        <v>1</v>
      </c>
      <c r="AB31" s="1261">
        <f t="shared" si="4"/>
        <v>1</v>
      </c>
      <c r="AC31" s="1261">
        <f t="shared" si="5"/>
        <v>1</v>
      </c>
    </row>
    <row r="32" spans="1:29" ht="15">
      <c r="A32" s="594"/>
      <c r="B32" s="1836">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8"/>
      <c r="M32" s="2483"/>
      <c r="N32" s="2483"/>
      <c r="O32" s="2538"/>
      <c r="P32" s="3543" t="s">
        <v>1696</v>
      </c>
      <c r="Q32" s="1260">
        <f t="shared" si="8"/>
        <v>111</v>
      </c>
      <c r="R32" s="663" t="s">
        <v>14</v>
      </c>
      <c r="S32" s="664">
        <f t="shared" si="10"/>
        <v>100</v>
      </c>
      <c r="T32" s="663" t="s">
        <v>14</v>
      </c>
      <c r="U32" s="664">
        <f t="shared" si="11"/>
        <v>100</v>
      </c>
      <c r="V32" s="663" t="s">
        <v>14</v>
      </c>
      <c r="W32" s="664">
        <f t="shared" si="12"/>
        <v>100</v>
      </c>
      <c r="X32" s="1262"/>
      <c r="Y32" s="3485" t="s">
        <v>1696</v>
      </c>
      <c r="Z32" s="1261">
        <f t="shared" si="13"/>
        <v>111</v>
      </c>
      <c r="AA32" s="1261">
        <f t="shared" si="3"/>
        <v>1</v>
      </c>
      <c r="AB32" s="1261">
        <f t="shared" si="4"/>
        <v>1</v>
      </c>
      <c r="AC32" s="1261">
        <f t="shared" si="5"/>
        <v>1</v>
      </c>
    </row>
    <row r="33" spans="1:31" s="408" customFormat="1" ht="15.75" thickBot="1">
      <c r="A33" s="595"/>
      <c r="B33" s="1837">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7"/>
      <c r="M33" s="2489"/>
      <c r="N33" s="2489"/>
      <c r="O33" s="2539"/>
      <c r="P33" s="3485"/>
      <c r="Q33" s="1260">
        <f t="shared" si="8"/>
        <v>111</v>
      </c>
      <c r="R33" s="665" t="s">
        <v>14</v>
      </c>
      <c r="S33" s="666">
        <f t="shared" si="10"/>
        <v>100</v>
      </c>
      <c r="T33" s="665" t="s">
        <v>14</v>
      </c>
      <c r="U33" s="666">
        <f t="shared" si="11"/>
        <v>100</v>
      </c>
      <c r="V33" s="665" t="s">
        <v>14</v>
      </c>
      <c r="W33" s="666">
        <f t="shared" si="12"/>
        <v>100</v>
      </c>
      <c r="X33" s="667"/>
      <c r="Y33" s="3485"/>
      <c r="Z33" s="668">
        <f t="shared" si="13"/>
        <v>111</v>
      </c>
      <c r="AA33" s="1261">
        <f t="shared" si="3"/>
        <v>1</v>
      </c>
      <c r="AB33" s="1261">
        <f t="shared" si="4"/>
        <v>1</v>
      </c>
      <c r="AC33" s="1261">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8"/>
      <c r="M34" s="2483"/>
      <c r="N34" s="2483"/>
      <c r="O34" s="2538"/>
      <c r="P34" s="3485"/>
      <c r="Q34" s="1260" t="str">
        <f>B34</f>
        <v>宗地面积</v>
      </c>
      <c r="R34" s="663" t="s">
        <v>14</v>
      </c>
      <c r="S34" s="664" t="e">
        <f t="shared" si="10"/>
        <v>#N/A</v>
      </c>
      <c r="T34" s="663" t="s">
        <v>14</v>
      </c>
      <c r="U34" s="664" t="e">
        <f t="shared" si="11"/>
        <v>#N/A</v>
      </c>
      <c r="V34" s="663" t="s">
        <v>14</v>
      </c>
      <c r="W34" s="664" t="e">
        <f t="shared" si="12"/>
        <v>#N/A</v>
      </c>
      <c r="X34" s="1262"/>
      <c r="Y34" s="3485"/>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8"/>
      <c r="M35" s="2483"/>
      <c r="N35" s="2483"/>
      <c r="O35" s="2538"/>
      <c r="P35" s="3485"/>
      <c r="Q35" s="1260" t="str">
        <f t="shared" ref="Q35:Q40" si="14">B35</f>
        <v>宗地形状</v>
      </c>
      <c r="R35" s="663" t="s">
        <v>14</v>
      </c>
      <c r="S35" s="664">
        <f t="shared" si="10"/>
        <v>100</v>
      </c>
      <c r="T35" s="663" t="s">
        <v>14</v>
      </c>
      <c r="U35" s="664">
        <f t="shared" si="11"/>
        <v>100</v>
      </c>
      <c r="V35" s="663" t="s">
        <v>14</v>
      </c>
      <c r="W35" s="664">
        <f t="shared" si="12"/>
        <v>100</v>
      </c>
      <c r="X35" s="1262"/>
      <c r="Y35" s="3485"/>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4"/>
      <c r="M36" s="2435"/>
      <c r="N36" s="2435"/>
      <c r="O36" s="2536"/>
      <c r="P36" s="3485"/>
      <c r="Q36" s="1260" t="str">
        <f t="shared" si="14"/>
        <v>宗地开发程度</v>
      </c>
      <c r="R36" s="660" t="s">
        <v>14</v>
      </c>
      <c r="S36" s="661">
        <f t="shared" si="10"/>
        <v>100</v>
      </c>
      <c r="T36" s="660" t="s">
        <v>14</v>
      </c>
      <c r="U36" s="661">
        <f t="shared" si="11"/>
        <v>100</v>
      </c>
      <c r="V36" s="660" t="s">
        <v>14</v>
      </c>
      <c r="W36" s="661">
        <f t="shared" si="12"/>
        <v>100</v>
      </c>
      <c r="X36" s="662"/>
      <c r="Y36" s="3485"/>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8"/>
      <c r="M37" s="2483"/>
      <c r="N37" s="2483"/>
      <c r="O37" s="2538"/>
      <c r="P37" s="3485" t="s">
        <v>1696</v>
      </c>
      <c r="Q37" s="1260" t="str">
        <f t="shared" si="14"/>
        <v>工程地质条件</v>
      </c>
      <c r="R37" s="663" t="s">
        <v>14</v>
      </c>
      <c r="S37" s="664">
        <f t="shared" si="10"/>
        <v>100</v>
      </c>
      <c r="T37" s="663" t="s">
        <v>14</v>
      </c>
      <c r="U37" s="664">
        <f t="shared" si="11"/>
        <v>100</v>
      </c>
      <c r="V37" s="663" t="s">
        <v>14</v>
      </c>
      <c r="W37" s="664">
        <f t="shared" si="12"/>
        <v>100</v>
      </c>
      <c r="X37" s="1262"/>
      <c r="Y37" s="3485" t="s">
        <v>1696</v>
      </c>
      <c r="Z37" s="1261" t="str">
        <f t="shared" si="13"/>
        <v>工程地质条件</v>
      </c>
      <c r="AA37" s="1261">
        <f t="shared" si="3"/>
        <v>1</v>
      </c>
      <c r="AB37" s="1261">
        <f t="shared" si="4"/>
        <v>1</v>
      </c>
      <c r="AC37" s="1261">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8"/>
      <c r="M38" s="2483"/>
      <c r="N38" s="2483"/>
      <c r="O38" s="2538"/>
      <c r="P38" s="3485"/>
      <c r="Q38" s="1260">
        <f t="shared" si="14"/>
        <v>111</v>
      </c>
      <c r="R38" s="663" t="s">
        <v>14</v>
      </c>
      <c r="S38" s="664">
        <f t="shared" si="10"/>
        <v>100</v>
      </c>
      <c r="T38" s="663" t="s">
        <v>14</v>
      </c>
      <c r="U38" s="664">
        <f t="shared" si="11"/>
        <v>100</v>
      </c>
      <c r="V38" s="663" t="s">
        <v>14</v>
      </c>
      <c r="W38" s="664">
        <f t="shared" si="12"/>
        <v>100</v>
      </c>
      <c r="X38" s="1262"/>
      <c r="Y38" s="3485"/>
      <c r="Z38" s="1261">
        <f t="shared" si="13"/>
        <v>111</v>
      </c>
      <c r="AA38" s="1261">
        <f t="shared" si="3"/>
        <v>1</v>
      </c>
      <c r="AB38" s="1261">
        <f t="shared" si="4"/>
        <v>1</v>
      </c>
      <c r="AC38" s="1261">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8"/>
      <c r="M39" s="2483"/>
      <c r="N39" s="2483"/>
      <c r="O39" s="2538"/>
      <c r="P39" s="3485"/>
      <c r="Q39" s="1260">
        <f t="shared" si="14"/>
        <v>111</v>
      </c>
      <c r="R39" s="663" t="s">
        <v>14</v>
      </c>
      <c r="S39" s="664">
        <f t="shared" si="10"/>
        <v>100</v>
      </c>
      <c r="T39" s="663" t="s">
        <v>14</v>
      </c>
      <c r="U39" s="664">
        <f t="shared" si="11"/>
        <v>100</v>
      </c>
      <c r="V39" s="663" t="s">
        <v>14</v>
      </c>
      <c r="W39" s="664">
        <f t="shared" si="12"/>
        <v>100</v>
      </c>
      <c r="X39" s="1262"/>
      <c r="Y39" s="3485"/>
      <c r="Z39" s="1261">
        <f t="shared" si="13"/>
        <v>111</v>
      </c>
      <c r="AA39" s="1261">
        <f t="shared" si="3"/>
        <v>1</v>
      </c>
      <c r="AB39" s="1261">
        <f t="shared" si="4"/>
        <v>1</v>
      </c>
      <c r="AC39" s="1261">
        <f t="shared" si="5"/>
        <v>1</v>
      </c>
    </row>
    <row r="40" spans="1:31" s="408" customFormat="1" ht="15.75" thickBot="1">
      <c r="A40" s="406"/>
      <c r="B40" s="1064">
        <v>111</v>
      </c>
      <c r="C40" s="1826"/>
      <c r="D40" s="120">
        <v>100</v>
      </c>
      <c r="E40" s="593"/>
      <c r="F40" s="377">
        <f>SUMIF(120:120,E40,121:121)-SUMIF(120:120,C40,121:121)+100</f>
        <v>100</v>
      </c>
      <c r="G40" s="593"/>
      <c r="H40" s="377">
        <f>SUMIF(120:120,G40,121:121)-SUMIF(120:120,C40,121:121)+100</f>
        <v>100</v>
      </c>
      <c r="I40" s="480"/>
      <c r="J40" s="377">
        <f>SUMIF(120:120,I40,121:121)-SUMIF(120:120,C40,121:121)+100</f>
        <v>100</v>
      </c>
      <c r="K40" s="600"/>
      <c r="L40" s="2487"/>
      <c r="M40" s="2489"/>
      <c r="N40" s="2489"/>
      <c r="O40" s="2539"/>
      <c r="P40" s="3485"/>
      <c r="Q40" s="1260">
        <f t="shared" si="14"/>
        <v>111</v>
      </c>
      <c r="R40" s="665" t="s">
        <v>14</v>
      </c>
      <c r="S40" s="666">
        <f t="shared" si="10"/>
        <v>100</v>
      </c>
      <c r="T40" s="665" t="s">
        <v>14</v>
      </c>
      <c r="U40" s="666">
        <f t="shared" si="11"/>
        <v>100</v>
      </c>
      <c r="V40" s="665" t="s">
        <v>14</v>
      </c>
      <c r="W40" s="666">
        <f t="shared" si="12"/>
        <v>100</v>
      </c>
      <c r="X40" s="667"/>
      <c r="Y40" s="3485"/>
      <c r="Z40" s="668">
        <f t="shared" si="13"/>
        <v>111</v>
      </c>
      <c r="AA40" s="1261">
        <f t="shared" si="3"/>
        <v>1</v>
      </c>
      <c r="AB40" s="1261">
        <f t="shared" si="4"/>
        <v>1</v>
      </c>
      <c r="AC40" s="1261">
        <f t="shared" si="5"/>
        <v>1</v>
      </c>
    </row>
    <row r="41" spans="1:31" ht="15">
      <c r="A41" s="416" t="s">
        <v>1844</v>
      </c>
      <c r="B41" s="1827" t="s">
        <v>1922</v>
      </c>
      <c r="C41" s="601" t="s">
        <v>0</v>
      </c>
      <c r="D41" s="418"/>
      <c r="E41" s="419"/>
      <c r="F41" s="420"/>
      <c r="G41" s="421"/>
      <c r="H41" s="422"/>
      <c r="I41" s="419"/>
      <c r="J41" s="422"/>
      <c r="K41" s="670"/>
      <c r="L41" s="2490"/>
      <c r="M41" s="2483"/>
      <c r="N41" s="2483"/>
      <c r="O41" s="2483"/>
      <c r="P41" s="3478" t="str">
        <f>A41</f>
        <v>成交单价</v>
      </c>
      <c r="Q41" s="3478"/>
      <c r="R41" s="3479">
        <f>E41</f>
        <v>0</v>
      </c>
      <c r="S41" s="3479"/>
      <c r="T41" s="3479">
        <f>G41</f>
        <v>0</v>
      </c>
      <c r="U41" s="3479"/>
      <c r="V41" s="3479">
        <f>I41</f>
        <v>0</v>
      </c>
      <c r="W41" s="3479"/>
      <c r="X41" s="385"/>
      <c r="Y41" s="669"/>
      <c r="Z41" s="385"/>
      <c r="AA41" s="385"/>
      <c r="AB41" s="385"/>
      <c r="AC41" s="385"/>
    </row>
    <row r="42" spans="1:31" ht="15.75" thickBot="1">
      <c r="A42" s="423" t="s">
        <v>1793</v>
      </c>
      <c r="B42" s="602"/>
      <c r="C42" s="426" t="e">
        <f>R43</f>
        <v>#DIV/0!</v>
      </c>
      <c r="D42" s="2138" t="s">
        <v>2135</v>
      </c>
      <c r="E42" s="426" t="e">
        <f>R42</f>
        <v>#DIV/0!</v>
      </c>
      <c r="F42" s="2139"/>
      <c r="G42" s="425" t="e">
        <f>T42</f>
        <v>#DIV/0!</v>
      </c>
      <c r="H42" s="2139"/>
      <c r="I42" s="426" t="e">
        <f>V42</f>
        <v>#DIV/0!</v>
      </c>
      <c r="J42" s="2139"/>
      <c r="K42" s="2141">
        <f>F42+H42+J42</f>
        <v>0</v>
      </c>
      <c r="L42" s="2490"/>
      <c r="M42" s="2483"/>
      <c r="N42" s="2483"/>
      <c r="O42" s="2483"/>
      <c r="P42" s="3478" t="str">
        <f>A42</f>
        <v>比较价值（元/平方米）</v>
      </c>
      <c r="Q42" s="3478"/>
      <c r="R42" s="3545" t="e">
        <f>ROUND(PRODUCT(R41,AA7:AA40),0)</f>
        <v>#DIV/0!</v>
      </c>
      <c r="S42" s="3545"/>
      <c r="T42" s="3545" t="e">
        <f>ROUND(PRODUCT(T41,AB7:AB40),0)</f>
        <v>#DIV/0!</v>
      </c>
      <c r="U42" s="3545"/>
      <c r="V42" s="3545" t="e">
        <f>ROUND(PRODUCT(V41,AC7:AC40),0)</f>
        <v>#DIV/0!</v>
      </c>
      <c r="W42" s="3545"/>
      <c r="X42" s="385"/>
      <c r="Y42" s="385"/>
      <c r="Z42" s="385"/>
      <c r="AA42" s="385"/>
      <c r="AB42" s="385"/>
      <c r="AC42" s="385"/>
    </row>
    <row r="43" spans="1:31" ht="15.75" thickBot="1">
      <c r="A43" s="427" t="s">
        <v>1794</v>
      </c>
      <c r="B43" s="428"/>
      <c r="C43" s="429" t="e">
        <f>R43</f>
        <v>#DIV/0!</v>
      </c>
      <c r="D43" s="429"/>
      <c r="E43" s="429"/>
      <c r="F43" s="429"/>
      <c r="G43" s="429"/>
      <c r="H43" s="429"/>
      <c r="I43" s="429"/>
      <c r="J43" s="429"/>
      <c r="K43" s="671"/>
      <c r="L43" s="2490"/>
      <c r="M43" s="2483"/>
      <c r="N43" s="2483"/>
      <c r="O43" s="2483"/>
      <c r="P43" s="3475" t="str">
        <f>A43</f>
        <v>估价对象XX用房的比较价值（楼面单价，元/平方米）</v>
      </c>
      <c r="Q43" s="3476"/>
      <c r="R43" s="3546" t="e">
        <f>ROUND(IF(D42="简单平均",AVERAGE(R42:W42),R42*F42+T42*H42+V42*J42),0)</f>
        <v>#DIV/0!</v>
      </c>
      <c r="S43" s="3546"/>
      <c r="T43" s="3546"/>
      <c r="U43" s="3546"/>
      <c r="V43" s="3546"/>
      <c r="W43" s="3546"/>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3"/>
      <c r="D49" s="651"/>
      <c r="E49" s="651"/>
      <c r="F49" s="651"/>
      <c r="G49" s="651"/>
      <c r="H49" s="651"/>
      <c r="I49" s="651"/>
      <c r="J49" s="651"/>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3" t="s">
        <v>1881</v>
      </c>
      <c r="B50" s="604" t="s">
        <v>1882</v>
      </c>
      <c r="C50" s="1828" t="s">
        <v>1883</v>
      </c>
      <c r="D50" s="1829" t="s">
        <v>1884</v>
      </c>
      <c r="E50" s="605" t="s">
        <v>1885</v>
      </c>
      <c r="F50" s="606" t="s">
        <v>1886</v>
      </c>
      <c r="G50" s="3493" t="s">
        <v>1887</v>
      </c>
      <c r="H50" s="3547"/>
      <c r="I50" s="1261" t="s">
        <v>1923</v>
      </c>
      <c r="J50" s="1261">
        <f>项目基本情况!F35</f>
        <v>0</v>
      </c>
      <c r="K50" s="1831"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6">
        <v>1</v>
      </c>
      <c r="E51" s="609">
        <f>'数据-汇总表'!E8+'数据-汇总表'!E9</f>
        <v>0</v>
      </c>
      <c r="F51" s="610" t="e">
        <f t="shared" ref="F51:F60" si="15">ROUND(B51*E51/10000,0)</f>
        <v>#DIV/0!</v>
      </c>
      <c r="G51" s="3489"/>
      <c r="H51" s="3478"/>
      <c r="I51" s="723">
        <v>1</v>
      </c>
      <c r="J51" s="723">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10" t="e">
        <f>ROUND($C$43*C52*D52,0)</f>
        <v>#DIV/0!</v>
      </c>
      <c r="C52" s="163">
        <f t="shared" ref="C52:C60" si="16">IF($C$50="北京市系数",I52,J52)</f>
        <v>0</v>
      </c>
      <c r="D52" s="887">
        <v>0.25</v>
      </c>
      <c r="E52" s="613"/>
      <c r="F52" s="610" t="e">
        <f t="shared" si="15"/>
        <v>#DIV/0!</v>
      </c>
      <c r="G52" s="2746" t="s">
        <v>1892</v>
      </c>
      <c r="H52" s="830">
        <f>项目基本情况!B37</f>
        <v>0</v>
      </c>
      <c r="I52" s="723">
        <f>SUMIF(修正!A57:A68,H52,修正!B57:B68)</f>
        <v>0</v>
      </c>
      <c r="J52" s="724"/>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10" t="e">
        <f t="shared" ref="B53:B60" si="17">ROUND($C$43*C53*D53,0)</f>
        <v>#DIV/0!</v>
      </c>
      <c r="C53" s="163">
        <f t="shared" si="16"/>
        <v>0</v>
      </c>
      <c r="D53" s="887">
        <v>0.25</v>
      </c>
      <c r="E53" s="613"/>
      <c r="F53" s="610" t="e">
        <f t="shared" si="15"/>
        <v>#DIV/0!</v>
      </c>
      <c r="G53" s="2747"/>
      <c r="H53" s="830">
        <f>项目基本情况!B37</f>
        <v>0</v>
      </c>
      <c r="I53" s="723">
        <f>SUMIF(修正!A57:A68,H53,修正!C57:C68)</f>
        <v>0</v>
      </c>
      <c r="J53" s="724"/>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10" t="e">
        <f t="shared" si="17"/>
        <v>#DIV/0!</v>
      </c>
      <c r="C54" s="163">
        <f t="shared" si="16"/>
        <v>0</v>
      </c>
      <c r="D54" s="887">
        <v>0.25</v>
      </c>
      <c r="E54" s="613"/>
      <c r="F54" s="610" t="e">
        <f t="shared" si="15"/>
        <v>#DIV/0!</v>
      </c>
      <c r="G54" s="2747"/>
      <c r="H54" s="830">
        <f>项目基本情况!B37</f>
        <v>0</v>
      </c>
      <c r="I54" s="723">
        <f>SUMIF(修正!A57:A68,H54,修正!D57:D68)</f>
        <v>0</v>
      </c>
      <c r="J54" s="724"/>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10"/>
      <c r="C55" s="163"/>
      <c r="D55" s="887"/>
      <c r="E55" s="613"/>
      <c r="F55" s="610"/>
      <c r="G55" s="2748"/>
      <c r="H55" s="830"/>
      <c r="I55" s="723"/>
      <c r="J55" s="724"/>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10" t="e">
        <f t="shared" si="17"/>
        <v>#DIV/0!</v>
      </c>
      <c r="C56" s="163">
        <f t="shared" si="16"/>
        <v>0</v>
      </c>
      <c r="D56" s="887">
        <v>0.25</v>
      </c>
      <c r="E56" s="209">
        <f>'数据-汇总表'!E11</f>
        <v>0</v>
      </c>
      <c r="F56" s="610" t="e">
        <f t="shared" si="15"/>
        <v>#DIV/0!</v>
      </c>
      <c r="G56" s="1832" t="s">
        <v>1896</v>
      </c>
      <c r="H56" s="830">
        <f>项目基本情况!C37</f>
        <v>0</v>
      </c>
      <c r="I56" s="723">
        <f>SUMIF(修正!A57:A68,H56,修正!E57:E68)</f>
        <v>0</v>
      </c>
      <c r="J56" s="724"/>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10" t="e">
        <f t="shared" si="17"/>
        <v>#DIV/0!</v>
      </c>
      <c r="C57" s="163">
        <f t="shared" si="16"/>
        <v>0</v>
      </c>
      <c r="D57" s="887">
        <v>0.25</v>
      </c>
      <c r="E57" s="209">
        <f>'数据-汇总表'!E12</f>
        <v>0</v>
      </c>
      <c r="F57" s="610" t="e">
        <f t="shared" si="15"/>
        <v>#DIV/0!</v>
      </c>
      <c r="G57" s="835" t="s">
        <v>1898</v>
      </c>
      <c r="H57" s="830">
        <f>IF(G57="商业",项目基本情况!B37,IF(G57="办公",项目基本情况!C37,IF(G57="住宅",项目基本情况!D37,项目基本情况!E37)))</f>
        <v>0</v>
      </c>
      <c r="I57" s="723">
        <f>SUMIF(修正!A57:A68,H57,修正!F57:F68)</f>
        <v>0</v>
      </c>
      <c r="J57" s="724"/>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10" t="e">
        <f t="shared" si="17"/>
        <v>#DIV/0!</v>
      </c>
      <c r="C58" s="163">
        <f t="shared" si="16"/>
        <v>0</v>
      </c>
      <c r="D58" s="887">
        <v>0.25</v>
      </c>
      <c r="E58" s="209">
        <f>'数据-汇总表'!E13</f>
        <v>0</v>
      </c>
      <c r="F58" s="610" t="e">
        <f t="shared" si="15"/>
        <v>#DIV/0!</v>
      </c>
      <c r="G58" s="835" t="s">
        <v>1900</v>
      </c>
      <c r="H58" s="830">
        <f>IF(G58="商业",项目基本情况!B37,IF(G58="办公",项目基本情况!C37,IF(G58="住宅",项目基本情况!D37,项目基本情况!E37)))</f>
        <v>0</v>
      </c>
      <c r="I58" s="723">
        <f>SUMIF(修正!A57:A68,H58,修正!G57:G68)</f>
        <v>0</v>
      </c>
      <c r="J58" s="724"/>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10" t="e">
        <f t="shared" si="17"/>
        <v>#DIV/0!</v>
      </c>
      <c r="C59" s="163">
        <f t="shared" si="16"/>
        <v>0</v>
      </c>
      <c r="D59" s="887">
        <v>0.25</v>
      </c>
      <c r="E59" s="209">
        <f>'数据-汇总表'!E14</f>
        <v>0</v>
      </c>
      <c r="F59" s="610" t="e">
        <f t="shared" si="15"/>
        <v>#DIV/0!</v>
      </c>
      <c r="G59" s="1832" t="s">
        <v>1892</v>
      </c>
      <c r="H59" s="830">
        <f>项目基本情况!B37</f>
        <v>0</v>
      </c>
      <c r="I59" s="723">
        <f>SUMIF(修正!A57:A68,H59,修正!G57:G68)</f>
        <v>0</v>
      </c>
      <c r="J59" s="724"/>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5" thickBot="1">
      <c r="A60" s="612" t="s">
        <v>1902</v>
      </c>
      <c r="B60" s="210" t="e">
        <f t="shared" si="17"/>
        <v>#DIV/0!</v>
      </c>
      <c r="C60" s="163">
        <f t="shared" si="16"/>
        <v>0</v>
      </c>
      <c r="D60" s="887">
        <v>0.25</v>
      </c>
      <c r="E60" s="209">
        <f>'数据-汇总表'!E15</f>
        <v>0</v>
      </c>
      <c r="F60" s="610" t="e">
        <f t="shared" si="15"/>
        <v>#DIV/0!</v>
      </c>
      <c r="G60" s="1833" t="s">
        <v>1896</v>
      </c>
      <c r="H60" s="840">
        <f>项目基本情况!C37</f>
        <v>0</v>
      </c>
      <c r="I60" s="723">
        <f>SUMIF(修正!A57:A68,H60,修正!G57:G68)</f>
        <v>0</v>
      </c>
      <c r="J60" s="724"/>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1"/>
      <c r="H61" s="881"/>
      <c r="I61" s="881"/>
      <c r="J61" s="881"/>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7"/>
      <c r="B62" s="871"/>
      <c r="C62" s="873"/>
      <c r="D62" s="857"/>
      <c r="E62" s="857"/>
      <c r="F62" s="857"/>
      <c r="G62" s="857"/>
      <c r="H62" s="857"/>
      <c r="I62" s="857"/>
      <c r="J62" s="857"/>
      <c r="K62" s="831"/>
      <c r="L62" s="832"/>
      <c r="M62" s="857"/>
      <c r="N62" s="857"/>
      <c r="O62" s="857"/>
      <c r="P62" s="2483"/>
      <c r="Q62" s="2483"/>
      <c r="R62" s="2483"/>
      <c r="S62" s="2483"/>
      <c r="T62" s="2483"/>
      <c r="U62" s="2483"/>
      <c r="V62" s="2483"/>
      <c r="W62" s="2483"/>
      <c r="X62" s="2483"/>
      <c r="Y62" s="2483"/>
      <c r="Z62" s="2483"/>
      <c r="AA62" s="2483"/>
      <c r="AB62" s="2483"/>
      <c r="AC62" s="2483"/>
      <c r="AD62" s="2483"/>
      <c r="AE62" s="2483"/>
    </row>
    <row r="63" spans="1:31">
      <c r="A63" s="857"/>
      <c r="B63" s="871"/>
      <c r="C63" s="652" t="str">
        <f>YEAR(C7)&amp;"-"&amp;MONTH(C7)&amp;"-1"</f>
        <v>2023-10-1</v>
      </c>
      <c r="D63" s="652">
        <f>EDATE(C63,-3)</f>
        <v>45108</v>
      </c>
      <c r="E63" s="652">
        <f>EDATE(D63,-3)</f>
        <v>45017</v>
      </c>
      <c r="F63" s="652">
        <f t="shared" ref="F63:O63" si="18">EDATE(E63,-3)</f>
        <v>44927</v>
      </c>
      <c r="G63" s="652">
        <f t="shared" si="18"/>
        <v>44835</v>
      </c>
      <c r="H63" s="652">
        <f t="shared" si="18"/>
        <v>44743</v>
      </c>
      <c r="I63" s="652">
        <f t="shared" si="18"/>
        <v>44652</v>
      </c>
      <c r="J63" s="652">
        <f t="shared" si="18"/>
        <v>44562</v>
      </c>
      <c r="K63" s="652">
        <f t="shared" si="18"/>
        <v>44470</v>
      </c>
      <c r="L63" s="652">
        <f t="shared" si="18"/>
        <v>44378</v>
      </c>
      <c r="M63" s="652">
        <f t="shared" si="18"/>
        <v>44287</v>
      </c>
      <c r="N63" s="652">
        <f t="shared" si="18"/>
        <v>44197</v>
      </c>
      <c r="O63" s="652">
        <f t="shared" si="18"/>
        <v>44105</v>
      </c>
      <c r="P63" s="2483"/>
      <c r="Q63" s="2483"/>
      <c r="R63" s="2483"/>
      <c r="S63" s="2483"/>
      <c r="T63" s="2483"/>
      <c r="U63" s="2483"/>
      <c r="V63" s="2483"/>
      <c r="W63" s="2483"/>
      <c r="X63" s="2483"/>
      <c r="Y63" s="2483"/>
      <c r="Z63" s="2483"/>
      <c r="AA63" s="2483"/>
      <c r="AB63" s="2483"/>
      <c r="AC63" s="2483"/>
      <c r="AD63" s="2483"/>
      <c r="AE63" s="2483"/>
    </row>
    <row r="64" spans="1:31" ht="21.75" thickBot="1">
      <c r="A64" s="654" t="s">
        <v>1798</v>
      </c>
      <c r="B64" s="385"/>
      <c r="C64" s="655"/>
      <c r="D64" s="655"/>
      <c r="E64" s="655"/>
      <c r="F64" s="656"/>
      <c r="G64" s="656"/>
      <c r="H64" s="655"/>
      <c r="I64" s="655"/>
      <c r="J64" s="655"/>
      <c r="K64" s="657"/>
      <c r="L64" s="658"/>
      <c r="M64" s="655"/>
      <c r="N64" s="655"/>
      <c r="O64" s="882"/>
      <c r="P64" s="2533"/>
      <c r="Q64" s="2504"/>
      <c r="R64" s="2483"/>
      <c r="S64" s="2483"/>
      <c r="T64" s="2483"/>
      <c r="U64" s="2483"/>
      <c r="V64" s="2483"/>
      <c r="W64" s="2483"/>
      <c r="X64" s="2483"/>
      <c r="Y64" s="2483"/>
      <c r="Z64" s="2483"/>
      <c r="AA64" s="2483"/>
      <c r="AB64" s="2483"/>
      <c r="AC64" s="2483"/>
      <c r="AD64" s="2483"/>
      <c r="AE64" s="2483"/>
    </row>
    <row r="65" spans="1:31" s="442" customFormat="1" ht="15">
      <c r="A65" s="1627" t="s">
        <v>1904</v>
      </c>
      <c r="B65" s="1043"/>
      <c r="C65" s="1098" t="str">
        <f>YEAR(C63)&amp;"-"&amp;ROUNDUP(MONTH(C63)/3,0)</f>
        <v>2023-4</v>
      </c>
      <c r="D65" s="1098" t="str">
        <f t="shared" ref="D65:O65" si="19">YEAR(D63)&amp;"-"&amp;ROUNDUP(MONTH(D63)/3,0)</f>
        <v>2023-3</v>
      </c>
      <c r="E65" s="1098" t="str">
        <f t="shared" si="19"/>
        <v>2023-2</v>
      </c>
      <c r="F65" s="1098" t="str">
        <f t="shared" si="19"/>
        <v>2023-1</v>
      </c>
      <c r="G65" s="1098" t="str">
        <f t="shared" si="19"/>
        <v>2022-4</v>
      </c>
      <c r="H65" s="1098" t="str">
        <f t="shared" si="19"/>
        <v>2022-3</v>
      </c>
      <c r="I65" s="1098" t="str">
        <f t="shared" si="19"/>
        <v>2022-2</v>
      </c>
      <c r="J65" s="1098" t="str">
        <f t="shared" si="19"/>
        <v>2022-1</v>
      </c>
      <c r="K65" s="1098" t="str">
        <f t="shared" si="19"/>
        <v>2021-4</v>
      </c>
      <c r="L65" s="1098" t="str">
        <f t="shared" si="19"/>
        <v>2021-3</v>
      </c>
      <c r="M65" s="1098" t="str">
        <f t="shared" si="19"/>
        <v>2021-2</v>
      </c>
      <c r="N65" s="1098" t="str">
        <f t="shared" si="19"/>
        <v>2021-1</v>
      </c>
      <c r="O65" s="1098" t="str">
        <f t="shared" si="19"/>
        <v>2020-4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2">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4"/>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19"/>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2" t="s">
        <v>2081</v>
      </c>
      <c r="B1" s="4"/>
      <c r="C1" s="4"/>
      <c r="D1" s="4"/>
      <c r="E1" s="4"/>
      <c r="F1" s="2540"/>
      <c r="G1" s="2540"/>
      <c r="H1" s="2540"/>
      <c r="I1" s="2540"/>
      <c r="J1" s="2540"/>
      <c r="K1" s="2540"/>
      <c r="L1" s="2540"/>
      <c r="M1" s="2540"/>
      <c r="N1" s="2540"/>
      <c r="O1" s="2540"/>
      <c r="P1" s="2540"/>
    </row>
    <row r="2" spans="1:16" ht="15.75">
      <c r="A2" s="1981" t="s">
        <v>2073</v>
      </c>
      <c r="B2" s="2383" t="e">
        <f ca="1">SUMIF(B6:B13,"&lt;&gt;#ref!",B6:B13)</f>
        <v>#DIV/0!</v>
      </c>
      <c r="C2" s="1981" t="s">
        <v>2074</v>
      </c>
      <c r="D2" s="1981" t="s">
        <v>2075</v>
      </c>
      <c r="E2" s="2393">
        <f ca="1">SUMIF(E6:E13,"&lt;&gt;#ref!",E6:E13)</f>
        <v>0</v>
      </c>
      <c r="F2" s="2540"/>
      <c r="G2" s="2540"/>
      <c r="H2" s="2540"/>
      <c r="I2" s="2540"/>
      <c r="J2" s="2540"/>
      <c r="K2" s="2540"/>
      <c r="L2" s="2540"/>
      <c r="M2" s="2540"/>
      <c r="N2" s="2540"/>
      <c r="O2" s="2540"/>
      <c r="P2" s="2540"/>
    </row>
    <row r="3" spans="1:16" ht="15.75">
      <c r="A3" s="1981" t="s">
        <v>2076</v>
      </c>
      <c r="B3" s="2383" t="e">
        <f ca="1">ROUND(B2*10000/E2,0)</f>
        <v>#DIV/0!</v>
      </c>
      <c r="C3" s="1981"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2077</v>
      </c>
      <c r="B5" s="2391" t="s">
        <v>2078</v>
      </c>
      <c r="C5" s="1982"/>
      <c r="D5" s="2540"/>
      <c r="E5" s="2392" t="s">
        <v>2079</v>
      </c>
      <c r="F5" s="2540"/>
      <c r="G5" s="2540"/>
      <c r="H5" s="2540"/>
      <c r="I5" s="2540"/>
      <c r="J5" s="2540"/>
      <c r="K5" s="2540"/>
      <c r="L5" s="2540"/>
      <c r="M5" s="2540"/>
      <c r="N5" s="2540"/>
      <c r="O5" s="2540"/>
      <c r="P5" s="2540"/>
    </row>
    <row r="6" spans="1:16" ht="15.75">
      <c r="A6" s="2390" t="s">
        <v>2080</v>
      </c>
      <c r="B6" s="2383" t="e">
        <f ca="1">SUMIF(INDIRECT("'"&amp;A6&amp;"'"&amp;"!A:A"),"总价",INDIRECT("'"&amp;A6&amp;"'"&amp;"!B:B"))</f>
        <v>#DIV/0!</v>
      </c>
      <c r="C6" s="1981" t="s">
        <v>2074</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81" t="s">
        <v>2074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1" t="s">
        <v>2074</v>
      </c>
      <c r="D8" s="2540"/>
      <c r="E8" s="2393" t="e">
        <f t="shared" ca="1" si="0"/>
        <v>#REF!</v>
      </c>
      <c r="F8" s="2540"/>
      <c r="G8" s="2540"/>
      <c r="H8" s="2540"/>
      <c r="I8" s="2540"/>
      <c r="J8" s="2540"/>
      <c r="K8" s="2540"/>
      <c r="L8" s="2540"/>
      <c r="M8" s="2540"/>
      <c r="N8" s="2540"/>
      <c r="O8" s="2540"/>
      <c r="P8" s="2540"/>
    </row>
    <row r="9" spans="1:16" ht="15.75">
      <c r="A9" s="2390"/>
      <c r="B9" s="2383" t="e">
        <f t="shared" ca="1" si="1"/>
        <v>#REF!</v>
      </c>
      <c r="C9" s="1981" t="s">
        <v>2074</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1" t="s">
        <v>2074</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1" t="s">
        <v>2074</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1" t="s">
        <v>2074</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1" t="s">
        <v>2074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估价结果一览表（市场价值不需“结果表-1”）</v>
      </c>
      <c r="B3" s="3230"/>
      <c r="C3" s="3230"/>
      <c r="D3" s="3230"/>
      <c r="E3" s="3230"/>
    </row>
    <row r="4" spans="1:5" ht="19.5" thickBot="1">
      <c r="A4" s="1388"/>
      <c r="B4" s="3228" t="s">
        <v>917</v>
      </c>
      <c r="C4" s="3228"/>
      <c r="D4" s="3228"/>
      <c r="E4" s="1388"/>
    </row>
    <row r="5" spans="1:5" ht="16.5" thickTop="1">
      <c r="B5" s="3226" t="s">
        <v>909</v>
      </c>
      <c r="C5" s="1389" t="s">
        <v>910</v>
      </c>
      <c r="D5" s="793" t="e">
        <f ca="1">结果表!H101</f>
        <v>#REF!</v>
      </c>
    </row>
    <row r="6" spans="1:5" ht="15.75">
      <c r="B6" s="3226"/>
      <c r="C6" s="1389" t="s">
        <v>911</v>
      </c>
      <c r="D6" s="793" t="e">
        <f ca="1">NUMBERSTRING(INT(D5*10000),2)&amp;"元整"</f>
        <v>#REF!</v>
      </c>
    </row>
    <row r="7" spans="1:5" ht="15.75">
      <c r="B7" s="3231"/>
      <c r="C7" s="1390" t="s">
        <v>912</v>
      </c>
      <c r="D7" s="794" t="e">
        <f ca="1">结果表!H102</f>
        <v>#REF!</v>
      </c>
    </row>
    <row r="8" spans="1:5" ht="15.75">
      <c r="B8" s="3232" t="str">
        <f>结果表!E103</f>
        <v>2.估价师知悉的法定优先受偿款</v>
      </c>
      <c r="C8" s="1391" t="s">
        <v>913</v>
      </c>
      <c r="D8" s="794">
        <f>结果表!H103</f>
        <v>0</v>
      </c>
    </row>
    <row r="9" spans="1:5" ht="15.75">
      <c r="B9" s="3234"/>
      <c r="C9" s="1389" t="s">
        <v>911</v>
      </c>
      <c r="D9" s="793" t="str">
        <f>NUMBERSTRING(INT(D8*10000),2)&amp;"元整"</f>
        <v>零元整</v>
      </c>
    </row>
    <row r="10" spans="1:5" ht="15">
      <c r="B10" s="1392" t="s">
        <v>916</v>
      </c>
      <c r="C10" s="1393" t="s">
        <v>914</v>
      </c>
      <c r="D10" s="795">
        <f>结果表!H104</f>
        <v>0</v>
      </c>
    </row>
    <row r="11" spans="1:5" ht="15">
      <c r="B11" s="1392" t="s">
        <v>918</v>
      </c>
      <c r="C11" s="1393" t="s">
        <v>919</v>
      </c>
      <c r="D11" s="795">
        <f>结果表!H105</f>
        <v>0</v>
      </c>
    </row>
    <row r="12" spans="1:5" ht="15">
      <c r="B12" s="1392" t="s">
        <v>920</v>
      </c>
      <c r="C12" s="1393" t="s">
        <v>919</v>
      </c>
      <c r="D12" s="795">
        <f>结果表!H106</f>
        <v>0</v>
      </c>
    </row>
    <row r="13" spans="1:5" ht="15.75">
      <c r="B13" s="3225" t="str">
        <f>结果表!E107</f>
        <v>3.房地产抵押价值</v>
      </c>
      <c r="C13" s="1394" t="s">
        <v>910</v>
      </c>
      <c r="D13" s="796" t="e">
        <f ca="1">结果表!H107</f>
        <v>#REF!</v>
      </c>
    </row>
    <row r="14" spans="1:5" ht="15.75">
      <c r="B14" s="3226"/>
      <c r="C14" s="1389" t="s">
        <v>911</v>
      </c>
      <c r="D14" s="793" t="e">
        <f ca="1">NUMBERSTRING(INT(D13*10000),2)&amp;"元整"</f>
        <v>#REF!</v>
      </c>
    </row>
    <row r="15" spans="1:5" ht="15">
      <c r="B15" s="3231"/>
      <c r="C15" s="1390" t="s">
        <v>921</v>
      </c>
      <c r="D15" s="802" t="e">
        <f ca="1">结果表!H108</f>
        <v>#REF!</v>
      </c>
    </row>
    <row r="16" spans="1:5" ht="15">
      <c r="B16" s="3232" t="str">
        <f>结果表!E109</f>
        <v>——</v>
      </c>
      <c r="C16" s="1394" t="s">
        <v>922</v>
      </c>
      <c r="D16" s="1395" t="str">
        <f>结果表!H109</f>
        <v>——</v>
      </c>
    </row>
    <row r="17" spans="1:5" ht="15.75">
      <c r="B17" s="3233"/>
      <c r="C17" s="1389" t="s">
        <v>923</v>
      </c>
      <c r="D17" s="793" t="e">
        <f>NUMBERSTRING(INT(D16*10000),2)&amp;"元整"</f>
        <v>#VALUE!</v>
      </c>
    </row>
    <row r="18" spans="1:5" ht="15">
      <c r="B18" s="3234"/>
      <c r="C18" s="1390" t="s">
        <v>912</v>
      </c>
      <c r="D18" s="802" t="str">
        <f>结果表!H110</f>
        <v>——</v>
      </c>
    </row>
    <row r="19" spans="1:5" ht="15.75">
      <c r="B19" s="3225" t="str">
        <f>结果表!E111</f>
        <v>——</v>
      </c>
      <c r="C19" s="1394" t="s">
        <v>910</v>
      </c>
      <c r="D19" s="794" t="str">
        <f>结果表!H111</f>
        <v>——</v>
      </c>
    </row>
    <row r="20" spans="1:5" ht="15.75">
      <c r="B20" s="3226"/>
      <c r="C20" s="1389" t="s">
        <v>923</v>
      </c>
      <c r="D20" s="793" t="e">
        <f>NUMBERSTRING(INT(D19*10000),2)&amp;"元整"</f>
        <v>#VALUE!</v>
      </c>
    </row>
    <row r="21" spans="1:5" ht="15.75" thickBot="1">
      <c r="B21" s="3227"/>
      <c r="C21" s="1396" t="s">
        <v>921</v>
      </c>
      <c r="D21" s="803"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3"/>
      <c r="L1" s="1840" t="s">
        <v>1928</v>
      </c>
      <c r="M1" s="806">
        <f>SUMPRODUCT((区片价!B5:B9=I2)*(区片价!C3:G3=E2)*(区片价!C5:G9))</f>
        <v>0</v>
      </c>
      <c r="N1" s="809">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t="e">
        <f>C30</f>
        <v>#DIV/0!</v>
      </c>
      <c r="C2" s="1843" t="s">
        <v>1935</v>
      </c>
      <c r="D2" s="162" t="s">
        <v>1936</v>
      </c>
      <c r="E2" s="3116"/>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3"/>
      <c r="L2" s="1844" t="s">
        <v>1939</v>
      </c>
      <c r="M2" s="807">
        <f>SUMPRODUCT((区片价!B10:B29=I2)*(区片价!C3:G3=E2)*(区片价!C10:G29))</f>
        <v>0</v>
      </c>
      <c r="N2" s="809">
        <f>SUMPRODUCT((因素修正幅度!B10:B29=I2)*(因素修正幅度!C3:G3=E2)*(因素修正幅度!C10:G29))</f>
        <v>0</v>
      </c>
      <c r="O2" s="1053"/>
      <c r="P2" s="1053"/>
      <c r="Q2" s="1053"/>
      <c r="R2" s="1126">
        <v>1</v>
      </c>
      <c r="S2" s="3059">
        <f>ROUND(SUMPRODUCT((B106:B110=R2)*(C105:N105=G2)*(C106:N110)),4)</f>
        <v>0</v>
      </c>
      <c r="T2" s="3059" t="e">
        <f t="shared" ref="T2:T16" si="0">ROUND($C$5*$C$22*$C$23*$C$24*S2*$C$28,0)</f>
        <v>#DIV/0!</v>
      </c>
      <c r="U2" s="1127"/>
      <c r="V2" s="3059" t="e">
        <f>ROUND(T2*U2/10000,0)</f>
        <v>#DIV/0!</v>
      </c>
      <c r="W2" s="1130"/>
      <c r="X2" s="1130"/>
      <c r="Y2" s="1130"/>
      <c r="Z2" s="1130"/>
      <c r="AA2" s="1130"/>
      <c r="AB2" s="1130"/>
      <c r="AC2" s="1131"/>
      <c r="AD2" s="1132"/>
      <c r="AE2" s="1132"/>
      <c r="AF2" s="1132"/>
      <c r="AG2" s="1132"/>
      <c r="AH2" s="1132"/>
      <c r="AI2" s="1132"/>
      <c r="AJ2" s="1133"/>
    </row>
    <row r="3" spans="1:36" ht="15.75">
      <c r="A3" s="195" t="s">
        <v>1940</v>
      </c>
      <c r="B3" s="196" t="e">
        <f>ROUND(B2*10000/D1,0)</f>
        <v>#DIV/0!</v>
      </c>
      <c r="C3" s="1843" t="s">
        <v>1941</v>
      </c>
      <c r="D3" s="162" t="s">
        <v>1942</v>
      </c>
      <c r="E3" s="3114"/>
      <c r="F3" s="1845"/>
      <c r="G3" s="704">
        <f>IF(F3="宗地容积率",'数据-汇总表'!I4,IF(F3="估价对象容积率",'数据-汇总表'!I6,'数据-汇总表'!I7))</f>
        <v>0</v>
      </c>
      <c r="H3" s="162" t="s">
        <v>1943</v>
      </c>
      <c r="I3" s="725"/>
      <c r="J3" s="1839" t="s">
        <v>1944</v>
      </c>
      <c r="K3" s="1053"/>
      <c r="L3" s="1844" t="s">
        <v>1945</v>
      </c>
      <c r="M3" s="807">
        <f>SUMPRODUCT((区片价!B30:B54=I2)*(区片价!C3:G3=E2)*(区片价!C30:G54))</f>
        <v>0</v>
      </c>
      <c r="N3" s="809">
        <f>SUMPRODUCT((因素修正幅度!B30:B54=I2)*(因素修正幅度!C3:G3=E2)*(因素修正幅度!C30:G54))</f>
        <v>0</v>
      </c>
      <c r="O3" s="1053"/>
      <c r="P3" s="1053"/>
      <c r="Q3" s="1053"/>
      <c r="R3" s="1126">
        <v>2</v>
      </c>
      <c r="S3" s="3059">
        <f>ROUND(SUMPRODUCT((B106:B110=R3)*(C105:N105=G2)*(C106:N110)),4)</f>
        <v>0</v>
      </c>
      <c r="T3" s="3059" t="e">
        <f t="shared" si="0"/>
        <v>#DIV/0!</v>
      </c>
      <c r="U3" s="1127"/>
      <c r="V3" s="3059" t="e">
        <f t="shared" ref="V3:V16" si="1">ROUND(T3*U3/10000,0)</f>
        <v>#DIV/0!</v>
      </c>
      <c r="W3" s="1130"/>
      <c r="X3" s="1130"/>
      <c r="Y3" s="1130"/>
      <c r="Z3" s="1130"/>
      <c r="AA3" s="1130"/>
      <c r="AB3" s="1130"/>
      <c r="AC3" s="1131"/>
      <c r="AD3" s="1132"/>
      <c r="AE3" s="1132"/>
      <c r="AF3" s="1132"/>
      <c r="AG3" s="1132"/>
      <c r="AH3" s="1132"/>
      <c r="AI3" s="1132"/>
      <c r="AJ3" s="1133"/>
    </row>
    <row r="4" spans="1:36" ht="15.75">
      <c r="A4" s="3559"/>
      <c r="B4" s="3560"/>
      <c r="C4" s="3560"/>
      <c r="D4" s="3561"/>
      <c r="E4" s="3561"/>
      <c r="F4" s="3561"/>
      <c r="G4" s="3561"/>
      <c r="H4" s="3561"/>
      <c r="I4" s="3561"/>
      <c r="J4" s="3562"/>
      <c r="K4" s="1053"/>
      <c r="L4" s="1844" t="s">
        <v>1946</v>
      </c>
      <c r="M4" s="807">
        <f>SUMPRODUCT((区片价!B55:B86=I2)*(区片价!C3:G3=E2)*(区片价!C55:G86))</f>
        <v>0</v>
      </c>
      <c r="N4" s="809">
        <f>SUMPRODUCT((因素修正幅度!B55:B86=I2)*(因素修正幅度!C3:G3=E2)*(因素修正幅度!C55:G86))</f>
        <v>0</v>
      </c>
      <c r="O4" s="1053"/>
      <c r="P4" s="1053"/>
      <c r="Q4" s="1053"/>
      <c r="R4" s="1126">
        <v>3</v>
      </c>
      <c r="S4" s="3059">
        <f>ROUND(SUMPRODUCT((B106:B110=R4)*(C105:N105=G2)*(C106:N110)),4)</f>
        <v>0</v>
      </c>
      <c r="T4" s="3059" t="e">
        <f t="shared" si="0"/>
        <v>#DIV/0!</v>
      </c>
      <c r="U4" s="1127"/>
      <c r="V4" s="3059"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5" t="e">
        <f>ROUND(IF(E2="商业",C6*C7*C17+C20,(IF(E2="住宅",C6*C13*C17+C20,IF(E2="办公",C6*C12*C17+C20,C6+C20)))),0)</f>
        <v>#DIV/0!</v>
      </c>
      <c r="D5" s="1249" t="e">
        <f>ROUND(C6*C17+C20,0)</f>
        <v>#DIV/0!</v>
      </c>
      <c r="E5" s="1249"/>
      <c r="F5" s="1848"/>
      <c r="G5" s="1849"/>
      <c r="H5" s="1849"/>
      <c r="I5" s="1849"/>
      <c r="J5" s="1850"/>
      <c r="K5" s="1851"/>
      <c r="L5" s="1844" t="s">
        <v>1948</v>
      </c>
      <c r="M5" s="807">
        <f>SUMPRODUCT((区片价!B87:B126=I2)*(区片价!C3:G3=E2)*(区片价!C87:G126))</f>
        <v>0</v>
      </c>
      <c r="N5" s="809">
        <f>SUMPRODUCT((因素修正幅度!B87:B126=I2)*(因素修正幅度!C3:G3=E2)*(因素修正幅度!C87:G126))</f>
        <v>0</v>
      </c>
      <c r="O5" s="1053"/>
      <c r="P5" s="1053"/>
      <c r="Q5" s="1053"/>
      <c r="R5" s="1126">
        <v>4</v>
      </c>
      <c r="S5" s="3059">
        <f>ROUND(SUMPRODUCT((B106:B110=R5)*(C105:N105=G2)*(C106:N110)),4)</f>
        <v>0</v>
      </c>
      <c r="T5" s="3059" t="e">
        <f t="shared" si="0"/>
        <v>#DIV/0!</v>
      </c>
      <c r="U5" s="1127"/>
      <c r="V5" s="3059" t="e">
        <f t="shared" si="1"/>
        <v>#DIV/0!</v>
      </c>
      <c r="W5" s="1130"/>
      <c r="X5" s="1130"/>
      <c r="Y5" s="1130"/>
      <c r="Z5" s="1130"/>
      <c r="AA5" s="1130"/>
      <c r="AB5" s="1130"/>
      <c r="AC5" s="1852"/>
      <c r="AD5" s="1853"/>
      <c r="AE5" s="1853"/>
      <c r="AF5" s="1853"/>
      <c r="AG5" s="1853"/>
      <c r="AH5" s="1853"/>
      <c r="AI5" s="1853"/>
      <c r="AJ5" s="1854"/>
    </row>
    <row r="6" spans="1:36" ht="15.75" thickBot="1">
      <c r="A6" s="1856" t="s">
        <v>1949</v>
      </c>
      <c r="B6" s="1857" t="s">
        <v>1950</v>
      </c>
      <c r="C6" s="706">
        <f>SUMIF(L1:L12,G2,M1:M12)</f>
        <v>0</v>
      </c>
      <c r="D6" s="1858"/>
      <c r="E6" s="1859"/>
      <c r="F6" s="1859"/>
      <c r="G6" s="1860"/>
      <c r="H6" s="1860"/>
      <c r="I6" s="1860"/>
      <c r="J6" s="1861"/>
      <c r="K6" s="1289"/>
      <c r="L6" s="1844" t="s">
        <v>1951</v>
      </c>
      <c r="M6" s="807">
        <f>SUMPRODUCT((区片价!B127:B189=I2)*(区片价!C3:G3=E2)*(区片价!C127:G189))</f>
        <v>0</v>
      </c>
      <c r="N6" s="809">
        <f>SUMPRODUCT((因素修正幅度!B127:B189=I2)*(因素修正幅度!C3:G3=E2)*(因素修正幅度!C127:G189))</f>
        <v>0</v>
      </c>
      <c r="O6" s="1053"/>
      <c r="P6" s="1053"/>
      <c r="Q6" s="1053"/>
      <c r="R6" s="1126">
        <v>5</v>
      </c>
      <c r="S6" s="3059">
        <f>ROUND(SUMPRODUCT((B106:B110=R6)*(C105:N105=G2)*(C106:N110)),4)</f>
        <v>0</v>
      </c>
      <c r="T6" s="3059" t="e">
        <f t="shared" si="0"/>
        <v>#DIV/0!</v>
      </c>
      <c r="U6" s="1127"/>
      <c r="V6" s="3059" t="e">
        <f t="shared" si="1"/>
        <v>#DIV/0!</v>
      </c>
      <c r="W6" s="1130"/>
      <c r="X6" s="1130"/>
      <c r="Y6" s="1130"/>
      <c r="Z6" s="1130"/>
      <c r="AA6" s="1130"/>
      <c r="AB6" s="1130"/>
      <c r="AC6" s="1852"/>
      <c r="AD6" s="1853"/>
      <c r="AE6" s="1853"/>
      <c r="AF6" s="1853"/>
      <c r="AG6" s="1853"/>
      <c r="AH6" s="1853"/>
      <c r="AI6" s="1853"/>
      <c r="AJ6" s="1854"/>
    </row>
    <row r="7" spans="1:36" ht="24.75" thickBot="1">
      <c r="A7" s="3008" t="s">
        <v>3236</v>
      </c>
      <c r="B7" s="1862" t="s">
        <v>1952</v>
      </c>
      <c r="C7" s="707" t="e">
        <f>IF(C8="不临65条商业街",1,ROUND(1+(1.6*E8+1.2*E9+0.8*E10+0.4*E11)*C9,4))</f>
        <v>#DIV/0!</v>
      </c>
      <c r="D7" s="1863" t="s">
        <v>1953</v>
      </c>
      <c r="E7" s="726"/>
      <c r="F7" s="1864"/>
      <c r="G7" s="1865"/>
      <c r="H7" s="1865"/>
      <c r="I7" s="1865"/>
      <c r="J7" s="1866"/>
      <c r="K7" s="1289"/>
      <c r="L7" s="1844" t="s">
        <v>1954</v>
      </c>
      <c r="M7" s="807">
        <f>SUMPRODUCT((区片价!B190:B233=I2)*(区片价!C3:G3=E2)*(区片价!C190:G233))</f>
        <v>0</v>
      </c>
      <c r="N7" s="809">
        <f>SUMPRODUCT((因素修正幅度!B190:B233=I2)*(因素修正幅度!C3:G3=E2)*(因素修正幅度!C190:G233))</f>
        <v>0</v>
      </c>
      <c r="O7" s="1053"/>
      <c r="P7" s="1053"/>
      <c r="Q7" s="1053"/>
      <c r="R7" s="1126">
        <v>6</v>
      </c>
      <c r="S7" s="3113"/>
      <c r="T7" s="3059" t="e">
        <f t="shared" si="0"/>
        <v>#DIV/0!</v>
      </c>
      <c r="U7" s="1127"/>
      <c r="V7" s="3059" t="e">
        <f t="shared" si="1"/>
        <v>#DIV/0!</v>
      </c>
      <c r="W7" s="1264" t="s">
        <v>1955</v>
      </c>
      <c r="X7" s="1128">
        <f>G2</f>
        <v>0</v>
      </c>
      <c r="Y7" s="1128" t="s">
        <v>1956</v>
      </c>
      <c r="Z7" s="1129">
        <f>G3</f>
        <v>0</v>
      </c>
      <c r="AA7" s="1130"/>
      <c r="AB7" s="1130"/>
      <c r="AC7" s="1131"/>
      <c r="AD7" s="1132"/>
      <c r="AE7" s="1132"/>
      <c r="AF7" s="1132"/>
      <c r="AG7" s="1132"/>
      <c r="AH7" s="1132"/>
      <c r="AI7" s="1132"/>
      <c r="AJ7" s="1133"/>
    </row>
    <row r="8" spans="1:36" ht="15">
      <c r="A8" s="3005"/>
      <c r="B8" s="162" t="s">
        <v>1957</v>
      </c>
      <c r="C8" s="1867"/>
      <c r="D8" s="708" t="s">
        <v>112</v>
      </c>
      <c r="E8" s="709" t="e">
        <f>ROUND(C11/E7,4)</f>
        <v>#DIV/0!</v>
      </c>
      <c r="F8" s="1868" t="s">
        <v>1958</v>
      </c>
      <c r="G8" s="1869"/>
      <c r="H8" s="1869"/>
      <c r="I8" s="1869"/>
      <c r="J8" s="1870"/>
      <c r="K8" s="1053"/>
      <c r="L8" s="1844" t="s">
        <v>1959</v>
      </c>
      <c r="M8" s="807">
        <f>SUMPRODUCT((区片价!B234:B276=I2)*(区片价!C3:G3=E2)*(区片价!C234:G276))</f>
        <v>0</v>
      </c>
      <c r="N8" s="809">
        <f>SUMPRODUCT((因素修正幅度!B234:B276=I2)*(因素修正幅度!C3:G3=E2)*(因素修正幅度!C234:G276))</f>
        <v>0</v>
      </c>
      <c r="O8" s="1053"/>
      <c r="P8" s="1053"/>
      <c r="Q8" s="1053"/>
      <c r="R8" s="1126">
        <v>7</v>
      </c>
      <c r="S8" s="1127"/>
      <c r="T8" s="3059" t="e">
        <f t="shared" si="0"/>
        <v>#DIV/0!</v>
      </c>
      <c r="U8" s="1127"/>
      <c r="V8" s="3059" t="e">
        <f t="shared" si="1"/>
        <v>#DIV/0!</v>
      </c>
      <c r="W8" s="3556" t="s">
        <v>1960</v>
      </c>
      <c r="X8" s="355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5"/>
      <c r="B9" s="162" t="s">
        <v>1973</v>
      </c>
      <c r="C9" s="710">
        <f>SUMIF(修正!C71:C138,C8,修正!E71:E138)</f>
        <v>0</v>
      </c>
      <c r="D9" s="163" t="s">
        <v>113</v>
      </c>
      <c r="E9" s="163" t="e">
        <f>ROUND(C11/E7,4)</f>
        <v>#DIV/0!</v>
      </c>
      <c r="F9" s="1868" t="s">
        <v>1974</v>
      </c>
      <c r="G9" s="1869"/>
      <c r="H9" s="1869"/>
      <c r="I9" s="1869"/>
      <c r="J9" s="1870"/>
      <c r="K9" s="1053"/>
      <c r="L9" s="1844" t="s">
        <v>1975</v>
      </c>
      <c r="M9" s="807">
        <f>SUMPRODUCT((区片价!B277:B326=I2)*(区片价!C3:G3=E2)*(区片价!C277:G326))</f>
        <v>0</v>
      </c>
      <c r="N9" s="809">
        <f>SUMPRODUCT((因素修正幅度!B277:B326=I2)*(因素修正幅度!C3:G3=E2)*(因素修正幅度!C277:G326))</f>
        <v>0</v>
      </c>
      <c r="O9" s="1053"/>
      <c r="P9" s="1053"/>
      <c r="Q9" s="1053"/>
      <c r="R9" s="1126">
        <v>8</v>
      </c>
      <c r="S9" s="1127"/>
      <c r="T9" s="3059" t="e">
        <f t="shared" si="0"/>
        <v>#DIV/0!</v>
      </c>
      <c r="U9" s="1127"/>
      <c r="V9" s="3059" t="e">
        <f t="shared" si="1"/>
        <v>#DIV/0!</v>
      </c>
      <c r="W9" s="3558"/>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8" t="s">
        <v>1977</v>
      </c>
      <c r="G10" s="1869"/>
      <c r="H10" s="1869"/>
      <c r="I10" s="1869"/>
      <c r="J10" s="1870"/>
      <c r="K10" s="1053"/>
      <c r="L10" s="1844" t="s">
        <v>1978</v>
      </c>
      <c r="M10" s="807">
        <f>SUMPRODUCT((区片价!B327:B357=I2)*(区片价!C3:G3=E2)*(区片价!C327:G357))</f>
        <v>0</v>
      </c>
      <c r="N10" s="809">
        <f>SUMPRODUCT((因素修正幅度!B327:B357=I2)*(因素修正幅度!C3:G3=E2)*(因素修正幅度!C327:G357))</f>
        <v>0</v>
      </c>
      <c r="O10" s="1053"/>
      <c r="P10" s="1053"/>
      <c r="Q10" s="1053"/>
      <c r="R10" s="1126">
        <v>9</v>
      </c>
      <c r="S10" s="1127"/>
      <c r="T10" s="3059" t="e">
        <f t="shared" si="0"/>
        <v>#DIV/0!</v>
      </c>
      <c r="U10" s="1127"/>
      <c r="V10" s="3059" t="e">
        <f t="shared" si="1"/>
        <v>#DIV/0!</v>
      </c>
      <c r="W10" s="355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1" t="s">
        <v>1979</v>
      </c>
      <c r="C11" s="711">
        <f>C10/4</f>
        <v>0</v>
      </c>
      <c r="D11" s="711" t="s">
        <v>115</v>
      </c>
      <c r="E11" s="711" t="e">
        <f>ROUND(C11/E7,4)</f>
        <v>#DIV/0!</v>
      </c>
      <c r="F11" s="1872" t="s">
        <v>1980</v>
      </c>
      <c r="G11" s="1873"/>
      <c r="H11" s="1873"/>
      <c r="I11" s="1873"/>
      <c r="J11" s="1874"/>
      <c r="K11" s="1053"/>
      <c r="L11" s="1844" t="s">
        <v>1981</v>
      </c>
      <c r="M11" s="807">
        <f>SUMPRODUCT((区片价!B358:B377=I2)*(区片价!C3:G3=E2)*(区片价!C358:G377))</f>
        <v>0</v>
      </c>
      <c r="N11" s="809">
        <f>SUMPRODUCT((因素修正幅度!B358:B377=I2)*(因素修正幅度!C3:G3=E2)*(因素修正幅度!C358:G377))</f>
        <v>0</v>
      </c>
      <c r="O11" s="1053"/>
      <c r="P11" s="1053"/>
      <c r="Q11" s="1053"/>
      <c r="R11" s="1126">
        <v>10</v>
      </c>
      <c r="S11" s="1127"/>
      <c r="T11" s="3059" t="e">
        <f t="shared" si="0"/>
        <v>#DIV/0!</v>
      </c>
      <c r="U11" s="1127"/>
      <c r="V11" s="3059" t="e">
        <f t="shared" si="1"/>
        <v>#DIV/0!</v>
      </c>
      <c r="W11" s="1130"/>
      <c r="X11" s="1130"/>
      <c r="Y11" s="1130"/>
      <c r="Z11" s="1130"/>
      <c r="AA11" s="1130"/>
      <c r="AB11" s="1130"/>
      <c r="AC11" s="1131"/>
      <c r="AD11" s="2549"/>
      <c r="AE11" s="2549"/>
      <c r="AF11" s="2549"/>
      <c r="AG11" s="2549"/>
      <c r="AH11" s="2549"/>
      <c r="AI11" s="2549"/>
      <c r="AJ11" s="2550"/>
    </row>
    <row r="12" spans="1:36" ht="25.5" thickBot="1">
      <c r="A12" s="3008" t="s">
        <v>3237</v>
      </c>
      <c r="B12" s="3009" t="s">
        <v>3238</v>
      </c>
      <c r="C12" s="3010"/>
      <c r="D12" s="3011" t="s">
        <v>3239</v>
      </c>
      <c r="E12" s="3012" t="s">
        <v>3240</v>
      </c>
      <c r="F12" s="3013"/>
      <c r="G12" s="3014"/>
      <c r="H12" s="3014"/>
      <c r="I12" s="3014"/>
      <c r="J12" s="3015"/>
      <c r="K12" s="1053"/>
      <c r="L12" s="1793" t="s">
        <v>1984</v>
      </c>
      <c r="M12" s="808">
        <f>SUMPRODUCT((区片价!B378:B384=I2)*(区片价!C3:G3=E2)*(区片价!C378:G384))</f>
        <v>0</v>
      </c>
      <c r="N12" s="809">
        <f>SUMPRODUCT((因素修正幅度!B378:B384=I2)*(因素修正幅度!C3:G3=E2)*(因素修正幅度!C378:G384))</f>
        <v>0</v>
      </c>
      <c r="O12" s="1053"/>
      <c r="P12" s="1053"/>
      <c r="Q12" s="1053"/>
      <c r="R12" s="1126">
        <v>11</v>
      </c>
      <c r="S12" s="1127"/>
      <c r="T12" s="3059" t="e">
        <f t="shared" si="0"/>
        <v>#DIV/0!</v>
      </c>
      <c r="U12" s="1127"/>
      <c r="V12" s="3059" t="e">
        <f t="shared" si="1"/>
        <v>#DIV/0!</v>
      </c>
      <c r="W12" s="1130"/>
      <c r="X12" s="1130"/>
      <c r="Y12" s="1130"/>
      <c r="Z12" s="1130"/>
      <c r="AA12" s="1130"/>
      <c r="AB12" s="1130"/>
      <c r="AC12" s="1131"/>
      <c r="AD12" s="2549"/>
      <c r="AE12" s="2549"/>
      <c r="AF12" s="2549"/>
      <c r="AG12" s="2549"/>
      <c r="AH12" s="2549"/>
      <c r="AI12" s="2549"/>
      <c r="AJ12" s="2550"/>
    </row>
    <row r="13" spans="1:36" ht="15.75" thickBot="1">
      <c r="A13" s="3008" t="s">
        <v>3241</v>
      </c>
      <c r="B13" s="1875" t="s">
        <v>1982</v>
      </c>
      <c r="C13" s="707">
        <f>ROUND(C16*D16*E16*F16*G16*H16*I16*J16,4)</f>
        <v>0</v>
      </c>
      <c r="D13" s="1876" t="s">
        <v>1983</v>
      </c>
      <c r="E13" s="1877"/>
      <c r="F13" s="1877"/>
      <c r="G13" s="1878"/>
      <c r="H13" s="1878"/>
      <c r="I13" s="1878"/>
      <c r="J13" s="1879"/>
      <c r="K13" s="1053"/>
      <c r="L13" s="3"/>
      <c r="M13" s="4"/>
      <c r="N13" s="3006"/>
      <c r="O13" s="1053"/>
      <c r="P13" s="1053"/>
      <c r="Q13" s="1053"/>
      <c r="R13" s="1126">
        <v>12</v>
      </c>
      <c r="S13" s="1127"/>
      <c r="T13" s="3059" t="e">
        <f t="shared" si="0"/>
        <v>#DIV/0!</v>
      </c>
      <c r="U13" s="1127"/>
      <c r="V13" s="3059" t="e">
        <f t="shared" si="1"/>
        <v>#DIV/0!</v>
      </c>
      <c r="W13" s="1130"/>
      <c r="X13" s="1130"/>
      <c r="Y13" s="1130"/>
      <c r="Z13" s="1130"/>
      <c r="AA13" s="1130"/>
      <c r="AB13" s="1130"/>
      <c r="AC13" s="1131"/>
      <c r="AD13" s="2549"/>
      <c r="AE13" s="2549"/>
      <c r="AF13" s="2549"/>
      <c r="AG13" s="2549"/>
      <c r="AH13" s="2549"/>
      <c r="AI13" s="2549"/>
      <c r="AJ13" s="2550"/>
    </row>
    <row r="14" spans="1:36" ht="15">
      <c r="A14" s="3004"/>
      <c r="B14" s="1880" t="s">
        <v>1985</v>
      </c>
      <c r="C14" s="1881" t="s">
        <v>1986</v>
      </c>
      <c r="D14" s="1258" t="s">
        <v>1987</v>
      </c>
      <c r="E14" s="27" t="s">
        <v>1988</v>
      </c>
      <c r="F14" s="3016" t="s">
        <v>3242</v>
      </c>
      <c r="G14" s="3016" t="s">
        <v>3242</v>
      </c>
      <c r="H14" s="3016" t="s">
        <v>3242</v>
      </c>
      <c r="I14" s="3016" t="s">
        <v>3242</v>
      </c>
      <c r="J14" s="3016" t="s">
        <v>3242</v>
      </c>
      <c r="K14" s="1053"/>
      <c r="L14" s="1053"/>
      <c r="M14" s="1053"/>
      <c r="N14" s="1053"/>
      <c r="O14" s="1053"/>
      <c r="P14" s="1053"/>
      <c r="Q14" s="1053"/>
      <c r="R14" s="1126">
        <v>13</v>
      </c>
      <c r="S14" s="1127"/>
      <c r="T14" s="3059" t="e">
        <f t="shared" si="0"/>
        <v>#DIV/0!</v>
      </c>
      <c r="U14" s="1127"/>
      <c r="V14" s="3059" t="e">
        <f t="shared" si="1"/>
        <v>#DIV/0!</v>
      </c>
      <c r="W14" s="1130"/>
      <c r="X14" s="1130"/>
      <c r="Y14" s="1130"/>
      <c r="Z14" s="1130"/>
      <c r="AA14" s="1130"/>
      <c r="AB14" s="1130"/>
      <c r="AC14" s="1131"/>
      <c r="AD14" s="2549"/>
      <c r="AE14" s="2549"/>
      <c r="AF14" s="2549"/>
      <c r="AG14" s="2549"/>
      <c r="AH14" s="2549"/>
      <c r="AI14" s="2549"/>
      <c r="AJ14" s="2550"/>
    </row>
    <row r="15" spans="1:36" ht="15">
      <c r="A15" s="3004"/>
      <c r="B15" s="1882"/>
      <c r="C15" s="1883"/>
      <c r="D15" s="1884"/>
      <c r="E15" s="1885"/>
      <c r="F15" s="1467" t="s">
        <v>3243</v>
      </c>
      <c r="G15" s="1925"/>
      <c r="H15" s="3017"/>
      <c r="I15" s="3018"/>
      <c r="J15" s="3019"/>
      <c r="K15" s="1053"/>
      <c r="L15" s="1053"/>
      <c r="M15" s="1053"/>
      <c r="N15" s="1053"/>
      <c r="O15" s="1053"/>
      <c r="P15" s="1053"/>
      <c r="Q15" s="1053"/>
      <c r="R15" s="1126">
        <v>14</v>
      </c>
      <c r="S15" s="1127"/>
      <c r="T15" s="3059" t="e">
        <f t="shared" si="0"/>
        <v>#DIV/0!</v>
      </c>
      <c r="U15" s="1127"/>
      <c r="V15" s="3059" t="e">
        <f t="shared" si="1"/>
        <v>#DIV/0!</v>
      </c>
      <c r="W15" s="1130"/>
      <c r="X15" s="1130"/>
      <c r="Y15" s="1130"/>
      <c r="Z15" s="1130"/>
      <c r="AA15" s="1130"/>
      <c r="AB15" s="1130"/>
      <c r="AC15" s="1131"/>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3"/>
      <c r="L16" s="1841"/>
      <c r="M16" s="1841"/>
      <c r="N16" s="1841"/>
      <c r="O16" s="1841"/>
      <c r="P16" s="1841"/>
      <c r="Q16" s="1053"/>
      <c r="R16" s="1126">
        <v>15</v>
      </c>
      <c r="S16" s="1127"/>
      <c r="T16" s="3059" t="e">
        <f t="shared" si="0"/>
        <v>#DIV/0!</v>
      </c>
      <c r="U16" s="1127"/>
      <c r="V16" s="3059" t="e">
        <f t="shared" si="1"/>
        <v>#DIV/0!</v>
      </c>
      <c r="W16" s="1130"/>
      <c r="X16" s="1130"/>
      <c r="Y16" s="1130"/>
      <c r="Z16" s="1130"/>
      <c r="AA16" s="1130"/>
      <c r="AB16" s="1130"/>
      <c r="AC16" s="1131"/>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t="e">
        <f>ROUND(G18/I18,2)</f>
        <v>#DIV/0!</v>
      </c>
      <c r="F17" s="3024" t="s">
        <v>3249</v>
      </c>
      <c r="G17" s="3032" t="e">
        <f>ROUND(E19/G19,2)</f>
        <v>#DIV/0!</v>
      </c>
      <c r="H17" s="3032"/>
      <c r="I17" s="3032"/>
      <c r="J17" s="3033"/>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4"/>
      <c r="B18" s="2305"/>
      <c r="C18" s="3030"/>
      <c r="D18" s="3025" t="s">
        <v>3247</v>
      </c>
      <c r="E18" s="2352"/>
      <c r="F18" s="3026" t="s">
        <v>3250</v>
      </c>
      <c r="G18" s="3030">
        <f>ROUND(1-(1/(POWER(1+G24,E18))),4)</f>
        <v>0</v>
      </c>
      <c r="H18" s="3026" t="s">
        <v>3252</v>
      </c>
      <c r="I18" s="3030">
        <f>ROUND(1-(1/(POWER(1+G24,J24))),4)</f>
        <v>0</v>
      </c>
      <c r="J18" s="3035"/>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8"/>
    </row>
    <row r="19" spans="1:37" s="1855" customFormat="1" ht="15" thickBot="1">
      <c r="A19" s="3036"/>
      <c r="B19" s="3037"/>
      <c r="C19" s="3038"/>
      <c r="D19" s="3038" t="s">
        <v>3248</v>
      </c>
      <c r="E19" s="3039"/>
      <c r="F19" s="3040" t="s">
        <v>3251</v>
      </c>
      <c r="G19" s="3039"/>
      <c r="H19" s="3038"/>
      <c r="I19" s="3038"/>
      <c r="J19" s="3041"/>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1"/>
      <c r="AH19" s="1977"/>
      <c r="AI19" s="560"/>
      <c r="AJ19" s="560"/>
      <c r="AK19" s="1896"/>
    </row>
    <row r="20" spans="1:37" s="1855" customFormat="1" ht="14.25">
      <c r="A20" s="3563" t="s">
        <v>3253</v>
      </c>
      <c r="B20" s="159" t="s">
        <v>1994</v>
      </c>
      <c r="C20" s="3027" t="e">
        <f>ROUND(IF(F21="与级别开发程度一致",0,(G21-E21)/C21),0)</f>
        <v>#DIV/0!</v>
      </c>
      <c r="D20" s="3042" t="s">
        <v>1998</v>
      </c>
      <c r="E20" s="3043"/>
      <c r="F20" s="3569" t="s">
        <v>1995</v>
      </c>
      <c r="G20" s="3570"/>
      <c r="H20" s="3028"/>
      <c r="I20" s="3028"/>
      <c r="J20" s="3029"/>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5" customFormat="1" ht="15" thickBot="1">
      <c r="A21" s="3564"/>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5" customFormat="1" ht="15.75" thickBot="1">
      <c r="A22" s="1993" t="s">
        <v>363</v>
      </c>
      <c r="B22" s="1994" t="s">
        <v>2000</v>
      </c>
      <c r="C22" s="1995">
        <f>SUMIF(修正!C20:C51,E3,修正!E20:E51)</f>
        <v>0</v>
      </c>
      <c r="D22" s="1996"/>
      <c r="E22" s="1997"/>
      <c r="F22" s="1997"/>
      <c r="G22" s="1997"/>
      <c r="H22" s="1997"/>
      <c r="I22" s="1997"/>
      <c r="J22" s="1998"/>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9" t="s">
        <v>364</v>
      </c>
      <c r="B23" s="1890" t="s">
        <v>2001</v>
      </c>
      <c r="C23" s="7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3" t="s">
        <v>2002</v>
      </c>
      <c r="E23" s="713">
        <v>44197</v>
      </c>
      <c r="F23" s="1893" t="s">
        <v>2003</v>
      </c>
      <c r="G23" s="714">
        <f>'数据-取费表'!B2</f>
        <v>45215</v>
      </c>
      <c r="H23" s="3044" t="s">
        <v>3255</v>
      </c>
      <c r="I23" s="3045" t="str">
        <f>IF(H23="季度增幅（自定义）",SUMIF(N25:N28,E2,O25:O28),"")</f>
        <v/>
      </c>
      <c r="J23" s="3135" t="s">
        <v>3254</v>
      </c>
      <c r="K23" s="1058"/>
      <c r="L23" s="1894" t="s">
        <v>2004</v>
      </c>
      <c r="M23" s="1238">
        <f>ROUND(SUMIF(地价!B2:G2,E2,地价!B16:G16),0)</f>
        <v>0</v>
      </c>
      <c r="N23" s="1895" t="s">
        <v>2005</v>
      </c>
      <c r="O23" s="715">
        <f>ROUNDDOWN(DATEDIF(E23,G23,"M")/3,0)</f>
        <v>11</v>
      </c>
      <c r="P23" s="1054"/>
      <c r="Q23" s="2548"/>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6" t="e">
        <f>ROUND(POWER(1+G24,J24-I24)*(POWER(1+G24,I24)-1)/(POWER(1+G24,J24)-1),4)</f>
        <v>#DIV/0!</v>
      </c>
      <c r="D24" s="1899" t="s">
        <v>2007</v>
      </c>
      <c r="E24" s="1245">
        <f>存贷款利率!E24/100</f>
        <v>4.3499999999999997E-2</v>
      </c>
      <c r="F24" s="1899" t="s">
        <v>1999</v>
      </c>
      <c r="G24" s="720">
        <f>SUMIF(M30:Q30,E2,M33:Q33)</f>
        <v>0</v>
      </c>
      <c r="H24" s="1899" t="s">
        <v>2008</v>
      </c>
      <c r="I24" s="721" t="e">
        <f>SUMIF('数据-取费表'!C6:C15,E2,'数据-取费表'!F6:F15)/COUNTIF('数据-取费表'!C6:C15,E2)</f>
        <v>#DIV/0!</v>
      </c>
      <c r="J24" s="722">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4" t="s">
        <v>366</v>
      </c>
      <c r="B25" s="1905" t="s">
        <v>3334</v>
      </c>
      <c r="C25" s="461">
        <f>IF(B25="容积率修正",IF(G3&lt;10,D26,J26),C27)</f>
        <v>0</v>
      </c>
      <c r="D25" s="1906"/>
      <c r="E25" s="1906"/>
      <c r="F25" s="1906"/>
      <c r="G25" s="1906"/>
      <c r="H25" s="1906"/>
      <c r="I25" s="1906"/>
      <c r="J25" s="1907"/>
      <c r="K25" s="1058"/>
      <c r="L25" s="2548"/>
      <c r="M25" s="2548"/>
      <c r="N25" s="1908" t="s">
        <v>2013</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3256</v>
      </c>
      <c r="D26" s="1260">
        <f>IF(E26=G26,F26,IF(G3&lt;10,ROUND(F26+(H26-F26)*(G3-E26)/(G26-E26),4),"——"))</f>
        <v>0</v>
      </c>
      <c r="E26" s="704">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58"/>
      <c r="L26" s="2548"/>
      <c r="M26" s="2548"/>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7">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2">
        <f>SUMIF(A47:A101,E2,B47:B101)</f>
        <v>0</v>
      </c>
      <c r="D28" s="1891"/>
      <c r="E28" s="1916"/>
      <c r="F28" s="1916"/>
      <c r="G28" s="1916"/>
      <c r="H28" s="1916"/>
      <c r="I28" s="1916"/>
      <c r="J28" s="1917"/>
      <c r="K28" s="1058"/>
      <c r="L28" s="2548"/>
      <c r="M28" s="2548"/>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7"/>
      <c r="D29" s="1865"/>
      <c r="E29" s="1865"/>
      <c r="F29" s="1920"/>
      <c r="G29" s="1865"/>
      <c r="H29" s="1865"/>
      <c r="I29" s="1865"/>
      <c r="J29" s="1866"/>
      <c r="K29" s="1053"/>
      <c r="L29" s="1841"/>
      <c r="M29" s="1841"/>
      <c r="N29" s="2545" t="s">
        <v>2023</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3"/>
      <c r="L30" s="3051" t="s">
        <v>1936</v>
      </c>
      <c r="M30" s="3052" t="s">
        <v>1990</v>
      </c>
      <c r="N30" s="3052" t="s">
        <v>1991</v>
      </c>
      <c r="O30" s="3052" t="s">
        <v>1992</v>
      </c>
      <c r="P30" s="3052" t="s">
        <v>1993</v>
      </c>
      <c r="Q30" s="3055" t="s">
        <v>3261</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8" t="e">
        <f>E34+SUM(I37:I42)</f>
        <v>#DIV/0!</v>
      </c>
      <c r="D31" s="1926"/>
      <c r="E31" s="1927"/>
      <c r="F31" s="1928"/>
      <c r="G31" s="1927"/>
      <c r="H31" s="1927"/>
      <c r="I31" s="1927"/>
      <c r="J31" s="1929"/>
      <c r="K31" s="1053"/>
      <c r="L31" s="3053" t="s">
        <v>1996</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4" t="s">
        <v>1999</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t="e">
        <f>ROUND(C5*C22*C23*C24*C25*C28,0)</f>
        <v>#DIV/0!</v>
      </c>
      <c r="D33" s="1937"/>
      <c r="E33" s="723" t="e">
        <f>ROUND(C33*D33/10000,0)</f>
        <v>#DIV/0!</v>
      </c>
      <c r="F33" s="3046" t="s">
        <v>3259</v>
      </c>
      <c r="G33" s="1938"/>
      <c r="H33" s="1938"/>
      <c r="I33" s="1938"/>
      <c r="J33" s="1939"/>
      <c r="K33" s="1053"/>
      <c r="L33" s="3049" t="s">
        <v>3262</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t="e">
        <f>ROUND(IF(E2="工业",C33*M42,IF(B25="楼层修正",SUM(V2:V16)*M41*10000/D34,C33*M41)),0)</f>
        <v>#DIV/0!</v>
      </c>
      <c r="D34" s="1942"/>
      <c r="E34" s="723" t="e">
        <f>ROUND(IF(B25="楼层修正",SUM(V2:V16)*M40,C34*D34/10000),0)</f>
        <v>#DIV/0!</v>
      </c>
      <c r="F34" s="1943" t="s">
        <v>2032</v>
      </c>
      <c r="G34" s="1944"/>
      <c r="H34" s="1944"/>
      <c r="I34" s="1944"/>
      <c r="J34" s="1945"/>
      <c r="K34" s="1053"/>
      <c r="L34" s="3049" t="s">
        <v>3263</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7" t="s">
        <v>3260</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3264</v>
      </c>
      <c r="L36" s="3136" t="e">
        <f ca="1">'数据-取费表'!B40</f>
        <v>#VALUE!</v>
      </c>
      <c r="M36" s="2361" t="e">
        <f ca="1">ROUND($L$36*(1+M31),3)</f>
        <v>#VALUE!</v>
      </c>
      <c r="N36" s="2361" t="e">
        <f ca="1">ROUND($L$36*(1+N31),3)</f>
        <v>#VALUE!</v>
      </c>
      <c r="O36" s="2361" t="e">
        <f ca="1">ROUND($L$36*(1+O31),3)</f>
        <v>#VALUE!</v>
      </c>
      <c r="P36" s="2361" t="e">
        <f ca="1">ROUND($L$36*(1+P31),3)</f>
        <v>#VALUE!</v>
      </c>
      <c r="Q36" s="2361" t="e">
        <f ca="1">ROUND($L$36*(1+Q31),3)</f>
        <v>#VALUE!</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567"/>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0"/>
      <c r="K37" s="3057" t="s">
        <v>3265</v>
      </c>
      <c r="L37" s="1961" t="e">
        <f ca="1">L36+K38</f>
        <v>#VALUE!</v>
      </c>
      <c r="M37" s="2361" t="e">
        <f ca="1">ROUND($L$37*(1+M31),3)</f>
        <v>#VALUE!</v>
      </c>
      <c r="N37" s="2361" t="e">
        <f t="shared" ref="N37:Q37" ca="1" si="3">ROUND($L$37*(1+N31),3)</f>
        <v>#VALUE!</v>
      </c>
      <c r="O37" s="2361" t="e">
        <f t="shared" ca="1" si="3"/>
        <v>#VALUE!</v>
      </c>
      <c r="P37" s="2361" t="e">
        <f t="shared" ca="1" si="3"/>
        <v>#VALUE!</v>
      </c>
      <c r="Q37" s="2361" t="e">
        <f t="shared" ca="1" si="3"/>
        <v>#VALUE!</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568"/>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9"/>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568"/>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5"/>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5"/>
      <c r="L41" s="3058" t="s">
        <v>3266</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t="e">
        <f>ROUND(D5*C22*C23*C44*C28*F42,0)</f>
        <v>#DIV/0!</v>
      </c>
      <c r="D42" s="1942"/>
      <c r="E42" s="179" t="e">
        <f t="shared" si="4"/>
        <v>#DIV/0!</v>
      </c>
      <c r="F42" s="719">
        <f>SUMIF(修正!A57:A68,G2,修正!G57:G68)</f>
        <v>0</v>
      </c>
      <c r="G42" s="179" t="e">
        <f>ROUND(IF(E2="工业",C42*$M$42,C42*$M$41),0)</f>
        <v>#DIV/0!</v>
      </c>
      <c r="H42" s="179">
        <f t="shared" si="5"/>
        <v>0</v>
      </c>
      <c r="I42" s="179"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2119</v>
      </c>
      <c r="C44" s="333" t="e">
        <f>ROUND(POWER(1+E44,H44-G44)*(POWER(1+E44,G44)-1)/(POWER(1+E44,H44)-1),4)</f>
        <v>#DIV/0!</v>
      </c>
      <c r="D44" s="163" t="s">
        <v>1999</v>
      </c>
      <c r="E44" s="1988">
        <f>G24</f>
        <v>0</v>
      </c>
      <c r="F44" s="163" t="s">
        <v>2008</v>
      </c>
      <c r="G44" s="175"/>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5"/>
      <c r="E48" s="696"/>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7"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1">
      <c r="A50" s="1967" t="s">
        <v>2052</v>
      </c>
      <c r="B50" s="1970" t="str">
        <f>估价对象房地状况!C4</f>
        <v>估价对象位于丁各庄，为住宅配套项目，周边商业氛围成熟度较差，人流量较小，商业繁华度较差</v>
      </c>
      <c r="C50" s="1884"/>
      <c r="D50" s="999">
        <f t="shared" ref="D50:D58" si="7">SUMIF($J$49:$N$49,C50,J50:N50)</f>
        <v>0</v>
      </c>
      <c r="E50" s="698">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51">
      <c r="A51" s="1967" t="s">
        <v>2053</v>
      </c>
      <c r="B51" s="1259" t="str">
        <f>估价对象房地状况!C18</f>
        <v>估价对象周边道路状况、公共交通通达情况808、809等、停车便捷程度较好，综合评价交通便捷度一般</v>
      </c>
      <c r="C51" s="1884"/>
      <c r="D51" s="999">
        <f t="shared" si="7"/>
        <v>0</v>
      </c>
      <c r="E51" s="699"/>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3268</v>
      </c>
      <c r="B52" s="1259">
        <f>估价对象房地状况!C19</f>
        <v>0</v>
      </c>
      <c r="C52" s="1884"/>
      <c r="D52" s="999">
        <f t="shared" si="7"/>
        <v>0</v>
      </c>
      <c r="E52" s="699"/>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699"/>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t="str">
        <f>估价对象房地状况!C24</f>
        <v>次干道-通怀路</v>
      </c>
      <c r="C54" s="1884"/>
      <c r="D54" s="999">
        <f t="shared" si="7"/>
        <v>0</v>
      </c>
      <c r="E54" s="699"/>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699"/>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127.5">
      <c r="A56" s="1973" t="s">
        <v>2059</v>
      </c>
      <c r="B56" s="123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56" s="1884"/>
      <c r="D56" s="999">
        <f t="shared" si="7"/>
        <v>0</v>
      </c>
      <c r="E56" s="699"/>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v>
      </c>
      <c r="C57" s="1884"/>
      <c r="D57" s="999">
        <f t="shared" si="7"/>
        <v>0</v>
      </c>
      <c r="E57" s="699"/>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39" thickBot="1">
      <c r="A58" s="1974" t="s">
        <v>2061</v>
      </c>
      <c r="B58" s="1975" t="str">
        <f>估价对象房地状况!C20</f>
        <v>区域自然环境：潞城中心公园；人文环境：工商大学嘉华学院；综合评价环境状况一般</v>
      </c>
      <c r="C58" s="1884"/>
      <c r="D58" s="999">
        <f t="shared" si="7"/>
        <v>0</v>
      </c>
      <c r="E58" s="700"/>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v>
      </c>
      <c r="C59" s="695"/>
      <c r="D59" s="695"/>
      <c r="E59" s="696"/>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7"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51">
      <c r="A61" s="1967" t="s">
        <v>2064</v>
      </c>
      <c r="B61" s="1970" t="str">
        <f>估价对象房地状况!C17</f>
        <v>估价对象位于丁各庄，为住宅配套项目，周边办公楼项目较少，入驻率较低，办公集聚程度较差</v>
      </c>
      <c r="C61" s="1884"/>
      <c r="D61" s="999">
        <f t="shared" ref="D61:D69" si="12">SUMIF($J$60:$N$60,C61,J61:N61)</f>
        <v>0</v>
      </c>
      <c r="E61" s="698">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1">
      <c r="A62" s="1967" t="s">
        <v>2053</v>
      </c>
      <c r="B62" s="1259" t="str">
        <f>估价对象房地状况!C18</f>
        <v>估价对象周边道路状况、公共交通通达情况808、809等、停车便捷程度较好，综合评价交通便捷度一般</v>
      </c>
      <c r="C62" s="1884"/>
      <c r="D62" s="999">
        <f t="shared" si="12"/>
        <v>0</v>
      </c>
      <c r="E62" s="699"/>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3268</v>
      </c>
      <c r="B63" s="1259">
        <f>估价对象房地状况!C19</f>
        <v>0</v>
      </c>
      <c r="C63" s="1884"/>
      <c r="D63" s="999">
        <f t="shared" si="12"/>
        <v>0</v>
      </c>
      <c r="E63" s="699"/>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2"/>
        <v>0</v>
      </c>
      <c r="E64" s="699"/>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次干道-通怀路</v>
      </c>
      <c r="C65" s="1884"/>
      <c r="D65" s="999">
        <f t="shared" si="12"/>
        <v>0</v>
      </c>
      <c r="E65" s="699"/>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2"/>
        <v>0</v>
      </c>
      <c r="E66" s="699"/>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127.5">
      <c r="A67" s="1967" t="s">
        <v>2059</v>
      </c>
      <c r="B67" s="123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67" s="1884"/>
      <c r="D67" s="999">
        <f t="shared" si="12"/>
        <v>0</v>
      </c>
      <c r="E67" s="699"/>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v>
      </c>
      <c r="C68" s="1884"/>
      <c r="D68" s="999">
        <f t="shared" si="12"/>
        <v>0</v>
      </c>
      <c r="E68" s="699"/>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39" thickBot="1">
      <c r="A69" s="1974" t="s">
        <v>2061</v>
      </c>
      <c r="B69" s="1976" t="str">
        <f>估价对象房地状况!C20</f>
        <v>区域自然环境：潞城中心公园；人文环境：工商大学嘉华学院；综合评价环境状况一般</v>
      </c>
      <c r="C69" s="1884"/>
      <c r="D69" s="999">
        <f t="shared" si="12"/>
        <v>0</v>
      </c>
      <c r="E69" s="700"/>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4" t="s">
        <v>2065</v>
      </c>
      <c r="B70" s="1965">
        <f>1+E72</f>
        <v>1</v>
      </c>
      <c r="C70" s="695"/>
      <c r="D70" s="695"/>
      <c r="E70" s="696"/>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7"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8">
        <f>ROUND(SUM(D72:D80),4)</f>
        <v>0</v>
      </c>
      <c r="F72" s="1672" t="str">
        <f>IF(E2="住宅",SUMIF(L1:L12,G2,N1:N12),"——")</f>
        <v>——</v>
      </c>
      <c r="G72" s="997"/>
      <c r="H72" s="1000" t="str">
        <f t="shared" ref="H72:H80" si="18">IFERROR(ROUNDDOWN($F$72*I72/2,4),"——")</f>
        <v>——</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1">
      <c r="A73" s="1967" t="s">
        <v>2053</v>
      </c>
      <c r="B73" s="1259" t="str">
        <f>估价对象房地状况!C18</f>
        <v>估价对象周边道路状况、公共交通通达情况808、809等、停车便捷程度较好，综合评价交通便捷度一般</v>
      </c>
      <c r="C73" s="1884"/>
      <c r="D73" s="999">
        <f t="shared" si="17"/>
        <v>0</v>
      </c>
      <c r="E73" s="701"/>
      <c r="F73" s="1672"/>
      <c r="G73" s="997"/>
      <c r="H73" s="1000" t="str">
        <f t="shared" si="18"/>
        <v>——</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6" t="s">
        <v>3268</v>
      </c>
      <c r="B74" s="1259">
        <f>估价对象房地状况!C19</f>
        <v>0</v>
      </c>
      <c r="C74" s="1884"/>
      <c r="D74" s="999">
        <f t="shared" si="17"/>
        <v>0</v>
      </c>
      <c r="E74" s="701"/>
      <c r="F74" s="1672"/>
      <c r="G74" s="997"/>
      <c r="H74" s="1000" t="str">
        <f t="shared" si="18"/>
        <v>——</v>
      </c>
      <c r="I74" s="3064">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次干道-通怀路</v>
      </c>
      <c r="C75" s="1884"/>
      <c r="D75" s="999">
        <f t="shared" si="17"/>
        <v>0</v>
      </c>
      <c r="E75" s="701"/>
      <c r="F75" s="1672"/>
      <c r="G75" s="997"/>
      <c r="H75" s="1000" t="str">
        <f t="shared" si="18"/>
        <v>——</v>
      </c>
      <c r="I75" s="3064">
        <v>0.05</v>
      </c>
      <c r="J75" s="998">
        <f t="shared" si="19"/>
        <v>0</v>
      </c>
      <c r="K75" s="998">
        <f t="shared" si="20"/>
        <v>0</v>
      </c>
      <c r="L75" s="998">
        <v>0</v>
      </c>
      <c r="M75" s="998">
        <f t="shared" si="21"/>
        <v>0</v>
      </c>
      <c r="N75" s="998">
        <f t="shared" si="21"/>
        <v>0</v>
      </c>
      <c r="O75" s="1053"/>
      <c r="P75" s="1053"/>
      <c r="Q75" s="1841"/>
      <c r="Z75" s="1842"/>
      <c r="AA75" s="1892"/>
      <c r="AG75" s="1055"/>
      <c r="AK75" s="1892"/>
    </row>
    <row r="76" spans="1:37" ht="127.5">
      <c r="A76" s="1967" t="s">
        <v>2059</v>
      </c>
      <c r="B76" s="123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76" s="1884"/>
      <c r="D76" s="999">
        <f t="shared" si="17"/>
        <v>0</v>
      </c>
      <c r="E76" s="701"/>
      <c r="F76" s="1672"/>
      <c r="G76" s="997"/>
      <c r="H76" s="1000" t="str">
        <f t="shared" si="18"/>
        <v>——</v>
      </c>
      <c r="I76" s="3064">
        <v>0.08</v>
      </c>
      <c r="J76" s="998">
        <f t="shared" si="19"/>
        <v>0</v>
      </c>
      <c r="K76" s="998">
        <f t="shared" si="20"/>
        <v>0</v>
      </c>
      <c r="L76" s="998">
        <v>0</v>
      </c>
      <c r="M76" s="998">
        <f t="shared" si="21"/>
        <v>0</v>
      </c>
      <c r="N76" s="998">
        <f t="shared" si="21"/>
        <v>0</v>
      </c>
      <c r="O76" s="1053"/>
      <c r="P76" s="1053"/>
      <c r="Z76" s="1842"/>
      <c r="AA76" s="1892"/>
      <c r="AG76" s="1055"/>
      <c r="AK76" s="1892"/>
    </row>
    <row r="77" spans="1:37" ht="25.5">
      <c r="A77" s="1967" t="s">
        <v>2060</v>
      </c>
      <c r="B77" s="1237" t="str">
        <f>估价对象房地状况!C22</f>
        <v>估价对象所在区域基础设施水平</v>
      </c>
      <c r="C77" s="1884"/>
      <c r="D77" s="999">
        <f t="shared" si="17"/>
        <v>0</v>
      </c>
      <c r="E77" s="701"/>
      <c r="F77" s="1672"/>
      <c r="G77" s="997"/>
      <c r="H77" s="1000" t="str">
        <f t="shared" si="18"/>
        <v>——</v>
      </c>
      <c r="I77" s="3064">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1"/>
      <c r="F78" s="1672"/>
      <c r="G78" s="997"/>
      <c r="H78" s="1000" t="str">
        <f t="shared" si="18"/>
        <v>——</v>
      </c>
      <c r="I78" s="3064">
        <v>0.05</v>
      </c>
      <c r="J78" s="998">
        <f t="shared" si="19"/>
        <v>0</v>
      </c>
      <c r="K78" s="998">
        <f t="shared" si="20"/>
        <v>0</v>
      </c>
      <c r="L78" s="998">
        <v>0</v>
      </c>
      <c r="M78" s="998">
        <f t="shared" si="21"/>
        <v>0</v>
      </c>
      <c r="N78" s="998">
        <f t="shared" si="21"/>
        <v>0</v>
      </c>
      <c r="O78" s="1841"/>
      <c r="P78" s="1841"/>
      <c r="Z78" s="1842"/>
      <c r="AA78" s="1892"/>
      <c r="AG78" s="1055"/>
      <c r="AK78" s="1892"/>
    </row>
    <row r="79" spans="1:37" ht="38.25">
      <c r="A79" s="1967" t="s">
        <v>2061</v>
      </c>
      <c r="B79" s="1970" t="str">
        <f>估价对象房地状况!C20</f>
        <v>区域自然环境：潞城中心公园；人文环境：工商大学嘉华学院；综合评价环境状况一般</v>
      </c>
      <c r="C79" s="1884"/>
      <c r="D79" s="999">
        <f t="shared" si="17"/>
        <v>0</v>
      </c>
      <c r="E79" s="701"/>
      <c r="F79" s="1672"/>
      <c r="G79" s="997"/>
      <c r="H79" s="1000" t="str">
        <f t="shared" si="18"/>
        <v>——</v>
      </c>
      <c r="I79" s="3064">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2"/>
      <c r="F80" s="1672"/>
      <c r="G80" s="997"/>
      <c r="H80" s="1000" t="str">
        <f t="shared" si="18"/>
        <v>——</v>
      </c>
      <c r="I80" s="3065">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5"/>
      <c r="D81" s="695"/>
      <c r="E81" s="696"/>
      <c r="F81" s="1966"/>
      <c r="G81" s="3"/>
      <c r="H81" s="3"/>
      <c r="I81" s="3"/>
      <c r="J81" s="4"/>
      <c r="K81" s="4"/>
      <c r="L81" s="4"/>
      <c r="M81" s="4"/>
      <c r="N81" s="4"/>
      <c r="Z81" s="1842"/>
      <c r="AA81" s="1892"/>
      <c r="AG81" s="1055"/>
      <c r="AK81" s="1892"/>
    </row>
    <row r="82" spans="1:37" ht="24.75">
      <c r="A82" s="1967" t="s">
        <v>2044</v>
      </c>
      <c r="B82" s="1259"/>
      <c r="C82" s="1259" t="s">
        <v>2046</v>
      </c>
      <c r="D82" s="1259" t="s">
        <v>2047</v>
      </c>
      <c r="E82" s="697"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8">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1"/>
      <c r="F84" s="1672"/>
      <c r="G84" s="997"/>
      <c r="H84" s="1000" t="str">
        <f t="shared" si="23"/>
        <v>——</v>
      </c>
      <c r="I84" s="3064">
        <v>0.3</v>
      </c>
      <c r="J84" s="998">
        <f t="shared" si="24"/>
        <v>0</v>
      </c>
      <c r="K84" s="998">
        <f t="shared" si="25"/>
        <v>0</v>
      </c>
      <c r="L84" s="998">
        <v>0</v>
      </c>
      <c r="M84" s="998">
        <f t="shared" si="26"/>
        <v>0</v>
      </c>
      <c r="N84" s="998">
        <f t="shared" si="26"/>
        <v>0</v>
      </c>
      <c r="Z84" s="1842"/>
      <c r="AA84" s="1892"/>
      <c r="AG84" s="1055"/>
      <c r="AK84" s="1892"/>
    </row>
    <row r="85" spans="1:37" ht="36">
      <c r="A85" s="3066" t="s">
        <v>3269</v>
      </c>
      <c r="B85" s="1259">
        <f>估价对象房地状况!G17</f>
        <v>0</v>
      </c>
      <c r="C85" s="1884"/>
      <c r="D85" s="999">
        <f t="shared" si="22"/>
        <v>0</v>
      </c>
      <c r="E85" s="701"/>
      <c r="F85" s="1672"/>
      <c r="G85" s="997"/>
      <c r="H85" s="1000" t="str">
        <f t="shared" si="23"/>
        <v>——</v>
      </c>
      <c r="I85" s="3064">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1"/>
      <c r="F86" s="1672"/>
      <c r="G86" s="997"/>
      <c r="H86" s="1000" t="str">
        <f t="shared" si="23"/>
        <v>——</v>
      </c>
      <c r="I86" s="3064">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1"/>
      <c r="F87" s="1672"/>
      <c r="G87" s="997"/>
      <c r="H87" s="1000" t="str">
        <f t="shared" si="23"/>
        <v>——</v>
      </c>
      <c r="I87" s="3064">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1"/>
      <c r="F88" s="1672"/>
      <c r="G88" s="997"/>
      <c r="H88" s="1000" t="str">
        <f t="shared" si="23"/>
        <v>——</v>
      </c>
      <c r="I88" s="3064">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1"/>
      <c r="F89" s="1672"/>
      <c r="G89" s="997"/>
      <c r="H89" s="1000" t="str">
        <f t="shared" si="23"/>
        <v>——</v>
      </c>
      <c r="I89" s="3064">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2"/>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2609</v>
      </c>
      <c r="B91" s="3075">
        <f>1+E93</f>
        <v>1</v>
      </c>
      <c r="C91" s="3068"/>
      <c r="D91" s="3069"/>
      <c r="E91" s="1672"/>
      <c r="F91" s="1672"/>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7" t="s">
        <v>3288</v>
      </c>
      <c r="K92" s="2147" t="s">
        <v>3289</v>
      </c>
      <c r="L92" s="2147" t="s">
        <v>3290</v>
      </c>
      <c r="M92" s="2147" t="s">
        <v>3291</v>
      </c>
      <c r="N92" s="2147" t="s">
        <v>3292</v>
      </c>
    </row>
    <row r="93" spans="1:37" ht="24">
      <c r="A93" s="3066" t="s">
        <v>3271</v>
      </c>
      <c r="B93" s="1218"/>
      <c r="C93" s="1884"/>
      <c r="D93" s="2305">
        <f>SUMIF($J$92:$N$92,C93,J93:N93)</f>
        <v>0</v>
      </c>
      <c r="E93" s="3079">
        <f>ROUND(SUM(D93:D101),4)</f>
        <v>0</v>
      </c>
      <c r="F93" s="1672" t="str">
        <f>IF(E2="公共服务",SUMIF(L1:L12,G2,N1:N12),"——")</f>
        <v>——</v>
      </c>
      <c r="G93" s="3070"/>
      <c r="H93" s="3115" t="str">
        <f>IFERROR(ROUNDDOWN($F$93*I93/2,4),"——")</f>
        <v>——</v>
      </c>
      <c r="I93" s="3064">
        <v>0.25</v>
      </c>
      <c r="J93" s="1909">
        <f t="shared" ref="J93:J101" si="27">K93+$G93</f>
        <v>0</v>
      </c>
      <c r="K93" s="1909">
        <f t="shared" ref="K93:K101" si="28">$L93+$G93</f>
        <v>0</v>
      </c>
      <c r="L93" s="1909">
        <v>0</v>
      </c>
      <c r="M93" s="1909">
        <f t="shared" ref="M93:N101" si="29">L93-$G93</f>
        <v>0</v>
      </c>
      <c r="N93" s="1909">
        <f t="shared" si="29"/>
        <v>0</v>
      </c>
    </row>
    <row r="94" spans="1:37" ht="51">
      <c r="A94" s="3076" t="s">
        <v>3272</v>
      </c>
      <c r="B94" s="3067" t="str">
        <f>估价对象房地状况!C18</f>
        <v>估价对象周边道路状况、公共交通通达情况808、809等、停车便捷程度较好，综合评价交通便捷度一般</v>
      </c>
      <c r="C94" s="1884"/>
      <c r="D94" s="2305">
        <f t="shared" ref="D94:D101" si="30">SUMIF($J$60:$N$60,C94,J94:N94)</f>
        <v>0</v>
      </c>
      <c r="E94" s="3080"/>
      <c r="F94" s="1672"/>
      <c r="G94" s="3070"/>
      <c r="H94" s="3115" t="str">
        <f>IFERROR(ROUNDDOWN($F$93*I94/2,4),"——")</f>
        <v>——</v>
      </c>
      <c r="I94" s="3064">
        <v>0.26</v>
      </c>
      <c r="J94" s="1909">
        <f t="shared" si="27"/>
        <v>0</v>
      </c>
      <c r="K94" s="1909">
        <f t="shared" si="28"/>
        <v>0</v>
      </c>
      <c r="L94" s="1909">
        <v>0</v>
      </c>
      <c r="M94" s="1909">
        <f t="shared" si="29"/>
        <v>0</v>
      </c>
      <c r="N94" s="1909">
        <f t="shared" si="29"/>
        <v>0</v>
      </c>
    </row>
    <row r="95" spans="1:37" ht="36">
      <c r="A95" s="3066" t="s">
        <v>3268</v>
      </c>
      <c r="B95" s="3067">
        <f>估价对象房地状况!C19</f>
        <v>0</v>
      </c>
      <c r="C95" s="1884"/>
      <c r="D95" s="2305">
        <f t="shared" si="30"/>
        <v>0</v>
      </c>
      <c r="E95" s="3080"/>
      <c r="F95" s="1672"/>
      <c r="G95" s="3070"/>
      <c r="H95" s="3115" t="str">
        <f t="shared" ref="H95:H101" si="31">IFERROR(ROUNDDOWN($F$93*I95/2,4),"——")</f>
        <v>——</v>
      </c>
      <c r="I95" s="3064">
        <v>0.11</v>
      </c>
      <c r="J95" s="1909">
        <f t="shared" si="27"/>
        <v>0</v>
      </c>
      <c r="K95" s="1909">
        <f t="shared" si="28"/>
        <v>0</v>
      </c>
      <c r="L95" s="1909">
        <v>0</v>
      </c>
      <c r="M95" s="1909">
        <f t="shared" si="29"/>
        <v>0</v>
      </c>
      <c r="N95" s="1909">
        <f t="shared" si="29"/>
        <v>0</v>
      </c>
    </row>
    <row r="96" spans="1:37" ht="36.75">
      <c r="A96" s="3076" t="s">
        <v>3273</v>
      </c>
      <c r="B96" s="3082" t="s">
        <v>3284</v>
      </c>
      <c r="C96" s="1884"/>
      <c r="D96" s="2305">
        <f t="shared" si="30"/>
        <v>0</v>
      </c>
      <c r="E96" s="3080"/>
      <c r="F96" s="1672"/>
      <c r="G96" s="3070"/>
      <c r="H96" s="3115" t="str">
        <f t="shared" si="31"/>
        <v>——</v>
      </c>
      <c r="I96" s="3064">
        <v>0.05</v>
      </c>
      <c r="J96" s="1909">
        <f t="shared" si="27"/>
        <v>0</v>
      </c>
      <c r="K96" s="1909">
        <f t="shared" si="28"/>
        <v>0</v>
      </c>
      <c r="L96" s="1909">
        <v>0</v>
      </c>
      <c r="M96" s="1909">
        <f t="shared" si="29"/>
        <v>0</v>
      </c>
      <c r="N96" s="1909">
        <f t="shared" si="29"/>
        <v>0</v>
      </c>
    </row>
    <row r="97" spans="1:14" ht="24">
      <c r="A97" s="3076" t="s">
        <v>3274</v>
      </c>
      <c r="B97" s="3067" t="str">
        <f>估价对象房地状况!C24</f>
        <v>次干道-通怀路</v>
      </c>
      <c r="C97" s="1884"/>
      <c r="D97" s="2305">
        <f t="shared" si="30"/>
        <v>0</v>
      </c>
      <c r="E97" s="3080"/>
      <c r="F97" s="1672"/>
      <c r="G97" s="3070"/>
      <c r="H97" s="3115" t="str">
        <f t="shared" si="31"/>
        <v>——</v>
      </c>
      <c r="I97" s="3064">
        <v>0.05</v>
      </c>
      <c r="J97" s="1909">
        <f t="shared" si="27"/>
        <v>0</v>
      </c>
      <c r="K97" s="1909">
        <f t="shared" si="28"/>
        <v>0</v>
      </c>
      <c r="L97" s="1909">
        <v>0</v>
      </c>
      <c r="M97" s="1909">
        <f t="shared" si="29"/>
        <v>0</v>
      </c>
      <c r="N97" s="1909">
        <f t="shared" si="29"/>
        <v>0</v>
      </c>
    </row>
    <row r="98" spans="1:14" ht="24">
      <c r="A98" s="3076" t="s">
        <v>3275</v>
      </c>
      <c r="B98" s="3083" t="s">
        <v>3285</v>
      </c>
      <c r="C98" s="1884"/>
      <c r="D98" s="2305">
        <f t="shared" si="30"/>
        <v>0</v>
      </c>
      <c r="E98" s="3080"/>
      <c r="F98" s="1672"/>
      <c r="G98" s="3070"/>
      <c r="H98" s="3115" t="str">
        <f t="shared" si="31"/>
        <v>——</v>
      </c>
      <c r="I98" s="3064">
        <v>0.06</v>
      </c>
      <c r="J98" s="1909">
        <f t="shared" si="27"/>
        <v>0</v>
      </c>
      <c r="K98" s="1909">
        <f t="shared" si="28"/>
        <v>0</v>
      </c>
      <c r="L98" s="1909">
        <v>0</v>
      </c>
      <c r="M98" s="1909">
        <f t="shared" si="29"/>
        <v>0</v>
      </c>
      <c r="N98" s="1909">
        <f t="shared" si="29"/>
        <v>0</v>
      </c>
    </row>
    <row r="99" spans="1:14" ht="127.5">
      <c r="A99" s="3076" t="s">
        <v>3276</v>
      </c>
      <c r="B99" s="3067" t="str">
        <f>估价对象房地状况!C21</f>
        <v>所在区域有银行（中国邮政储蓄银行宋庄营业所、北京农商银行宋庄支行等），购物场所（弗兰德超市、世纪家家福超市等），医院（宋庄卫生院保健科），学校（北京工商大学嘉华学院、十一学校通州实验学校等），餐饮等公共配套设施，综合确定公共配套设施齐备度一般</v>
      </c>
      <c r="C99" s="1884"/>
      <c r="D99" s="2305">
        <f t="shared" si="30"/>
        <v>0</v>
      </c>
      <c r="E99" s="3080"/>
      <c r="F99" s="1672"/>
      <c r="G99" s="3070"/>
      <c r="H99" s="3115" t="str">
        <f t="shared" si="31"/>
        <v>——</v>
      </c>
      <c r="I99" s="3064">
        <v>0.06</v>
      </c>
      <c r="J99" s="1909">
        <f t="shared" si="27"/>
        <v>0</v>
      </c>
      <c r="K99" s="1909">
        <f t="shared" si="28"/>
        <v>0</v>
      </c>
      <c r="L99" s="1909">
        <v>0</v>
      </c>
      <c r="M99" s="1909">
        <f t="shared" si="29"/>
        <v>0</v>
      </c>
      <c r="N99" s="1909">
        <f t="shared" si="29"/>
        <v>0</v>
      </c>
    </row>
    <row r="100" spans="1:14" ht="25.5">
      <c r="A100" s="3076" t="s">
        <v>3277</v>
      </c>
      <c r="B100" s="3067" t="str">
        <f>估价对象房地状况!C22</f>
        <v>估价对象所在区域基础设施水平</v>
      </c>
      <c r="C100" s="1884"/>
      <c r="D100" s="2305">
        <f t="shared" si="30"/>
        <v>0</v>
      </c>
      <c r="E100" s="3080"/>
      <c r="F100" s="1672"/>
      <c r="G100" s="3070"/>
      <c r="H100" s="3115" t="str">
        <f t="shared" si="31"/>
        <v>——</v>
      </c>
      <c r="I100" s="3064">
        <v>0.09</v>
      </c>
      <c r="J100" s="1909">
        <f t="shared" si="27"/>
        <v>0</v>
      </c>
      <c r="K100" s="1909">
        <f t="shared" si="28"/>
        <v>0</v>
      </c>
      <c r="L100" s="1909">
        <v>0</v>
      </c>
      <c r="M100" s="1909">
        <f t="shared" si="29"/>
        <v>0</v>
      </c>
      <c r="N100" s="1909">
        <f t="shared" si="29"/>
        <v>0</v>
      </c>
    </row>
    <row r="101" spans="1:14" ht="39" thickBot="1">
      <c r="A101" s="3077" t="s">
        <v>3278</v>
      </c>
      <c r="B101" s="3084" t="str">
        <f>估价对象房地状况!C20</f>
        <v>区域自然环境：潞城中心公园；人文环境：工商大学嘉华学院；综合评价环境状况一般</v>
      </c>
      <c r="C101" s="1884"/>
      <c r="D101" s="2305">
        <f t="shared" si="30"/>
        <v>0</v>
      </c>
      <c r="E101" s="3081"/>
      <c r="F101" s="1672"/>
      <c r="G101" s="3070"/>
      <c r="H101" s="3115" t="str">
        <f t="shared" si="31"/>
        <v>——</v>
      </c>
      <c r="I101" s="3065">
        <v>7.0000000000000007E-2</v>
      </c>
      <c r="J101" s="1909">
        <f t="shared" si="27"/>
        <v>0</v>
      </c>
      <c r="K101" s="1909">
        <f t="shared" si="28"/>
        <v>0</v>
      </c>
      <c r="L101" s="1909">
        <v>0</v>
      </c>
      <c r="M101" s="1909">
        <f t="shared" si="29"/>
        <v>0</v>
      </c>
      <c r="N101" s="1909">
        <f t="shared" si="29"/>
        <v>0</v>
      </c>
    </row>
    <row r="103" spans="1:14">
      <c r="A103" s="3565" t="s">
        <v>3293</v>
      </c>
      <c r="B103" s="3565"/>
      <c r="C103" s="3565"/>
      <c r="D103" s="3565"/>
      <c r="E103" s="3565"/>
      <c r="F103" s="3565"/>
      <c r="G103" s="3565"/>
      <c r="H103" s="3565"/>
      <c r="I103" s="3565"/>
      <c r="J103" s="3565"/>
      <c r="K103" s="1664"/>
      <c r="L103" s="1664"/>
      <c r="M103" s="1664"/>
      <c r="N103" s="1664"/>
    </row>
    <row r="104" spans="1:14">
      <c r="A104" s="3566" t="s">
        <v>3294</v>
      </c>
      <c r="B104" s="3566" t="s">
        <v>3295</v>
      </c>
      <c r="C104" s="3086" t="s">
        <v>3296</v>
      </c>
      <c r="D104" s="3087"/>
      <c r="E104" s="3087"/>
      <c r="F104" s="3087"/>
      <c r="G104" s="3087"/>
      <c r="H104" s="3087"/>
      <c r="I104" s="3087"/>
      <c r="J104" s="3088"/>
      <c r="K104" s="3089"/>
      <c r="L104" s="3089"/>
      <c r="M104" s="3089"/>
      <c r="N104" s="3089"/>
    </row>
    <row r="105" spans="1:14">
      <c r="A105" s="3566"/>
      <c r="B105" s="3566"/>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552"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3"/>
      <c r="B111" s="3090" t="s">
        <v>3267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54"/>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55" t="s">
        <v>3310</v>
      </c>
      <c r="B113" s="3555"/>
      <c r="C113" s="3555"/>
      <c r="D113" s="3555"/>
      <c r="E113" s="3555"/>
      <c r="F113" s="3555"/>
      <c r="G113" s="3555"/>
      <c r="H113" s="3555"/>
      <c r="I113" s="3555"/>
      <c r="J113" s="3555"/>
      <c r="K113" s="3092"/>
      <c r="L113" s="3092"/>
      <c r="M113" s="3092"/>
      <c r="N113" s="3092"/>
    </row>
    <row r="114" spans="1:14">
      <c r="A114" s="3093"/>
      <c r="B114" s="3093"/>
      <c r="C114" s="3093"/>
      <c r="D114" s="3093"/>
      <c r="E114" s="3093"/>
      <c r="F114" s="3093"/>
      <c r="G114" s="3093"/>
      <c r="H114" s="3093"/>
      <c r="I114" s="3093"/>
      <c r="J114" s="3093"/>
      <c r="K114" s="1961"/>
      <c r="L114" s="3093"/>
      <c r="M114" s="3093"/>
      <c r="N114" s="3093"/>
    </row>
    <row r="115" spans="1:14" ht="13.5" thickBot="1">
      <c r="A115" s="3093"/>
      <c r="B115" s="3093"/>
      <c r="C115" s="3093"/>
      <c r="D115" s="3093"/>
      <c r="E115" s="3093"/>
      <c r="F115" s="3093"/>
      <c r="G115" s="3093"/>
      <c r="H115" s="3093"/>
      <c r="I115" s="3093"/>
      <c r="J115" s="3093"/>
      <c r="K115" s="1961"/>
      <c r="L115" s="3093"/>
      <c r="M115" s="3093"/>
      <c r="N115" s="3093"/>
    </row>
    <row r="116" spans="1:14" ht="25.5" thickBot="1">
      <c r="A116" s="3094" t="s">
        <v>3311</v>
      </c>
      <c r="B116" s="3110">
        <f>G3</f>
        <v>0</v>
      </c>
      <c r="C116" s="3095" t="s">
        <v>3312</v>
      </c>
      <c r="D116" s="3096">
        <f>SUMPRODUCT((A118:A122=F116)*(B117:M117=H116)*B118:M122)</f>
        <v>0</v>
      </c>
      <c r="E116" s="162" t="s">
        <v>3313</v>
      </c>
      <c r="F116" s="3097">
        <f>E2</f>
        <v>0</v>
      </c>
      <c r="G116" s="162" t="s">
        <v>3314</v>
      </c>
      <c r="H116" s="3097">
        <f>G2</f>
        <v>0</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3328</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3329</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3330</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2609</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80" t="s">
        <v>2604</v>
      </c>
      <c r="B20" s="3575" t="s">
        <v>2625</v>
      </c>
      <c r="C20" s="2838" t="s">
        <v>2436</v>
      </c>
      <c r="D20" s="2839"/>
      <c r="E20" s="2840">
        <v>1</v>
      </c>
      <c r="F20" s="2841" t="s">
        <v>2437</v>
      </c>
      <c r="G20" s="2841"/>
    </row>
    <row r="21" spans="1:13" ht="19.5" customHeight="1">
      <c r="A21" s="3581"/>
      <c r="B21" s="3574"/>
      <c r="C21" s="2842" t="s">
        <v>2438</v>
      </c>
      <c r="D21" s="2843"/>
      <c r="E21" s="2844">
        <v>1</v>
      </c>
      <c r="F21" s="2841" t="s">
        <v>2439</v>
      </c>
      <c r="G21" s="2841"/>
    </row>
    <row r="22" spans="1:13" ht="19.5" customHeight="1">
      <c r="A22" s="3581"/>
      <c r="B22" s="3574"/>
      <c r="C22" s="2842" t="s">
        <v>2440</v>
      </c>
      <c r="D22" s="2843"/>
      <c r="E22" s="2844">
        <v>0.9</v>
      </c>
      <c r="F22" s="2841" t="s">
        <v>2441</v>
      </c>
      <c r="G22" s="2841"/>
    </row>
    <row r="23" spans="1:13" ht="19.5" customHeight="1">
      <c r="A23" s="3581"/>
      <c r="B23" s="3574"/>
      <c r="C23" s="2842" t="s">
        <v>2442</v>
      </c>
      <c r="D23" s="2843"/>
      <c r="E23" s="2844">
        <v>0.9</v>
      </c>
      <c r="F23" s="2841" t="s">
        <v>2443</v>
      </c>
      <c r="G23" s="2841"/>
    </row>
    <row r="24" spans="1:13" ht="19.5" customHeight="1">
      <c r="A24" s="3581"/>
      <c r="B24" s="3574"/>
      <c r="C24" s="2842" t="s">
        <v>2444</v>
      </c>
      <c r="D24" s="2843"/>
      <c r="E24" s="2844">
        <v>0.8</v>
      </c>
      <c r="F24" s="2841" t="s">
        <v>2445</v>
      </c>
      <c r="G24" s="2841"/>
    </row>
    <row r="25" spans="1:13" ht="19.5" customHeight="1" thickBot="1">
      <c r="A25" s="3582"/>
      <c r="B25" s="3576"/>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77" t="s">
        <v>2628</v>
      </c>
      <c r="B27" s="3575" t="s">
        <v>2609</v>
      </c>
      <c r="C27" s="2838" t="s">
        <v>2449</v>
      </c>
      <c r="D27" s="2839"/>
      <c r="E27" s="2840">
        <v>1</v>
      </c>
      <c r="F27" s="2841" t="s">
        <v>2450</v>
      </c>
      <c r="G27" s="2841"/>
    </row>
    <row r="28" spans="1:13" ht="19.5" customHeight="1">
      <c r="A28" s="3578"/>
      <c r="B28" s="3574"/>
      <c r="C28" s="2842" t="s">
        <v>2451</v>
      </c>
      <c r="D28" s="2843"/>
      <c r="E28" s="2844">
        <v>1</v>
      </c>
      <c r="F28" s="2841" t="s">
        <v>2452</v>
      </c>
      <c r="G28" s="2841"/>
    </row>
    <row r="29" spans="1:13" ht="19.5" customHeight="1">
      <c r="A29" s="3578"/>
      <c r="B29" s="3574"/>
      <c r="C29" s="2842" t="s">
        <v>2453</v>
      </c>
      <c r="D29" s="2843"/>
      <c r="E29" s="2844">
        <v>0.8</v>
      </c>
      <c r="F29" s="2841" t="s">
        <v>2454</v>
      </c>
      <c r="G29" s="2841"/>
    </row>
    <row r="30" spans="1:13" ht="19.5" customHeight="1">
      <c r="A30" s="3578"/>
      <c r="B30" s="3574"/>
      <c r="C30" s="2842" t="s">
        <v>2455</v>
      </c>
      <c r="D30" s="2843"/>
      <c r="E30" s="2844">
        <v>0.8</v>
      </c>
      <c r="F30" s="2841" t="s">
        <v>2456</v>
      </c>
      <c r="G30" s="2841"/>
    </row>
    <row r="31" spans="1:13" ht="19.5" customHeight="1">
      <c r="A31" s="3578"/>
      <c r="B31" s="3574"/>
      <c r="C31" s="2842" t="s">
        <v>2457</v>
      </c>
      <c r="D31" s="2843"/>
      <c r="E31" s="2844">
        <v>0.8</v>
      </c>
      <c r="F31" s="2841" t="s">
        <v>2458</v>
      </c>
      <c r="G31" s="2841"/>
    </row>
    <row r="32" spans="1:13" ht="19.5" customHeight="1">
      <c r="A32" s="3578"/>
      <c r="B32" s="3574"/>
      <c r="C32" s="2842" t="s">
        <v>2459</v>
      </c>
      <c r="D32" s="2843"/>
      <c r="E32" s="2844">
        <v>0.7</v>
      </c>
      <c r="F32" s="2841" t="s">
        <v>2460</v>
      </c>
      <c r="G32" s="2841"/>
    </row>
    <row r="33" spans="1:7" ht="19.5" customHeight="1">
      <c r="A33" s="3578"/>
      <c r="B33" s="3574"/>
      <c r="C33" s="2842" t="s">
        <v>2461</v>
      </c>
      <c r="D33" s="2843"/>
      <c r="E33" s="2844">
        <v>0.8</v>
      </c>
      <c r="F33" s="2841" t="s">
        <v>2462</v>
      </c>
      <c r="G33" s="2841"/>
    </row>
    <row r="34" spans="1:7" ht="19.5" customHeight="1">
      <c r="A34" s="3578"/>
      <c r="B34" s="3574"/>
      <c r="C34" s="2842" t="s">
        <v>2463</v>
      </c>
      <c r="D34" s="2843"/>
      <c r="E34" s="2844">
        <v>0.6</v>
      </c>
      <c r="F34" s="2841" t="s">
        <v>2464</v>
      </c>
      <c r="G34" s="2841"/>
    </row>
    <row r="35" spans="1:7" ht="19.5" customHeight="1">
      <c r="A35" s="3578"/>
      <c r="B35" s="3574"/>
      <c r="C35" s="2842" t="s">
        <v>2465</v>
      </c>
      <c r="D35" s="2843"/>
      <c r="E35" s="2844">
        <v>0.2</v>
      </c>
      <c r="F35" s="2841" t="s">
        <v>2466</v>
      </c>
      <c r="G35" s="2841"/>
    </row>
    <row r="36" spans="1:7" ht="19.5" customHeight="1">
      <c r="A36" s="3578"/>
      <c r="B36" s="3574"/>
      <c r="C36" s="2842" t="s">
        <v>2467</v>
      </c>
      <c r="D36" s="2843"/>
      <c r="E36" s="2844">
        <v>0.2</v>
      </c>
      <c r="F36" s="2841" t="s">
        <v>2468</v>
      </c>
      <c r="G36" s="2841"/>
    </row>
    <row r="37" spans="1:7" ht="19.5" customHeight="1">
      <c r="A37" s="3578"/>
      <c r="B37" s="3572" t="s">
        <v>2629</v>
      </c>
      <c r="C37" s="2842" t="s">
        <v>2469</v>
      </c>
      <c r="D37" s="2843"/>
      <c r="E37" s="2844">
        <v>0.6</v>
      </c>
      <c r="F37" s="2841" t="s">
        <v>2470</v>
      </c>
      <c r="G37" s="2841"/>
    </row>
    <row r="38" spans="1:7" ht="19.5" customHeight="1">
      <c r="A38" s="3578"/>
      <c r="B38" s="3574"/>
      <c r="C38" s="2842" t="s">
        <v>2471</v>
      </c>
      <c r="D38" s="2843"/>
      <c r="E38" s="2844">
        <v>0.6</v>
      </c>
      <c r="F38" s="2841" t="s">
        <v>2472</v>
      </c>
      <c r="G38" s="2841"/>
    </row>
    <row r="39" spans="1:7" ht="19.5" customHeight="1" thickBot="1">
      <c r="A39" s="3579"/>
      <c r="B39" s="3576"/>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80" t="s">
        <v>2607</v>
      </c>
      <c r="B41" s="3575" t="s">
        <v>2631</v>
      </c>
      <c r="C41" s="2838" t="s">
        <v>2476</v>
      </c>
      <c r="D41" s="2839"/>
      <c r="E41" s="2840">
        <v>1</v>
      </c>
      <c r="F41" s="2841" t="s">
        <v>2477</v>
      </c>
      <c r="G41" s="2841"/>
    </row>
    <row r="42" spans="1:7" ht="19.5" customHeight="1">
      <c r="A42" s="3581"/>
      <c r="B42" s="3574"/>
      <c r="C42" s="2842" t="s">
        <v>2478</v>
      </c>
      <c r="D42" s="2843"/>
      <c r="E42" s="2844">
        <v>1</v>
      </c>
      <c r="F42" s="2841" t="s">
        <v>2479</v>
      </c>
      <c r="G42" s="2841"/>
    </row>
    <row r="43" spans="1:7" ht="19.5" customHeight="1">
      <c r="A43" s="3581"/>
      <c r="B43" s="3573"/>
      <c r="C43" s="2842" t="s">
        <v>2480</v>
      </c>
      <c r="D43" s="2843"/>
      <c r="E43" s="2844">
        <v>1.5</v>
      </c>
      <c r="F43" s="2841" t="s">
        <v>2481</v>
      </c>
      <c r="G43" s="2841"/>
    </row>
    <row r="44" spans="1:7" ht="19.5" customHeight="1">
      <c r="A44" s="3581"/>
      <c r="B44" s="2853" t="s">
        <v>2632</v>
      </c>
      <c r="C44" s="2842" t="s">
        <v>2633</v>
      </c>
      <c r="D44" s="2843"/>
      <c r="E44" s="2844">
        <v>2</v>
      </c>
      <c r="F44" s="2841" t="s">
        <v>2482</v>
      </c>
      <c r="G44" s="2841"/>
    </row>
    <row r="45" spans="1:7" ht="19.5" customHeight="1">
      <c r="A45" s="3581"/>
      <c r="B45" s="3572" t="s">
        <v>2634</v>
      </c>
      <c r="C45" s="2842" t="s">
        <v>2483</v>
      </c>
      <c r="D45" s="2843"/>
      <c r="E45" s="2844">
        <v>1</v>
      </c>
      <c r="F45" s="2841" t="s">
        <v>2484</v>
      </c>
      <c r="G45" s="2841"/>
    </row>
    <row r="46" spans="1:7" ht="19.5" customHeight="1">
      <c r="A46" s="3581"/>
      <c r="B46" s="3574"/>
      <c r="C46" s="2842" t="s">
        <v>2485</v>
      </c>
      <c r="D46" s="2843"/>
      <c r="E46" s="2844">
        <v>1</v>
      </c>
      <c r="F46" s="2841" t="s">
        <v>2486</v>
      </c>
      <c r="G46" s="2841"/>
    </row>
    <row r="47" spans="1:7" ht="19.5" customHeight="1">
      <c r="A47" s="3581"/>
      <c r="B47" s="3574"/>
      <c r="C47" s="2842" t="s">
        <v>2487</v>
      </c>
      <c r="D47" s="2843"/>
      <c r="E47" s="2844">
        <v>1</v>
      </c>
      <c r="F47" s="2841" t="s">
        <v>2488</v>
      </c>
      <c r="G47" s="2841"/>
    </row>
    <row r="48" spans="1:7" ht="19.5" customHeight="1">
      <c r="A48" s="3581"/>
      <c r="B48" s="3574"/>
      <c r="C48" s="2842" t="s">
        <v>2489</v>
      </c>
      <c r="D48" s="2843"/>
      <c r="E48" s="2844">
        <v>1</v>
      </c>
      <c r="F48" s="2841" t="s">
        <v>2490</v>
      </c>
      <c r="G48" s="2841"/>
    </row>
    <row r="49" spans="1:7" ht="19.5" customHeight="1">
      <c r="A49" s="3581"/>
      <c r="B49" s="3574"/>
      <c r="C49" s="2842" t="s">
        <v>2491</v>
      </c>
      <c r="D49" s="2843"/>
      <c r="E49" s="2844">
        <v>1</v>
      </c>
      <c r="F49" s="2841" t="s">
        <v>2492</v>
      </c>
      <c r="G49" s="2841"/>
    </row>
    <row r="50" spans="1:7" ht="19.5" customHeight="1">
      <c r="A50" s="3581"/>
      <c r="B50" s="3574"/>
      <c r="C50" s="2842" t="s">
        <v>2493</v>
      </c>
      <c r="D50" s="2843"/>
      <c r="E50" s="2844">
        <v>1</v>
      </c>
      <c r="F50" s="2841" t="s">
        <v>2494</v>
      </c>
      <c r="G50" s="2841"/>
    </row>
    <row r="51" spans="1:7" ht="19.5" customHeight="1" thickBot="1">
      <c r="A51" s="3582"/>
      <c r="B51" s="3576"/>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72" t="s">
        <v>2648</v>
      </c>
      <c r="C73" s="2827" t="s">
        <v>2649</v>
      </c>
      <c r="D73" s="2827" t="s">
        <v>2650</v>
      </c>
      <c r="E73" s="2853">
        <v>0.2</v>
      </c>
      <c r="F73" s="2853">
        <v>25</v>
      </c>
    </row>
    <row r="74" spans="1:7" ht="24">
      <c r="A74" s="2853">
        <v>2</v>
      </c>
      <c r="B74" s="3574"/>
      <c r="C74" s="2827" t="s">
        <v>2651</v>
      </c>
      <c r="D74" s="2827" t="s">
        <v>2652</v>
      </c>
      <c r="E74" s="2853">
        <v>0.2</v>
      </c>
      <c r="F74" s="2853">
        <v>25</v>
      </c>
    </row>
    <row r="75" spans="1:7" ht="24">
      <c r="A75" s="2853">
        <v>3</v>
      </c>
      <c r="B75" s="3574"/>
      <c r="C75" s="2827" t="s">
        <v>2653</v>
      </c>
      <c r="D75" s="2827" t="s">
        <v>2654</v>
      </c>
      <c r="E75" s="2853">
        <v>0.2</v>
      </c>
      <c r="F75" s="2853">
        <v>25</v>
      </c>
    </row>
    <row r="76" spans="1:7" ht="13.5">
      <c r="A76" s="2853">
        <v>4</v>
      </c>
      <c r="B76" s="3574"/>
      <c r="C76" s="2827" t="s">
        <v>2655</v>
      </c>
      <c r="D76" s="2827" t="s">
        <v>2656</v>
      </c>
      <c r="E76" s="2853">
        <v>0.15</v>
      </c>
      <c r="F76" s="2853">
        <v>20</v>
      </c>
    </row>
    <row r="77" spans="1:7" ht="24">
      <c r="A77" s="2853">
        <v>5</v>
      </c>
      <c r="B77" s="3574"/>
      <c r="C77" s="2827" t="s">
        <v>2657</v>
      </c>
      <c r="D77" s="2827" t="s">
        <v>2658</v>
      </c>
      <c r="E77" s="2853">
        <v>0.15</v>
      </c>
      <c r="F77" s="2853">
        <v>20</v>
      </c>
    </row>
    <row r="78" spans="1:7" ht="24">
      <c r="A78" s="2853">
        <v>6</v>
      </c>
      <c r="B78" s="3574"/>
      <c r="C78" s="2827" t="s">
        <v>2659</v>
      </c>
      <c r="D78" s="2827" t="s">
        <v>2660</v>
      </c>
      <c r="E78" s="2853">
        <v>0.15</v>
      </c>
      <c r="F78" s="2853">
        <v>20</v>
      </c>
    </row>
    <row r="79" spans="1:7" ht="24">
      <c r="A79" s="2853">
        <v>7</v>
      </c>
      <c r="B79" s="3574"/>
      <c r="C79" s="2827" t="s">
        <v>2661</v>
      </c>
      <c r="D79" s="2827" t="s">
        <v>2662</v>
      </c>
      <c r="E79" s="2853">
        <v>0.15</v>
      </c>
      <c r="F79" s="2853">
        <v>20</v>
      </c>
    </row>
    <row r="80" spans="1:7" ht="24">
      <c r="A80" s="2853">
        <v>8</v>
      </c>
      <c r="B80" s="3574"/>
      <c r="C80" s="2827" t="s">
        <v>2663</v>
      </c>
      <c r="D80" s="2827" t="s">
        <v>2664</v>
      </c>
      <c r="E80" s="2853">
        <v>0.1</v>
      </c>
      <c r="F80" s="2853">
        <v>15</v>
      </c>
    </row>
    <row r="81" spans="1:6" ht="24">
      <c r="A81" s="2853">
        <v>9</v>
      </c>
      <c r="B81" s="3574"/>
      <c r="C81" s="2827" t="s">
        <v>2665</v>
      </c>
      <c r="D81" s="2827" t="s">
        <v>2666</v>
      </c>
      <c r="E81" s="2853">
        <v>0.1</v>
      </c>
      <c r="F81" s="2853">
        <v>15</v>
      </c>
    </row>
    <row r="82" spans="1:6" ht="24">
      <c r="A82" s="2853">
        <v>10</v>
      </c>
      <c r="B82" s="3574"/>
      <c r="C82" s="2827" t="s">
        <v>2667</v>
      </c>
      <c r="D82" s="2827" t="s">
        <v>2668</v>
      </c>
      <c r="E82" s="2853">
        <v>0.1</v>
      </c>
      <c r="F82" s="2853">
        <v>15</v>
      </c>
    </row>
    <row r="83" spans="1:6" ht="24">
      <c r="A83" s="2853">
        <v>11</v>
      </c>
      <c r="B83" s="3574"/>
      <c r="C83" s="2827" t="s">
        <v>2669</v>
      </c>
      <c r="D83" s="2827" t="s">
        <v>2670</v>
      </c>
      <c r="E83" s="2853">
        <v>0.1</v>
      </c>
      <c r="F83" s="2853">
        <v>15</v>
      </c>
    </row>
    <row r="84" spans="1:6" ht="24">
      <c r="A84" s="2853">
        <v>12</v>
      </c>
      <c r="B84" s="3574"/>
      <c r="C84" s="2827" t="s">
        <v>2671</v>
      </c>
      <c r="D84" s="2827" t="s">
        <v>2672</v>
      </c>
      <c r="E84" s="2853">
        <v>0.1</v>
      </c>
      <c r="F84" s="2853">
        <v>15</v>
      </c>
    </row>
    <row r="85" spans="1:6" ht="13.5">
      <c r="A85" s="2853">
        <v>13</v>
      </c>
      <c r="B85" s="3574"/>
      <c r="C85" s="2827" t="s">
        <v>2673</v>
      </c>
      <c r="D85" s="2827" t="s">
        <v>2674</v>
      </c>
      <c r="E85" s="2853">
        <v>0.1</v>
      </c>
      <c r="F85" s="2853">
        <v>15</v>
      </c>
    </row>
    <row r="86" spans="1:6" ht="13.5">
      <c r="A86" s="2853">
        <v>14</v>
      </c>
      <c r="B86" s="3574"/>
      <c r="C86" s="2827" t="s">
        <v>2675</v>
      </c>
      <c r="D86" s="2827" t="s">
        <v>2676</v>
      </c>
      <c r="E86" s="2853">
        <v>0.1</v>
      </c>
      <c r="F86" s="2853">
        <v>15</v>
      </c>
    </row>
    <row r="87" spans="1:6" ht="13.5">
      <c r="A87" s="2853">
        <v>15</v>
      </c>
      <c r="B87" s="3574"/>
      <c r="C87" s="2827" t="s">
        <v>2677</v>
      </c>
      <c r="D87" s="2827" t="s">
        <v>2678</v>
      </c>
      <c r="E87" s="2853">
        <v>0.1</v>
      </c>
      <c r="F87" s="2853">
        <v>15</v>
      </c>
    </row>
    <row r="88" spans="1:6" ht="24">
      <c r="A88" s="2853">
        <v>16</v>
      </c>
      <c r="B88" s="3574"/>
      <c r="C88" s="2827" t="s">
        <v>2679</v>
      </c>
      <c r="D88" s="2827" t="s">
        <v>2680</v>
      </c>
      <c r="E88" s="2853">
        <v>0.1</v>
      </c>
      <c r="F88" s="2853">
        <v>15</v>
      </c>
    </row>
    <row r="89" spans="1:6" ht="24">
      <c r="A89" s="2853">
        <v>17</v>
      </c>
      <c r="B89" s="3573"/>
      <c r="C89" s="2827" t="s">
        <v>2681</v>
      </c>
      <c r="D89" s="2827" t="s">
        <v>2682</v>
      </c>
      <c r="E89" s="2853">
        <v>0.1</v>
      </c>
      <c r="F89" s="2853">
        <v>15</v>
      </c>
    </row>
    <row r="90" spans="1:6" ht="13.5">
      <c r="A90" s="2853">
        <v>18</v>
      </c>
      <c r="B90" s="3572" t="s">
        <v>2683</v>
      </c>
      <c r="C90" s="2827" t="s">
        <v>2684</v>
      </c>
      <c r="D90" s="2827" t="s">
        <v>2685</v>
      </c>
      <c r="E90" s="2853">
        <v>0.2</v>
      </c>
      <c r="F90" s="2853">
        <v>25</v>
      </c>
    </row>
    <row r="91" spans="1:6" ht="24">
      <c r="A91" s="2853">
        <v>19</v>
      </c>
      <c r="B91" s="3574"/>
      <c r="C91" s="2827" t="s">
        <v>2686</v>
      </c>
      <c r="D91" s="2827" t="s">
        <v>2687</v>
      </c>
      <c r="E91" s="2853">
        <v>0.2</v>
      </c>
      <c r="F91" s="2853">
        <v>25</v>
      </c>
    </row>
    <row r="92" spans="1:6" ht="13.5">
      <c r="A92" s="2853">
        <v>20</v>
      </c>
      <c r="B92" s="3574"/>
      <c r="C92" s="2827" t="s">
        <v>2688</v>
      </c>
      <c r="D92" s="2827" t="s">
        <v>2689</v>
      </c>
      <c r="E92" s="2853">
        <v>0.15</v>
      </c>
      <c r="F92" s="2853">
        <v>20</v>
      </c>
    </row>
    <row r="93" spans="1:6" ht="13.5">
      <c r="A93" s="2853">
        <v>21</v>
      </c>
      <c r="B93" s="3574"/>
      <c r="C93" s="2827" t="s">
        <v>2690</v>
      </c>
      <c r="D93" s="2827" t="s">
        <v>2691</v>
      </c>
      <c r="E93" s="2853">
        <v>0.15</v>
      </c>
      <c r="F93" s="2853">
        <v>20</v>
      </c>
    </row>
    <row r="94" spans="1:6" ht="13.5">
      <c r="A94" s="2853">
        <v>22</v>
      </c>
      <c r="B94" s="3574"/>
      <c r="C94" s="2827" t="s">
        <v>2692</v>
      </c>
      <c r="D94" s="2827" t="s">
        <v>2693</v>
      </c>
      <c r="E94" s="2853">
        <v>0.15</v>
      </c>
      <c r="F94" s="2853">
        <v>20</v>
      </c>
    </row>
    <row r="95" spans="1:6" ht="36">
      <c r="A95" s="2853">
        <v>23</v>
      </c>
      <c r="B95" s="3574"/>
      <c r="C95" s="2827" t="s">
        <v>2694</v>
      </c>
      <c r="D95" s="2827" t="s">
        <v>2695</v>
      </c>
      <c r="E95" s="2853">
        <v>0.15</v>
      </c>
      <c r="F95" s="2853">
        <v>20</v>
      </c>
    </row>
    <row r="96" spans="1:6" ht="13.5">
      <c r="A96" s="2853">
        <v>24</v>
      </c>
      <c r="B96" s="3574"/>
      <c r="C96" s="2827" t="s">
        <v>2696</v>
      </c>
      <c r="D96" s="2827" t="s">
        <v>2697</v>
      </c>
      <c r="E96" s="2853">
        <v>0.1</v>
      </c>
      <c r="F96" s="2853">
        <v>15</v>
      </c>
    </row>
    <row r="97" spans="1:6" ht="13.5">
      <c r="A97" s="2853">
        <v>25</v>
      </c>
      <c r="B97" s="3574"/>
      <c r="C97" s="2827" t="s">
        <v>2698</v>
      </c>
      <c r="D97" s="2827" t="s">
        <v>2699</v>
      </c>
      <c r="E97" s="2853">
        <v>0.1</v>
      </c>
      <c r="F97" s="2853">
        <v>15</v>
      </c>
    </row>
    <row r="98" spans="1:6" ht="24">
      <c r="A98" s="2853">
        <v>26</v>
      </c>
      <c r="B98" s="3574"/>
      <c r="C98" s="2827" t="s">
        <v>2700</v>
      </c>
      <c r="D98" s="2827" t="s">
        <v>2701</v>
      </c>
      <c r="E98" s="2853">
        <v>0.1</v>
      </c>
      <c r="F98" s="2853">
        <v>15</v>
      </c>
    </row>
    <row r="99" spans="1:6" ht="24">
      <c r="A99" s="2853">
        <v>27</v>
      </c>
      <c r="B99" s="3574"/>
      <c r="C99" s="2827" t="s">
        <v>2702</v>
      </c>
      <c r="D99" s="2827" t="s">
        <v>2703</v>
      </c>
      <c r="E99" s="2853">
        <v>0.1</v>
      </c>
      <c r="F99" s="2853">
        <v>15</v>
      </c>
    </row>
    <row r="100" spans="1:6" ht="13.5">
      <c r="A100" s="2853">
        <v>28</v>
      </c>
      <c r="B100" s="3574"/>
      <c r="C100" s="2827" t="s">
        <v>2704</v>
      </c>
      <c r="D100" s="2827" t="s">
        <v>2705</v>
      </c>
      <c r="E100" s="2853">
        <v>0.1</v>
      </c>
      <c r="F100" s="2853">
        <v>15</v>
      </c>
    </row>
    <row r="101" spans="1:6" ht="13.5">
      <c r="A101" s="2853">
        <v>29</v>
      </c>
      <c r="B101" s="3574"/>
      <c r="C101" s="2827" t="s">
        <v>2706</v>
      </c>
      <c r="D101" s="2827" t="s">
        <v>2707</v>
      </c>
      <c r="E101" s="2853">
        <v>0.1</v>
      </c>
      <c r="F101" s="2853">
        <v>15</v>
      </c>
    </row>
    <row r="102" spans="1:6" ht="13.5">
      <c r="A102" s="2853">
        <v>30</v>
      </c>
      <c r="B102" s="3574"/>
      <c r="C102" s="2827" t="s">
        <v>2708</v>
      </c>
      <c r="D102" s="2827" t="s">
        <v>2709</v>
      </c>
      <c r="E102" s="2853">
        <v>0.1</v>
      </c>
      <c r="F102" s="2853">
        <v>15</v>
      </c>
    </row>
    <row r="103" spans="1:6" ht="24">
      <c r="A103" s="2853">
        <v>31</v>
      </c>
      <c r="B103" s="3574"/>
      <c r="C103" s="2827" t="s">
        <v>2710</v>
      </c>
      <c r="D103" s="2827" t="s">
        <v>2711</v>
      </c>
      <c r="E103" s="2853">
        <v>0.1</v>
      </c>
      <c r="F103" s="2853">
        <v>15</v>
      </c>
    </row>
    <row r="104" spans="1:6" ht="24">
      <c r="A104" s="2853">
        <v>32</v>
      </c>
      <c r="B104" s="3574"/>
      <c r="C104" s="2827" t="s">
        <v>2712</v>
      </c>
      <c r="D104" s="2827" t="s">
        <v>2713</v>
      </c>
      <c r="E104" s="2853">
        <v>0.1</v>
      </c>
      <c r="F104" s="2853">
        <v>15</v>
      </c>
    </row>
    <row r="105" spans="1:6" ht="24">
      <c r="A105" s="2853">
        <v>33</v>
      </c>
      <c r="B105" s="3574"/>
      <c r="C105" s="2827" t="s">
        <v>2714</v>
      </c>
      <c r="D105" s="2827" t="s">
        <v>2715</v>
      </c>
      <c r="E105" s="2853">
        <v>0.1</v>
      </c>
      <c r="F105" s="2853">
        <v>15</v>
      </c>
    </row>
    <row r="106" spans="1:6" ht="24">
      <c r="A106" s="2853">
        <v>34</v>
      </c>
      <c r="B106" s="3573"/>
      <c r="C106" s="2827" t="s">
        <v>2716</v>
      </c>
      <c r="D106" s="2827" t="s">
        <v>2717</v>
      </c>
      <c r="E106" s="2853">
        <v>0.1</v>
      </c>
      <c r="F106" s="2853">
        <v>15</v>
      </c>
    </row>
    <row r="107" spans="1:6" ht="24">
      <c r="A107" s="2853">
        <v>35</v>
      </c>
      <c r="B107" s="3572" t="s">
        <v>2718</v>
      </c>
      <c r="C107" s="2853" t="s">
        <v>2719</v>
      </c>
      <c r="D107" s="2827" t="s">
        <v>2720</v>
      </c>
      <c r="E107" s="2853">
        <v>0.15</v>
      </c>
      <c r="F107" s="2853">
        <v>20</v>
      </c>
    </row>
    <row r="108" spans="1:6" ht="13.5">
      <c r="A108" s="2853">
        <v>36</v>
      </c>
      <c r="B108" s="3574"/>
      <c r="C108" s="2853" t="s">
        <v>2721</v>
      </c>
      <c r="D108" s="2827" t="s">
        <v>2722</v>
      </c>
      <c r="E108" s="2853">
        <v>0.15</v>
      </c>
      <c r="F108" s="2853">
        <v>20</v>
      </c>
    </row>
    <row r="109" spans="1:6" ht="13.5">
      <c r="A109" s="2853">
        <v>37</v>
      </c>
      <c r="B109" s="3574"/>
      <c r="C109" s="2853" t="s">
        <v>2723</v>
      </c>
      <c r="D109" s="2827" t="s">
        <v>2724</v>
      </c>
      <c r="E109" s="2853">
        <v>0.15</v>
      </c>
      <c r="F109" s="2853">
        <v>20</v>
      </c>
    </row>
    <row r="110" spans="1:6" ht="13.5">
      <c r="A110" s="2853">
        <v>38</v>
      </c>
      <c r="B110" s="3574"/>
      <c r="C110" s="2853" t="s">
        <v>2725</v>
      </c>
      <c r="D110" s="2827" t="s">
        <v>2726</v>
      </c>
      <c r="E110" s="2853">
        <v>0.1</v>
      </c>
      <c r="F110" s="2853">
        <v>15</v>
      </c>
    </row>
    <row r="111" spans="1:6" ht="24">
      <c r="A111" s="2853">
        <v>39</v>
      </c>
      <c r="B111" s="3574"/>
      <c r="C111" s="2853" t="s">
        <v>2727</v>
      </c>
      <c r="D111" s="2827" t="s">
        <v>2728</v>
      </c>
      <c r="E111" s="2853">
        <v>0.1</v>
      </c>
      <c r="F111" s="2853">
        <v>15</v>
      </c>
    </row>
    <row r="112" spans="1:6" ht="24">
      <c r="A112" s="2853">
        <v>40</v>
      </c>
      <c r="B112" s="3573"/>
      <c r="C112" s="2853" t="s">
        <v>2729</v>
      </c>
      <c r="D112" s="2827" t="s">
        <v>2730</v>
      </c>
      <c r="E112" s="2853">
        <v>0.1</v>
      </c>
      <c r="F112" s="2853">
        <v>15</v>
      </c>
    </row>
    <row r="113" spans="1:6" ht="13.5">
      <c r="A113" s="2853">
        <v>41</v>
      </c>
      <c r="B113" s="3571" t="s">
        <v>2731</v>
      </c>
      <c r="C113" s="2853" t="s">
        <v>2732</v>
      </c>
      <c r="D113" s="2827" t="s">
        <v>2733</v>
      </c>
      <c r="E113" s="2853">
        <v>0.1</v>
      </c>
      <c r="F113" s="2853">
        <v>15</v>
      </c>
    </row>
    <row r="114" spans="1:6" ht="13.5">
      <c r="A114" s="2853">
        <v>42</v>
      </c>
      <c r="B114" s="3571"/>
      <c r="C114" s="2853" t="s">
        <v>2734</v>
      </c>
      <c r="D114" s="2827" t="s">
        <v>2735</v>
      </c>
      <c r="E114" s="2853">
        <v>0.1</v>
      </c>
      <c r="F114" s="2853">
        <v>15</v>
      </c>
    </row>
    <row r="115" spans="1:6" ht="24">
      <c r="A115" s="2853">
        <v>43</v>
      </c>
      <c r="B115" s="3571"/>
      <c r="C115" s="2853" t="s">
        <v>2736</v>
      </c>
      <c r="D115" s="2827" t="s">
        <v>2737</v>
      </c>
      <c r="E115" s="2853">
        <v>0.1</v>
      </c>
      <c r="F115" s="2853">
        <v>15</v>
      </c>
    </row>
    <row r="116" spans="1:6" ht="13.5">
      <c r="A116" s="2853">
        <v>44</v>
      </c>
      <c r="B116" s="3572" t="s">
        <v>2738</v>
      </c>
      <c r="C116" s="2853" t="s">
        <v>2739</v>
      </c>
      <c r="D116" s="2827" t="s">
        <v>2740</v>
      </c>
      <c r="E116" s="2853">
        <v>0.1</v>
      </c>
      <c r="F116" s="2853">
        <v>15</v>
      </c>
    </row>
    <row r="117" spans="1:6" ht="24">
      <c r="A117" s="2853">
        <v>45</v>
      </c>
      <c r="B117" s="3573"/>
      <c r="C117" s="2827" t="s">
        <v>2741</v>
      </c>
      <c r="D117" s="2827" t="s">
        <v>2742</v>
      </c>
      <c r="E117" s="2853">
        <v>0.1</v>
      </c>
      <c r="F117" s="2853">
        <v>15</v>
      </c>
    </row>
    <row r="118" spans="1:6" ht="24">
      <c r="A118" s="2853">
        <v>46</v>
      </c>
      <c r="B118" s="3572" t="s">
        <v>2743</v>
      </c>
      <c r="C118" s="2853" t="s">
        <v>2744</v>
      </c>
      <c r="D118" s="2827" t="s">
        <v>2745</v>
      </c>
      <c r="E118" s="2853">
        <v>0.1</v>
      </c>
      <c r="F118" s="2853">
        <v>15</v>
      </c>
    </row>
    <row r="119" spans="1:6" ht="24">
      <c r="A119" s="2853">
        <v>47</v>
      </c>
      <c r="B119" s="3573"/>
      <c r="C119" s="2853" t="s">
        <v>2746</v>
      </c>
      <c r="D119" s="2827" t="s">
        <v>2747</v>
      </c>
      <c r="E119" s="2853">
        <v>0.1</v>
      </c>
      <c r="F119" s="2853">
        <v>15</v>
      </c>
    </row>
    <row r="120" spans="1:6" ht="13.5">
      <c r="A120" s="2853">
        <v>48</v>
      </c>
      <c r="B120" s="3572" t="s">
        <v>2748</v>
      </c>
      <c r="C120" s="2853" t="s">
        <v>2749</v>
      </c>
      <c r="D120" s="2827" t="s">
        <v>2750</v>
      </c>
      <c r="E120" s="2853">
        <v>0.1</v>
      </c>
      <c r="F120" s="2853">
        <v>15</v>
      </c>
    </row>
    <row r="121" spans="1:6" ht="13.5">
      <c r="A121" s="2853">
        <v>49</v>
      </c>
      <c r="B121" s="3573"/>
      <c r="C121" s="2853" t="s">
        <v>2751</v>
      </c>
      <c r="D121" s="2827" t="s">
        <v>2752</v>
      </c>
      <c r="E121" s="2853">
        <v>0.1</v>
      </c>
      <c r="F121" s="2853">
        <v>15</v>
      </c>
    </row>
    <row r="122" spans="1:6" ht="24">
      <c r="A122" s="2853">
        <v>50</v>
      </c>
      <c r="B122" s="3571" t="s">
        <v>2753</v>
      </c>
      <c r="C122" s="2853" t="s">
        <v>2754</v>
      </c>
      <c r="D122" s="2827" t="s">
        <v>2755</v>
      </c>
      <c r="E122" s="2853">
        <v>0.1</v>
      </c>
      <c r="F122" s="2853">
        <v>15</v>
      </c>
    </row>
    <row r="123" spans="1:6" ht="24">
      <c r="A123" s="2853">
        <v>51</v>
      </c>
      <c r="B123" s="3571"/>
      <c r="C123" s="2853" t="s">
        <v>2756</v>
      </c>
      <c r="D123" s="2827" t="s">
        <v>2757</v>
      </c>
      <c r="E123" s="2853">
        <v>0.1</v>
      </c>
      <c r="F123" s="2853">
        <v>15</v>
      </c>
    </row>
    <row r="124" spans="1:6" ht="24">
      <c r="A124" s="2853">
        <v>52</v>
      </c>
      <c r="B124" s="3571" t="s">
        <v>2758</v>
      </c>
      <c r="C124" s="2853" t="s">
        <v>2759</v>
      </c>
      <c r="D124" s="2827" t="s">
        <v>2760</v>
      </c>
      <c r="E124" s="2853">
        <v>0.1</v>
      </c>
      <c r="F124" s="2853">
        <v>15</v>
      </c>
    </row>
    <row r="125" spans="1:6" ht="24">
      <c r="A125" s="2853">
        <v>53</v>
      </c>
      <c r="B125" s="3571"/>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71" t="s">
        <v>2766</v>
      </c>
      <c r="C127" s="2853" t="s">
        <v>2767</v>
      </c>
      <c r="D127" s="2827" t="s">
        <v>2768</v>
      </c>
      <c r="E127" s="2853">
        <v>0.1</v>
      </c>
      <c r="F127" s="2853">
        <v>15</v>
      </c>
    </row>
    <row r="128" spans="1:6" ht="13.5">
      <c r="A128" s="2853">
        <v>56</v>
      </c>
      <c r="B128" s="3571"/>
      <c r="C128" s="2853" t="s">
        <v>2769</v>
      </c>
      <c r="D128" s="2827" t="s">
        <v>2770</v>
      </c>
      <c r="E128" s="2853">
        <v>0.1</v>
      </c>
      <c r="F128" s="2853">
        <v>15</v>
      </c>
    </row>
    <row r="129" spans="1:6" ht="24">
      <c r="A129" s="2853">
        <v>57</v>
      </c>
      <c r="B129" s="3571"/>
      <c r="C129" s="2853" t="s">
        <v>2771</v>
      </c>
      <c r="D129" s="2827" t="s">
        <v>2772</v>
      </c>
      <c r="E129" s="2853">
        <v>0.1</v>
      </c>
      <c r="F129" s="2853">
        <v>15</v>
      </c>
    </row>
    <row r="130" spans="1:6" ht="24">
      <c r="A130" s="2853">
        <v>58</v>
      </c>
      <c r="B130" s="3571" t="s">
        <v>2773</v>
      </c>
      <c r="C130" s="2853" t="s">
        <v>2774</v>
      </c>
      <c r="D130" s="2827" t="s">
        <v>2775</v>
      </c>
      <c r="E130" s="2853">
        <v>0.1</v>
      </c>
      <c r="F130" s="2853">
        <v>15</v>
      </c>
    </row>
    <row r="131" spans="1:6" ht="13.5">
      <c r="A131" s="2853">
        <v>59</v>
      </c>
      <c r="B131" s="3571"/>
      <c r="C131" s="2853" t="s">
        <v>2776</v>
      </c>
      <c r="D131" s="2827" t="s">
        <v>2777</v>
      </c>
      <c r="E131" s="2853">
        <v>0.1</v>
      </c>
      <c r="F131" s="2853">
        <v>15</v>
      </c>
    </row>
    <row r="132" spans="1:6" ht="13.5">
      <c r="A132" s="2853">
        <v>60</v>
      </c>
      <c r="B132" s="3572" t="s">
        <v>2778</v>
      </c>
      <c r="C132" s="2853" t="s">
        <v>2779</v>
      </c>
      <c r="D132" s="2827" t="s">
        <v>2780</v>
      </c>
      <c r="E132" s="2853">
        <v>0.1</v>
      </c>
      <c r="F132" s="2853">
        <v>15</v>
      </c>
    </row>
    <row r="133" spans="1:6" ht="13.5">
      <c r="A133" s="2853">
        <v>61</v>
      </c>
      <c r="B133" s="3573"/>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71" t="s">
        <v>2786</v>
      </c>
      <c r="C135" s="2853" t="s">
        <v>2787</v>
      </c>
      <c r="D135" s="2827" t="s">
        <v>2788</v>
      </c>
      <c r="E135" s="2853">
        <v>0.1</v>
      </c>
      <c r="F135" s="2853">
        <v>15</v>
      </c>
    </row>
    <row r="136" spans="1:6" ht="13.5">
      <c r="A136" s="2853">
        <v>64</v>
      </c>
      <c r="B136" s="3571"/>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3"/>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0</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3"/>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3"/>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0</v>
      </c>
      <c r="D7" s="212"/>
      <c r="E7" s="210"/>
      <c r="F7" s="213">
        <f>'数据-取费表'!B48+'数据-取费表'!B49</f>
        <v>0</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0</v>
      </c>
      <c r="F9" s="213"/>
      <c r="G9" s="218"/>
    </row>
    <row r="10" spans="1:7" s="206" customFormat="1" ht="13.5" customHeight="1">
      <c r="A10" s="729" t="s">
        <v>356</v>
      </c>
      <c r="B10" s="216" t="s">
        <v>67</v>
      </c>
      <c r="C10" s="217">
        <f>ROUND(D10*E10/10000,0)</f>
        <v>0</v>
      </c>
      <c r="D10" s="791">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27" t="s">
        <v>419</v>
      </c>
      <c r="B20" s="202" t="s">
        <v>77</v>
      </c>
      <c r="C20" s="224">
        <f>ROUND((C5+C19)*F20,0)</f>
        <v>0</v>
      </c>
      <c r="D20" s="224"/>
      <c r="E20" s="224"/>
      <c r="F20" s="225">
        <f>'数据-取费表'!B37</f>
        <v>0</v>
      </c>
      <c r="G20" s="1001" t="s">
        <v>430</v>
      </c>
    </row>
    <row r="21" spans="1:7" s="206" customFormat="1" ht="13.5" customHeight="1">
      <c r="A21" s="727" t="s">
        <v>421</v>
      </c>
      <c r="B21" s="202" t="s">
        <v>78</v>
      </c>
      <c r="C21" s="227">
        <f>F21</f>
        <v>0</v>
      </c>
      <c r="D21" s="228" t="s">
        <v>99</v>
      </c>
      <c r="E21" s="224"/>
      <c r="F21" s="225">
        <f>'数据-取费表'!B38</f>
        <v>0</v>
      </c>
      <c r="G21" s="226" t="s">
        <v>79</v>
      </c>
    </row>
    <row r="22" spans="1:7" s="206" customFormat="1" ht="13.5" customHeight="1">
      <c r="A22" s="727" t="s">
        <v>341</v>
      </c>
      <c r="B22" s="202" t="s">
        <v>80</v>
      </c>
      <c r="C22" s="1038" t="e">
        <f ca="1">ROUND(SUM(C23:C25),0)</f>
        <v>#VALUE!</v>
      </c>
      <c r="D22" s="227" t="e">
        <f ca="1">C26</f>
        <v>#VALUE!</v>
      </c>
      <c r="E22" s="228" t="s">
        <v>99</v>
      </c>
      <c r="F22" s="229" t="e">
        <f ca="1">'数据-取费表'!B40</f>
        <v>#VALUE!</v>
      </c>
      <c r="G22" s="1001" t="str">
        <f>IF('数据-取费表'!B22&lt;=1,"单利计息","复利计息")</f>
        <v>单利计息</v>
      </c>
    </row>
    <row r="23" spans="1:7" s="206" customFormat="1" ht="13.5" customHeight="1">
      <c r="A23" s="730" t="s">
        <v>349</v>
      </c>
      <c r="B23" s="207" t="s">
        <v>423</v>
      </c>
      <c r="C23" s="1039" t="e">
        <f ca="1">ROUND(IF('数据-取费表'!B22&lt;=1,C5*F22*'数据-取费表'!B23,C5*(POWER((1+F22),'数据-取费表'!B23)-1)),0)</f>
        <v>#VALUE!</v>
      </c>
      <c r="D23" s="230"/>
      <c r="E23" s="230"/>
      <c r="F23" s="231"/>
      <c r="G23" s="232" t="s">
        <v>81</v>
      </c>
    </row>
    <row r="24" spans="1:7" s="206" customFormat="1" ht="13.5" customHeight="1">
      <c r="A24" s="730" t="s">
        <v>347</v>
      </c>
      <c r="B24" s="207" t="s">
        <v>418</v>
      </c>
      <c r="C24" s="1039" t="e">
        <f ca="1">ROUND(IF('数据-取费表'!B22&lt;=1,C19*F22*('数据-取费表'!B19/2+'数据-取费表'!B21),C19*(POWER((1+F22),('数据-取费表'!B19/2+'数据-取费表'!B21))-1)),0)</f>
        <v>#VALUE!</v>
      </c>
      <c r="D24" s="230"/>
      <c r="E24" s="230"/>
      <c r="F24" s="231"/>
      <c r="G24" s="232" t="s">
        <v>82</v>
      </c>
    </row>
    <row r="25" spans="1:7" s="206" customFormat="1" ht="24">
      <c r="A25" s="730" t="s">
        <v>348</v>
      </c>
      <c r="B25" s="207" t="s">
        <v>420</v>
      </c>
      <c r="C25" s="1039" t="e">
        <f ca="1">ROUND(IF('数据-取费表'!B22&lt;=1,C20*F22*'数据-取费表'!B23/2,C20*(POWER((1+F22),'数据-取费表'!B23/2)-1)),0)</f>
        <v>#VALUE!</v>
      </c>
      <c r="D25" s="230"/>
      <c r="E25" s="233"/>
      <c r="F25" s="231"/>
      <c r="G25" s="234" t="s">
        <v>83</v>
      </c>
    </row>
    <row r="26" spans="1:7" s="206" customFormat="1">
      <c r="A26" s="730" t="s">
        <v>350</v>
      </c>
      <c r="B26" s="207" t="s">
        <v>422</v>
      </c>
      <c r="C26" s="230" t="e">
        <f ca="1">ROUND(IF('数据-取费表'!B22&lt;=1,F21*F22*'数据-取费表'!B23/2,F21*(POWER((1+F22),'数据-取费表'!B23/2)-1)),4)</f>
        <v>#VALUE!</v>
      </c>
      <c r="D26" s="230"/>
      <c r="E26" s="233"/>
      <c r="F26" s="231"/>
      <c r="G26" s="235"/>
    </row>
    <row r="27" spans="1:7" s="206" customFormat="1" ht="24.75">
      <c r="A27" s="727" t="s">
        <v>342</v>
      </c>
      <c r="B27" s="236" t="s">
        <v>85</v>
      </c>
      <c r="C27" s="237" t="e">
        <f>C28</f>
        <v>#DIV/0!</v>
      </c>
      <c r="D27" s="227" t="e">
        <f>C29</f>
        <v>#DIV/0!</v>
      </c>
      <c r="E27" s="228" t="s">
        <v>99</v>
      </c>
      <c r="F27" s="238" t="e">
        <f>'数据-取费表'!Q16</f>
        <v>#DIV/0!</v>
      </c>
      <c r="G27" s="239" t="s">
        <v>431</v>
      </c>
    </row>
    <row r="28" spans="1:7" s="206" customFormat="1" ht="13.5" customHeight="1">
      <c r="A28" s="730" t="s">
        <v>349</v>
      </c>
      <c r="B28" s="240" t="s">
        <v>424</v>
      </c>
      <c r="C28" s="241" t="e">
        <f>ROUND((C5+C19+C20)*F27*'数据-取费表'!B21/'数据-取费表'!B20,0)</f>
        <v>#DIV/0!</v>
      </c>
      <c r="D28" s="227"/>
      <c r="E28" s="228"/>
      <c r="F28" s="238"/>
      <c r="G28" s="239"/>
    </row>
    <row r="29" spans="1:7" s="206" customFormat="1" ht="13.5" customHeight="1">
      <c r="A29" s="730" t="s">
        <v>347</v>
      </c>
      <c r="B29" s="240" t="s">
        <v>425</v>
      </c>
      <c r="C29" s="230" t="e">
        <f>ROUND(C21*F27*'数据-取费表'!B21/'数据-取费表'!B20,4)</f>
        <v>#DIV/0!</v>
      </c>
      <c r="D29" s="227"/>
      <c r="E29" s="228"/>
      <c r="F29" s="238"/>
      <c r="G29" s="239"/>
    </row>
    <row r="30" spans="1:7" s="206" customFormat="1" ht="13.5" customHeight="1">
      <c r="A30" s="727"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0" t="s">
        <v>351</v>
      </c>
      <c r="B35" s="207" t="s">
        <v>33</v>
      </c>
      <c r="C35" s="212">
        <f>ROUND(C34*F35,0)</f>
        <v>0</v>
      </c>
      <c r="D35" s="212"/>
      <c r="E35" s="212"/>
      <c r="F35" s="251">
        <f>'数据-取费表'!B33</f>
        <v>0</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0</v>
      </c>
      <c r="D37" s="209">
        <f>'数据-汇总表'!E3</f>
        <v>0</v>
      </c>
      <c r="E37" s="241">
        <f>'数据-取费表'!B35</f>
        <v>0</v>
      </c>
      <c r="F37" s="251"/>
      <c r="G37" s="253" t="s">
        <v>92</v>
      </c>
    </row>
    <row r="38" spans="1:7" ht="13.5" customHeight="1">
      <c r="A38" s="730" t="s">
        <v>354</v>
      </c>
      <c r="B38" s="207" t="s">
        <v>36</v>
      </c>
      <c r="C38" s="212">
        <f>ROUND(C34*F38,0)</f>
        <v>0</v>
      </c>
      <c r="D38" s="212"/>
      <c r="E38" s="212"/>
      <c r="F38" s="251">
        <f>'数据-取费表'!B36</f>
        <v>0</v>
      </c>
      <c r="G38" s="211" t="s">
        <v>90</v>
      </c>
    </row>
    <row r="39" spans="1:7" s="206" customFormat="1" ht="13.5" customHeight="1">
      <c r="A39" s="727" t="s">
        <v>338</v>
      </c>
      <c r="B39" s="202" t="s">
        <v>77</v>
      </c>
      <c r="C39" s="224">
        <f>ROUND(C33*F20,0)</f>
        <v>0</v>
      </c>
      <c r="D39" s="224"/>
      <c r="E39" s="224"/>
      <c r="F39" s="225"/>
      <c r="G39" s="1001" t="s">
        <v>433</v>
      </c>
    </row>
    <row r="40" spans="1:7" s="206" customFormat="1" ht="13.5" customHeight="1">
      <c r="A40" s="727" t="s">
        <v>339</v>
      </c>
      <c r="B40" s="202" t="s">
        <v>78</v>
      </c>
      <c r="C40" s="254">
        <f>F21</f>
        <v>0</v>
      </c>
      <c r="D40" s="228" t="s">
        <v>102</v>
      </c>
      <c r="E40" s="224"/>
      <c r="F40" s="225"/>
      <c r="G40" s="226" t="s">
        <v>93</v>
      </c>
    </row>
    <row r="41" spans="1:7" s="206" customFormat="1" ht="13.5" customHeight="1">
      <c r="A41" s="727" t="s">
        <v>340</v>
      </c>
      <c r="B41" s="202" t="s">
        <v>80</v>
      </c>
      <c r="C41" s="224" t="e">
        <f ca="1">ROUND(SUM(C42:C43),0)</f>
        <v>#VALUE!</v>
      </c>
      <c r="D41" s="227" t="e">
        <f ca="1">C44</f>
        <v>#VALUE!</v>
      </c>
      <c r="E41" s="228" t="s">
        <v>102</v>
      </c>
      <c r="F41" s="229"/>
      <c r="G41" s="1001" t="str">
        <f>IF('数据-取费表'!B22&lt;=1,"单利计息","复利计息")</f>
        <v>单利计息</v>
      </c>
    </row>
    <row r="42" spans="1:7" ht="13.5" customHeight="1">
      <c r="A42" s="730" t="s">
        <v>349</v>
      </c>
      <c r="B42" s="207" t="s">
        <v>423</v>
      </c>
      <c r="C42" s="230" t="e">
        <f ca="1">ROUND(IF('数据-取费表'!B22&lt;=1,C33*F22*'数据-取费表'!B21/2,C33*(POWER((1+F22),'数据-取费表'!B21/2)-1)),0)</f>
        <v>#VALUE!</v>
      </c>
      <c r="D42" s="230"/>
      <c r="E42" s="230"/>
      <c r="F42" s="231"/>
      <c r="G42" s="3446" t="s">
        <v>94</v>
      </c>
    </row>
    <row r="43" spans="1:7" ht="13.5" customHeight="1">
      <c r="A43" s="730" t="s">
        <v>347</v>
      </c>
      <c r="B43" s="207" t="s">
        <v>426</v>
      </c>
      <c r="C43" s="230" t="e">
        <f ca="1">ROUND(IF('数据-取费表'!B22&lt;=1,C39*F22*'数据-取费表'!B21/2,C39*(POWER((1+F22),'数据-取费表'!B21/2)-1)),0)</f>
        <v>#VALUE!</v>
      </c>
      <c r="D43" s="230"/>
      <c r="E43" s="230"/>
      <c r="F43" s="231"/>
      <c r="G43" s="3447"/>
    </row>
    <row r="44" spans="1:7" ht="13.5" customHeight="1">
      <c r="A44" s="730" t="s">
        <v>348</v>
      </c>
      <c r="B44" s="207" t="s">
        <v>428</v>
      </c>
      <c r="C44" s="230" t="e">
        <f ca="1">ROUND(IF('数据-取费表'!B22&lt;=1,C40*F22*'数据-取费表'!B21/2,C40*(POWER((1+F22),'数据-取费表'!B21/2)-1)),4)</f>
        <v>#VALUE!</v>
      </c>
      <c r="D44" s="230"/>
      <c r="E44" s="230"/>
      <c r="F44" s="231"/>
      <c r="G44" s="3448"/>
    </row>
    <row r="45" spans="1:7" s="206" customFormat="1" ht="13.5" customHeight="1">
      <c r="A45" s="727" t="s">
        <v>341</v>
      </c>
      <c r="B45" s="236" t="s">
        <v>85</v>
      </c>
      <c r="C45" s="237" t="e">
        <f>C46</f>
        <v>#DIV/0!</v>
      </c>
      <c r="D45" s="227" t="e">
        <f>C47</f>
        <v>#DIV/0!</v>
      </c>
      <c r="E45" s="228" t="s">
        <v>102</v>
      </c>
      <c r="F45" s="238"/>
      <c r="G45" s="239" t="s">
        <v>434</v>
      </c>
    </row>
    <row r="46" spans="1:7" s="206" customFormat="1" ht="13.5" customHeight="1">
      <c r="A46" s="730" t="s">
        <v>349</v>
      </c>
      <c r="B46" s="240" t="s">
        <v>427</v>
      </c>
      <c r="C46" s="241" t="e">
        <f>ROUND((C33+C39)*F27,0)</f>
        <v>#DIV/0!</v>
      </c>
      <c r="D46" s="255"/>
      <c r="E46" s="228"/>
      <c r="F46" s="238"/>
      <c r="G46" s="239"/>
    </row>
    <row r="47" spans="1:7" s="206" customFormat="1" ht="13.5" customHeight="1">
      <c r="A47" s="730" t="s">
        <v>347</v>
      </c>
      <c r="B47" s="240" t="s">
        <v>429</v>
      </c>
      <c r="C47" s="230" t="e">
        <f>ROUND(C40*F27,4)</f>
        <v>#DIV/0!</v>
      </c>
      <c r="D47" s="255"/>
      <c r="E47" s="228"/>
      <c r="F47" s="238"/>
      <c r="G47" s="239"/>
    </row>
    <row r="48" spans="1:7" s="206" customFormat="1" ht="13.5" customHeight="1">
      <c r="A48" s="727" t="s">
        <v>342</v>
      </c>
      <c r="B48" s="202" t="s">
        <v>95</v>
      </c>
      <c r="C48" s="254">
        <f>F30</f>
        <v>0</v>
      </c>
      <c r="D48" s="228" t="s">
        <v>103</v>
      </c>
      <c r="E48" s="224"/>
      <c r="F48" s="229"/>
      <c r="G48" s="226" t="s">
        <v>96</v>
      </c>
    </row>
    <row r="49" spans="1:7" ht="16.5" customHeight="1">
      <c r="A49" s="727" t="s">
        <v>343</v>
      </c>
      <c r="B49" s="202" t="s">
        <v>104</v>
      </c>
      <c r="C49" s="224" t="e">
        <f ca="1">ROUND((C33+C39+C41+C45)/(1-C40-D41-D45-C48/(1+'数据-取费表'!B42)),0)</f>
        <v>#VALUE!</v>
      </c>
      <c r="D49" s="224"/>
      <c r="E49" s="224"/>
      <c r="F49" s="256"/>
      <c r="G49" s="226" t="s">
        <v>435</v>
      </c>
    </row>
    <row r="50" spans="1:7" s="250" customFormat="1" ht="24">
      <c r="A50" s="727" t="s">
        <v>344</v>
      </c>
      <c r="B50" s="202" t="s">
        <v>97</v>
      </c>
      <c r="C50" s="224"/>
      <c r="D50" s="224"/>
      <c r="E50" s="224"/>
      <c r="F50" s="256" t="e">
        <f>IF('数据-取费表'!B24=0,'数据-取费表'!N16,1)</f>
        <v>#DIV/0!</v>
      </c>
      <c r="G50" s="239" t="s">
        <v>98</v>
      </c>
    </row>
    <row r="51" spans="1:7" ht="16.5" customHeight="1">
      <c r="A51" s="727"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0" sqref="N4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5" t="s">
        <v>2838</v>
      </c>
      <c r="B1" s="3585"/>
      <c r="C1" s="3585"/>
      <c r="D1" s="3585"/>
      <c r="E1" s="3585"/>
      <c r="F1" s="3585"/>
      <c r="G1" s="3586"/>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583" t="s">
        <v>2865</v>
      </c>
      <c r="B3" s="2940"/>
      <c r="C3" s="2941" t="s">
        <v>2808</v>
      </c>
      <c r="D3" s="2941" t="s">
        <v>2866</v>
      </c>
      <c r="E3" s="2941" t="s">
        <v>2810</v>
      </c>
      <c r="F3" s="2941" t="s">
        <v>2867</v>
      </c>
      <c r="G3" s="2941" t="s">
        <v>2628</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84"/>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7" t="s">
        <v>3180</v>
      </c>
      <c r="B1" s="3587"/>
    </row>
    <row r="2" spans="1:7" ht="14.25" thickBot="1">
      <c r="A2" s="2964"/>
      <c r="B2" s="2964"/>
    </row>
    <row r="3" spans="1:7" ht="14.25" thickBot="1">
      <c r="A3" s="2964"/>
      <c r="B3" s="2964"/>
      <c r="C3" s="2965" t="s">
        <v>2808</v>
      </c>
      <c r="D3" s="2965" t="s">
        <v>2866</v>
      </c>
      <c r="E3" s="2965" t="s">
        <v>2810</v>
      </c>
      <c r="F3" s="2965" t="s">
        <v>2867</v>
      </c>
      <c r="G3" s="2965" t="s">
        <v>2628</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88" t="s">
        <v>3231</v>
      </c>
      <c r="B1" s="3588"/>
      <c r="C1" s="3588"/>
      <c r="D1" s="3588"/>
      <c r="E1" s="3588"/>
      <c r="F1" s="3589"/>
    </row>
    <row r="2" spans="1:6">
      <c r="A2" s="2998" t="s">
        <v>3232</v>
      </c>
    </row>
    <row r="3" spans="1:6">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2933">
        <f>基准地价修正!G23</f>
        <v>45215</v>
      </c>
      <c r="B1" s="2925" t="s">
        <v>2837</v>
      </c>
      <c r="C1" s="2926"/>
      <c r="D1" s="2926"/>
      <c r="E1" s="2926"/>
      <c r="F1" s="2926"/>
      <c r="G1" s="2926"/>
      <c r="H1" s="2926"/>
      <c r="I1" s="2926"/>
      <c r="J1" s="2892"/>
      <c r="K1" s="2926" t="s">
        <v>454</v>
      </c>
      <c r="L1" s="2926"/>
      <c r="M1" s="2926"/>
      <c r="N1" s="2926"/>
      <c r="O1" s="2926"/>
      <c r="P1" s="2926"/>
      <c r="Q1" s="2892"/>
      <c r="R1" s="3590" t="s">
        <v>456</v>
      </c>
      <c r="S1" s="3591"/>
      <c r="T1" s="3591"/>
      <c r="U1" s="3591"/>
      <c r="V1" s="3591"/>
      <c r="W1" s="3591"/>
      <c r="X1" s="2892"/>
      <c r="Y1" s="3590" t="s">
        <v>457</v>
      </c>
      <c r="Z1" s="3591"/>
      <c r="AA1" s="3591"/>
      <c r="AB1" s="3591"/>
      <c r="AC1" s="3591"/>
      <c r="AD1" s="3591"/>
    </row>
    <row r="2" spans="1:30" s="2007" customFormat="1" ht="14.25" thickBot="1">
      <c r="B2" s="2877"/>
      <c r="C2" s="2878"/>
      <c r="D2" s="2008" t="s">
        <v>2807</v>
      </c>
      <c r="E2" s="2009" t="s">
        <v>2808</v>
      </c>
      <c r="F2" s="2009" t="s">
        <v>2809</v>
      </c>
      <c r="G2" s="2009" t="s">
        <v>2810</v>
      </c>
      <c r="H2" s="2009" t="s">
        <v>2811</v>
      </c>
      <c r="I2" s="2009" t="s">
        <v>2628</v>
      </c>
      <c r="J2" s="2879"/>
      <c r="K2" s="2008" t="s">
        <v>2807</v>
      </c>
      <c r="L2" s="2009" t="s">
        <v>2808</v>
      </c>
      <c r="M2" s="2009" t="s">
        <v>2809</v>
      </c>
      <c r="N2" s="2009" t="s">
        <v>2810</v>
      </c>
      <c r="O2" s="2009" t="s">
        <v>2812</v>
      </c>
      <c r="P2" s="2009" t="s">
        <v>2628</v>
      </c>
      <c r="Q2" s="2879"/>
      <c r="R2" s="2008" t="s">
        <v>2807</v>
      </c>
      <c r="S2" s="2009" t="s">
        <v>2808</v>
      </c>
      <c r="T2" s="2009" t="s">
        <v>2809</v>
      </c>
      <c r="U2" s="2009" t="s">
        <v>2813</v>
      </c>
      <c r="V2" s="2009" t="s">
        <v>2814</v>
      </c>
      <c r="W2" s="2009" t="s">
        <v>2628</v>
      </c>
      <c r="X2" s="2879"/>
      <c r="Y2" s="2008" t="s">
        <v>2807</v>
      </c>
      <c r="Z2" s="2009" t="s">
        <v>2808</v>
      </c>
      <c r="AA2" s="2009" t="s">
        <v>2809</v>
      </c>
      <c r="AB2" s="2009" t="s">
        <v>2815</v>
      </c>
      <c r="AC2" s="2009" t="s">
        <v>2814</v>
      </c>
      <c r="AD2" s="2009" t="s">
        <v>2628</v>
      </c>
    </row>
    <row r="3" spans="1:30" s="2882" customFormat="1" ht="12.75">
      <c r="A3" s="2880" t="s">
        <v>2816</v>
      </c>
      <c r="B3" s="2881"/>
      <c r="D3" s="2882">
        <f>ROUND(AVERAGEIF(D4:D16,"&lt;&gt;0"),2)</f>
        <v>0.83</v>
      </c>
      <c r="E3" s="2882">
        <f t="shared" ref="E3:H3" si="0">ROUND(AVERAGEIF(E4:E16,"&lt;&gt;0"),2)</f>
        <v>0.4</v>
      </c>
      <c r="F3" s="2882">
        <f t="shared" si="0"/>
        <v>0.22</v>
      </c>
      <c r="G3" s="2882">
        <f t="shared" si="0"/>
        <v>0.9</v>
      </c>
      <c r="H3" s="2882">
        <f t="shared" si="0"/>
        <v>0.65</v>
      </c>
      <c r="I3" s="2882">
        <f>F3</f>
        <v>0.22</v>
      </c>
      <c r="J3" s="2883"/>
      <c r="K3" s="2884">
        <f>ROUND(AVERAGEIF(K4:K16,"&lt;&gt;0"),4)</f>
        <v>8.3000000000000001E-3</v>
      </c>
      <c r="L3" s="2885">
        <f t="shared" ref="L3:O3" si="1">ROUND(AVERAGEIF(L4:L16,"&lt;&gt;0"),4)</f>
        <v>4.0000000000000001E-3</v>
      </c>
      <c r="M3" s="2885">
        <f t="shared" si="1"/>
        <v>2.2000000000000001E-3</v>
      </c>
      <c r="N3" s="2885">
        <f t="shared" si="1"/>
        <v>8.9999999999999993E-3</v>
      </c>
      <c r="O3" s="2885">
        <f t="shared" si="1"/>
        <v>6.4999999999999997E-3</v>
      </c>
      <c r="P3" s="2885">
        <f>M3</f>
        <v>2.2000000000000001E-3</v>
      </c>
      <c r="Q3" s="2883"/>
      <c r="R3" s="2886">
        <f>ROUND(SUMPRODUCT(PRODUCT(1+K4:K16)),4)</f>
        <v>1.0860000000000001</v>
      </c>
      <c r="S3" s="2887">
        <f t="shared" ref="S3:V3" si="2">ROUND(SUMPRODUCT(PRODUCT(1+L4:L16)),4)</f>
        <v>1.0410999999999999</v>
      </c>
      <c r="T3" s="2887">
        <f t="shared" si="2"/>
        <v>1.0225</v>
      </c>
      <c r="U3" s="2887">
        <f t="shared" si="2"/>
        <v>1.0938000000000001</v>
      </c>
      <c r="V3" s="2887">
        <f t="shared" si="2"/>
        <v>1.0668</v>
      </c>
      <c r="W3" s="2886">
        <f>T3</f>
        <v>1.0225</v>
      </c>
      <c r="X3" s="2883"/>
      <c r="Y3" s="2888">
        <f>ROUND(AVERAGEIF(Y5:Y16,"&lt;&gt;0"),4)</f>
        <v>8.6999999999999994E-3</v>
      </c>
      <c r="Z3" s="2889">
        <f t="shared" ref="Z3:AC3" si="3">ROUND(AVERAGEIF(Z5:Z16,"&lt;&gt;0"),4)</f>
        <v>3.5000000000000001E-3</v>
      </c>
      <c r="AA3" s="2890">
        <f t="shared" si="3"/>
        <v>8.9999999999999998E-4</v>
      </c>
      <c r="AB3" s="2888">
        <f t="shared" si="3"/>
        <v>9.4999999999999998E-3</v>
      </c>
      <c r="AC3" s="2891">
        <f t="shared" si="3"/>
        <v>6.1000000000000004E-3</v>
      </c>
      <c r="AD3" s="2888">
        <f>AA3</f>
        <v>8.9999999999999998E-4</v>
      </c>
    </row>
    <row r="4" spans="1:30" s="2006" customFormat="1" ht="12.75">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30" s="2042" customFormat="1" ht="12.75">
      <c r="A5" s="2901" t="s">
        <v>3367</v>
      </c>
      <c r="B5" s="2028">
        <v>2023</v>
      </c>
      <c r="C5" s="2039">
        <v>4</v>
      </c>
      <c r="D5" s="2004">
        <v>0</v>
      </c>
      <c r="E5" s="2004">
        <v>0</v>
      </c>
      <c r="F5" s="2004">
        <v>0</v>
      </c>
      <c r="G5" s="2004">
        <v>0</v>
      </c>
      <c r="H5" s="2004">
        <v>0</v>
      </c>
      <c r="I5" s="2005">
        <f t="shared" ref="I5:I16" si="4">F5</f>
        <v>0</v>
      </c>
      <c r="J5" s="2902"/>
      <c r="K5" s="2040">
        <f t="shared" ref="K5:O16" si="5">D5/100</f>
        <v>0</v>
      </c>
      <c r="L5" s="2025">
        <f t="shared" si="5"/>
        <v>0</v>
      </c>
      <c r="M5" s="2025">
        <f t="shared" si="5"/>
        <v>0</v>
      </c>
      <c r="N5" s="2025">
        <f t="shared" si="5"/>
        <v>0</v>
      </c>
      <c r="O5" s="2025">
        <f t="shared" si="5"/>
        <v>0</v>
      </c>
      <c r="P5" s="2025">
        <f>M5</f>
        <v>0</v>
      </c>
      <c r="Q5" s="2902"/>
      <c r="R5" s="2024">
        <f>ROUND(IF(项目基本情况!$B$8="出让",SUMPRODUCT(PRODUCT(1+K5:$K$16)),SUMPRODUCT(PRODUCT(1+K5:$K$15))),4)</f>
        <v>1.0755999999999999</v>
      </c>
      <c r="S5" s="2024">
        <f>ROUND(IF(项目基本情况!$B$8="出让",SUMPRODUCT(PRODUCT(1+L5:$L$16)),SUMPRODUCT(PRODUCT(1+L5:$L$15))),4)</f>
        <v>1.0395000000000001</v>
      </c>
      <c r="T5" s="2024">
        <f>ROUND(IF(项目基本情况!$B$8="出让",SUMPRODUCT(PRODUCT(1+M5:$M$16)),SUMPRODUCT(PRODUCT(1+M5:$M$15))),4)</f>
        <v>1.0250999999999999</v>
      </c>
      <c r="U5" s="2024">
        <f>ROUND(IF(项目基本情况!$B$8="出让",SUMPRODUCT(PRODUCT(1+N5:$N$16)),SUMPRODUCT(PRODUCT(1+N5:$N$15))),4)</f>
        <v>1.0818000000000001</v>
      </c>
      <c r="V5" s="2024">
        <f>ROUND(IF(项目基本情况!$B$8="出让",SUMPRODUCT(PRODUCT(1+O5:$O$16)),SUMPRODUCT(PRODUCT(1+O5:$O$15))),4)</f>
        <v>1.0629999999999999</v>
      </c>
      <c r="W5" s="2024">
        <f>T5</f>
        <v>1.0250999999999999</v>
      </c>
      <c r="X5" s="2902"/>
      <c r="Y5" s="2025">
        <f>IF(D5=0,0,ROUND(AVERAGE(D5:D16)/100,4))</f>
        <v>0</v>
      </c>
      <c r="Z5" s="2025">
        <f t="shared" ref="Z5:AC5" si="6">IF(E5=0,0,ROUND(AVERAGE(E5:E16)/100,4))</f>
        <v>0</v>
      </c>
      <c r="AA5" s="2025">
        <f t="shared" si="6"/>
        <v>0</v>
      </c>
      <c r="AB5" s="2025">
        <f t="shared" si="6"/>
        <v>0</v>
      </c>
      <c r="AC5" s="2025">
        <f t="shared" si="6"/>
        <v>0</v>
      </c>
      <c r="AD5" s="2025">
        <f t="shared" ref="AD5:AD15" si="7">AA5</f>
        <v>0</v>
      </c>
    </row>
    <row r="6" spans="1:30" s="2042" customFormat="1" ht="12.75">
      <c r="A6" s="2901" t="s">
        <v>3368</v>
      </c>
      <c r="B6" s="2028">
        <v>2023</v>
      </c>
      <c r="C6" s="2039">
        <v>3</v>
      </c>
      <c r="D6" s="2004">
        <v>0</v>
      </c>
      <c r="E6" s="2004">
        <v>0</v>
      </c>
      <c r="F6" s="2004">
        <v>0</v>
      </c>
      <c r="G6" s="2004">
        <v>0</v>
      </c>
      <c r="H6" s="2004">
        <v>0</v>
      </c>
      <c r="I6" s="2005">
        <f t="shared" si="4"/>
        <v>0</v>
      </c>
      <c r="J6" s="2902"/>
      <c r="K6" s="2040">
        <f t="shared" ref="K6:K8" si="8">D6/100</f>
        <v>0</v>
      </c>
      <c r="L6" s="2025">
        <f t="shared" ref="L6:L8" si="9">E6/100</f>
        <v>0</v>
      </c>
      <c r="M6" s="2025">
        <f t="shared" ref="M6:M8" si="10">F6/100</f>
        <v>0</v>
      </c>
      <c r="N6" s="2025">
        <f t="shared" ref="N6:N8" si="11">G6/100</f>
        <v>0</v>
      </c>
      <c r="O6" s="2025">
        <f t="shared" ref="O6:O8" si="12">H6/100</f>
        <v>0</v>
      </c>
      <c r="P6" s="2025">
        <f t="shared" ref="P6:P8" si="13">M6</f>
        <v>0</v>
      </c>
      <c r="Q6" s="2902"/>
      <c r="R6" s="2024">
        <f>ROUND(IF(项目基本情况!$B$8="出让",SUMPRODUCT(PRODUCT(1+K6:$K$16)),SUMPRODUCT(PRODUCT(1+K6:$K$15))),4)</f>
        <v>1.0755999999999999</v>
      </c>
      <c r="S6" s="2024">
        <f>ROUND(IF(项目基本情况!$B$8="出让",SUMPRODUCT(PRODUCT(1+L6:$L$16)),SUMPRODUCT(PRODUCT(1+L6:$L$15))),4)</f>
        <v>1.0395000000000001</v>
      </c>
      <c r="T6" s="2024">
        <f>ROUND(IF(项目基本情况!$B$8="出让",SUMPRODUCT(PRODUCT(1+M6:$M$16)),SUMPRODUCT(PRODUCT(1+M6:$M$15))),4)</f>
        <v>1.0250999999999999</v>
      </c>
      <c r="U6" s="2024">
        <f>ROUND(IF(项目基本情况!$B$8="出让",SUMPRODUCT(PRODUCT(1+N6:$N$16)),SUMPRODUCT(PRODUCT(1+N6:$N$15))),4)</f>
        <v>1.0818000000000001</v>
      </c>
      <c r="V6" s="2024">
        <f>ROUND(IF(项目基本情况!$B$8="出让",SUMPRODUCT(PRODUCT(1+O6:$O$16)),SUMPRODUCT(PRODUCT(1+O6:$O$15))),4)</f>
        <v>1.0629999999999999</v>
      </c>
      <c r="W6" s="2024">
        <f t="shared" ref="W6:W8" si="14">T6</f>
        <v>1.0250999999999999</v>
      </c>
      <c r="X6" s="2902"/>
      <c r="Y6" s="2025"/>
      <c r="Z6" s="2025"/>
      <c r="AA6" s="2025"/>
      <c r="AB6" s="2025"/>
      <c r="AC6" s="2025"/>
      <c r="AD6" s="2025"/>
    </row>
    <row r="7" spans="1:30" s="2912" customFormat="1" ht="12.75">
      <c r="A7" s="2903" t="s">
        <v>3372</v>
      </c>
      <c r="B7" s="2904">
        <v>2023</v>
      </c>
      <c r="C7" s="2905">
        <v>2</v>
      </c>
      <c r="D7" s="2906">
        <v>0.91</v>
      </c>
      <c r="E7" s="2906">
        <v>0.66</v>
      </c>
      <c r="F7" s="2906">
        <v>0.47</v>
      </c>
      <c r="G7" s="2906">
        <v>0.96</v>
      </c>
      <c r="H7" s="2907">
        <v>0.71</v>
      </c>
      <c r="I7" s="2908">
        <f t="shared" si="4"/>
        <v>0.47</v>
      </c>
      <c r="J7" s="2909"/>
      <c r="K7" s="2910">
        <f t="shared" si="8"/>
        <v>9.1000000000000004E-3</v>
      </c>
      <c r="L7" s="2911">
        <f t="shared" si="9"/>
        <v>6.6E-3</v>
      </c>
      <c r="M7" s="2911">
        <f t="shared" si="10"/>
        <v>4.6999999999999993E-3</v>
      </c>
      <c r="N7" s="2911">
        <f t="shared" si="11"/>
        <v>9.5999999999999992E-3</v>
      </c>
      <c r="O7" s="2911">
        <f t="shared" si="12"/>
        <v>7.0999999999999995E-3</v>
      </c>
      <c r="P7" s="2911">
        <f t="shared" si="13"/>
        <v>4.6999999999999993E-3</v>
      </c>
      <c r="Q7" s="2909"/>
      <c r="R7" s="2909">
        <f>ROUND(IF(项目基本情况!$B$8="出让",SUMPRODUCT(PRODUCT(1+K7:$K$16)),SUMPRODUCT(PRODUCT(1+K7:$K$15))),4)</f>
        <v>1.0755999999999999</v>
      </c>
      <c r="S7" s="2909">
        <f>ROUND(IF(项目基本情况!$B$8="出让",SUMPRODUCT(PRODUCT(1+L7:$L$16)),SUMPRODUCT(PRODUCT(1+L7:$L$15))),4)</f>
        <v>1.0395000000000001</v>
      </c>
      <c r="T7" s="2909">
        <f>ROUND(IF(项目基本情况!$B$8="出让",SUMPRODUCT(PRODUCT(1+M7:$M$16)),SUMPRODUCT(PRODUCT(1+M7:$M$15))),4)</f>
        <v>1.0250999999999999</v>
      </c>
      <c r="U7" s="2909">
        <f>ROUND(IF(项目基本情况!$B$8="出让",SUMPRODUCT(PRODUCT(1+N7:$N$16)),SUMPRODUCT(PRODUCT(1+N7:$N$15))),4)</f>
        <v>1.0818000000000001</v>
      </c>
      <c r="V7" s="2909">
        <f>ROUND(IF(项目基本情况!$B$8="出让",SUMPRODUCT(PRODUCT(1+O7:$O$16)),SUMPRODUCT(PRODUCT(1+O7:$O$15))),4)</f>
        <v>1.0629999999999999</v>
      </c>
      <c r="W7" s="2909">
        <f t="shared" si="14"/>
        <v>1.0250999999999999</v>
      </c>
      <c r="X7" s="2909"/>
      <c r="Y7" s="2911"/>
      <c r="Z7" s="2911"/>
      <c r="AA7" s="2911"/>
      <c r="AB7" s="2911"/>
      <c r="AC7" s="2911"/>
      <c r="AD7" s="2911"/>
    </row>
    <row r="8" spans="1:30" s="2042" customFormat="1" ht="12.75">
      <c r="A8" s="2901" t="s">
        <v>3371</v>
      </c>
      <c r="B8" s="2028">
        <v>2023</v>
      </c>
      <c r="C8" s="2039">
        <v>1</v>
      </c>
      <c r="D8" s="2004">
        <v>0.89</v>
      </c>
      <c r="E8" s="2004">
        <v>0.74</v>
      </c>
      <c r="F8" s="2004">
        <v>0.56999999999999995</v>
      </c>
      <c r="G8" s="2004">
        <v>0.92</v>
      </c>
      <c r="H8" s="2913">
        <v>0.5</v>
      </c>
      <c r="I8" s="2005">
        <f t="shared" si="4"/>
        <v>0.56999999999999995</v>
      </c>
      <c r="J8" s="2902"/>
      <c r="K8" s="2040">
        <f t="shared" si="8"/>
        <v>8.8999999999999999E-3</v>
      </c>
      <c r="L8" s="2025">
        <f t="shared" si="9"/>
        <v>7.4000000000000003E-3</v>
      </c>
      <c r="M8" s="2025">
        <f t="shared" si="10"/>
        <v>5.6999999999999993E-3</v>
      </c>
      <c r="N8" s="2025">
        <f t="shared" si="11"/>
        <v>9.1999999999999998E-3</v>
      </c>
      <c r="O8" s="2025">
        <f t="shared" si="12"/>
        <v>5.0000000000000001E-3</v>
      </c>
      <c r="P8" s="2025">
        <f t="shared" si="13"/>
        <v>5.6999999999999993E-3</v>
      </c>
      <c r="Q8" s="2902"/>
      <c r="R8" s="2024">
        <f>ROUND(IF(项目基本情况!$B$8="出让",SUMPRODUCT(PRODUCT(1+K8:$K$16)),SUMPRODUCT(PRODUCT(1+K8:$K$15))),4)</f>
        <v>1.0659000000000001</v>
      </c>
      <c r="S8" s="2024">
        <f>ROUND(IF(项目基本情况!$B$8="出让",SUMPRODUCT(PRODUCT(1+L8:$L$16)),SUMPRODUCT(PRODUCT(1+L8:$L$15))),4)</f>
        <v>1.0326</v>
      </c>
      <c r="T8" s="2024">
        <f>ROUND(IF(项目基本情况!$B$8="出让",SUMPRODUCT(PRODUCT(1+M8:$M$16)),SUMPRODUCT(PRODUCT(1+M8:$M$15))),4)</f>
        <v>1.0203</v>
      </c>
      <c r="U8" s="2024">
        <f>ROUND(IF(项目基本情况!$B$8="出让",SUMPRODUCT(PRODUCT(1+N8:$N$16)),SUMPRODUCT(PRODUCT(1+N8:$N$15))),4)</f>
        <v>1.0714999999999999</v>
      </c>
      <c r="V8" s="2024">
        <f>ROUND(IF(项目基本情况!$B$8="出让",SUMPRODUCT(PRODUCT(1+O8:$O$16)),SUMPRODUCT(PRODUCT(1+O8:$O$15))),4)</f>
        <v>1.0555000000000001</v>
      </c>
      <c r="W8" s="2024">
        <f t="shared" si="14"/>
        <v>1.0203</v>
      </c>
      <c r="X8" s="2902"/>
      <c r="Y8" s="2025"/>
      <c r="Z8" s="2025"/>
      <c r="AA8" s="2025"/>
      <c r="AB8" s="2025"/>
      <c r="AC8" s="2025"/>
      <c r="AD8" s="2025"/>
    </row>
    <row r="9" spans="1:30" s="2042" customFormat="1" ht="12.75">
      <c r="A9" s="2901" t="s">
        <v>3369</v>
      </c>
      <c r="B9" s="2028">
        <v>2022</v>
      </c>
      <c r="C9" s="2039">
        <v>4</v>
      </c>
      <c r="D9" s="2004">
        <v>0.62</v>
      </c>
      <c r="E9" s="2004">
        <v>0.2</v>
      </c>
      <c r="F9" s="2004">
        <v>0.11</v>
      </c>
      <c r="G9" s="2004">
        <v>0.69</v>
      </c>
      <c r="H9" s="2913">
        <v>0.53</v>
      </c>
      <c r="I9" s="2005">
        <f t="shared" si="4"/>
        <v>0.11</v>
      </c>
      <c r="J9" s="2902"/>
      <c r="K9" s="2040">
        <f t="shared" si="5"/>
        <v>6.1999999999999998E-3</v>
      </c>
      <c r="L9" s="2025">
        <f t="shared" si="5"/>
        <v>2E-3</v>
      </c>
      <c r="M9" s="2025">
        <f t="shared" si="5"/>
        <v>1.1000000000000001E-3</v>
      </c>
      <c r="N9" s="2025">
        <f t="shared" si="5"/>
        <v>6.8999999999999999E-3</v>
      </c>
      <c r="O9" s="2025">
        <f t="shared" si="5"/>
        <v>5.3E-3</v>
      </c>
      <c r="P9" s="2025">
        <f t="shared" ref="P9:P16" si="15">M9</f>
        <v>1.1000000000000001E-3</v>
      </c>
      <c r="Q9" s="2902"/>
      <c r="R9" s="2024">
        <f>ROUND(IF([2]项目基本情况!B8="出让",SUMPRODUCT(PRODUCT(1+K9:K16)),SUMPRODUCT(PRODUCT(1+K9:K15))),4)</f>
        <v>1.0565</v>
      </c>
      <c r="S9" s="2024">
        <f>ROUND(IF([2]项目基本情况!B8="出让",SUMPRODUCT(PRODUCT(1+L9:L16)),SUMPRODUCT(PRODUCT(1+L9:L15))),4)</f>
        <v>1.0250999999999999</v>
      </c>
      <c r="T9" s="2024">
        <f>ROUND(IF([2]项目基本情况!B8="出让",SUMPRODUCT(PRODUCT(1+M9:M16)),SUMPRODUCT(PRODUCT(1+M9:M15))),4)</f>
        <v>1.0145</v>
      </c>
      <c r="U9" s="2024">
        <f>ROUND(IF([2]项目基本情况!B8="出让",SUMPRODUCT(PRODUCT(1+N9:N16)),SUMPRODUCT(PRODUCT(1+N9:N15))),4)</f>
        <v>1.0618000000000001</v>
      </c>
      <c r="V9" s="2024">
        <f>ROUND(IF([2]项目基本情况!B8="出让",SUMPRODUCT(PRODUCT(1+O9:O16)),SUMPRODUCT(PRODUCT(1+O9:O15))),4)</f>
        <v>1.0502</v>
      </c>
      <c r="W9" s="2024">
        <f t="shared" ref="W9:W16" si="16">T9</f>
        <v>1.0145</v>
      </c>
      <c r="X9" s="2902"/>
      <c r="Y9" s="2025">
        <f>IF(D9=0,0,ROUND(AVERAGE(D9:D17)/100,4))</f>
        <v>8.0999999999999996E-3</v>
      </c>
      <c r="Z9" s="2025">
        <f t="shared" ref="Z9:AC9" si="17">IF(E9=0,0,ROUND(AVERAGE(E9:E16)/100,4))</f>
        <v>3.3E-3</v>
      </c>
      <c r="AA9" s="2025">
        <f t="shared" si="17"/>
        <v>1.5E-3</v>
      </c>
      <c r="AB9" s="2025">
        <f t="shared" si="17"/>
        <v>8.8999999999999999E-3</v>
      </c>
      <c r="AC9" s="2025">
        <f t="shared" si="17"/>
        <v>6.6E-3</v>
      </c>
      <c r="AD9" s="2025">
        <f t="shared" si="7"/>
        <v>1.5E-3</v>
      </c>
    </row>
    <row r="10" spans="1:30" s="2042" customFormat="1" ht="12.75">
      <c r="A10" s="2901" t="s">
        <v>3363</v>
      </c>
      <c r="B10" s="2028">
        <v>2022</v>
      </c>
      <c r="C10" s="2039">
        <v>3</v>
      </c>
      <c r="D10" s="2004">
        <v>0.66</v>
      </c>
      <c r="E10" s="2004">
        <v>0.32</v>
      </c>
      <c r="F10" s="2004">
        <v>0.23</v>
      </c>
      <c r="G10" s="2004">
        <v>0.72</v>
      </c>
      <c r="H10" s="2913">
        <v>0.63</v>
      </c>
      <c r="I10" s="2005">
        <f t="shared" si="4"/>
        <v>0.23</v>
      </c>
      <c r="J10" s="2902"/>
      <c r="K10" s="2040">
        <f t="shared" si="5"/>
        <v>6.6E-3</v>
      </c>
      <c r="L10" s="2025">
        <f t="shared" si="5"/>
        <v>3.2000000000000002E-3</v>
      </c>
      <c r="M10" s="2025">
        <f t="shared" si="5"/>
        <v>2.3E-3</v>
      </c>
      <c r="N10" s="2025">
        <f t="shared" si="5"/>
        <v>7.1999999999999998E-3</v>
      </c>
      <c r="O10" s="2025">
        <f t="shared" si="5"/>
        <v>6.3E-3</v>
      </c>
      <c r="P10" s="2025">
        <f t="shared" si="15"/>
        <v>2.3E-3</v>
      </c>
      <c r="Q10" s="2902"/>
      <c r="R10" s="2024">
        <f>ROUND(IF([2]项目基本情况!B8="出让",SUMPRODUCT(PRODUCT(1+K10:K16)),SUMPRODUCT(PRODUCT(1+K10:K15))),4)</f>
        <v>1.05</v>
      </c>
      <c r="S10" s="2024">
        <f>ROUND(IF([2]项目基本情况!B8="出让",SUMPRODUCT(PRODUCT(1+L10:L16)),SUMPRODUCT(PRODUCT(1+L10:L15))),4)</f>
        <v>1.0229999999999999</v>
      </c>
      <c r="T10" s="2024">
        <f>ROUND(IF([2]项目基本情况!B8="出让",SUMPRODUCT(PRODUCT(1+M10:M16)),SUMPRODUCT(PRODUCT(1+M10:M15))),4)</f>
        <v>1.0134000000000001</v>
      </c>
      <c r="U10" s="2024">
        <f>ROUND(IF([2]项目基本情况!B8="出让",SUMPRODUCT(PRODUCT(1+N10:N16)),SUMPRODUCT(PRODUCT(1+N10:N15))),4)</f>
        <v>1.0545</v>
      </c>
      <c r="V10" s="2024">
        <f>ROUND(IF([2]项目基本情况!B8="出让",SUMPRODUCT(PRODUCT(1+O10:O16)),SUMPRODUCT(PRODUCT(1+O10:O15))),4)</f>
        <v>1.0447</v>
      </c>
      <c r="W10" s="2024">
        <f t="shared" si="16"/>
        <v>1.0134000000000001</v>
      </c>
      <c r="X10" s="2902"/>
      <c r="Y10" s="2025">
        <f>IF(D10=0,0,ROUND(AVERAGE(D10:D16)/100,4))</f>
        <v>8.3999999999999995E-3</v>
      </c>
      <c r="Z10" s="2025">
        <f t="shared" ref="Z10:AC10" si="18">IF(E10=0,0,ROUND(AVERAGE(E10:E16)/100,4))</f>
        <v>3.5000000000000001E-3</v>
      </c>
      <c r="AA10" s="2025">
        <f t="shared" si="18"/>
        <v>1.5E-3</v>
      </c>
      <c r="AB10" s="2025">
        <f t="shared" si="18"/>
        <v>9.1999999999999998E-3</v>
      </c>
      <c r="AC10" s="2025">
        <f t="shared" si="18"/>
        <v>6.7999999999999996E-3</v>
      </c>
      <c r="AD10" s="2025">
        <f t="shared" si="7"/>
        <v>1.5E-3</v>
      </c>
    </row>
    <row r="11" spans="1:30" s="2042" customFormat="1" ht="12.75">
      <c r="A11" s="2901" t="s">
        <v>3354</v>
      </c>
      <c r="B11" s="2028">
        <v>2022</v>
      </c>
      <c r="C11" s="2039">
        <v>2</v>
      </c>
      <c r="D11" s="2004">
        <v>0.93</v>
      </c>
      <c r="E11" s="2004">
        <v>0.15</v>
      </c>
      <c r="F11" s="2004">
        <v>0.01</v>
      </c>
      <c r="G11" s="2004">
        <v>1.05</v>
      </c>
      <c r="H11" s="2913">
        <v>1.08</v>
      </c>
      <c r="I11" s="2005">
        <f t="shared" si="4"/>
        <v>0.01</v>
      </c>
      <c r="J11" s="2902"/>
      <c r="K11" s="2040">
        <f t="shared" si="5"/>
        <v>9.300000000000001E-3</v>
      </c>
      <c r="L11" s="2025">
        <f t="shared" si="5"/>
        <v>1.5E-3</v>
      </c>
      <c r="M11" s="2025">
        <f t="shared" si="5"/>
        <v>1E-4</v>
      </c>
      <c r="N11" s="2025">
        <f t="shared" si="5"/>
        <v>1.0500000000000001E-2</v>
      </c>
      <c r="O11" s="2025">
        <f t="shared" si="5"/>
        <v>1.0800000000000001E-2</v>
      </c>
      <c r="P11" s="2025">
        <f t="shared" si="15"/>
        <v>1E-4</v>
      </c>
      <c r="Q11" s="2902"/>
      <c r="R11" s="2024">
        <f>ROUND(IF([2]项目基本情况!B8="出让",SUMPRODUCT(PRODUCT(1+K11:K16)),SUMPRODUCT(PRODUCT(1+K11:K15))),4)</f>
        <v>1.0430999999999999</v>
      </c>
      <c r="S11" s="2024">
        <f>ROUND(IF([2]项目基本情况!B8="出让",SUMPRODUCT(PRODUCT(1+L11:L16)),SUMPRODUCT(PRODUCT(1+L11:L15))),4)</f>
        <v>1.0197000000000001</v>
      </c>
      <c r="T11" s="2024">
        <f>ROUND(IF([2]项目基本情况!B8="出让",SUMPRODUCT(PRODUCT(1+M11:M16)),SUMPRODUCT(PRODUCT(1+M11:M15))),4)</f>
        <v>1.0109999999999999</v>
      </c>
      <c r="U11" s="2024">
        <f>ROUND(IF([2]项目基本情况!B8="出让",SUMPRODUCT(PRODUCT(1+N11:N16)),SUMPRODUCT(PRODUCT(1+N11:N15))),4)</f>
        <v>1.0468999999999999</v>
      </c>
      <c r="V11" s="2024">
        <f>ROUND(IF([2]项目基本情况!B8="出让",SUMPRODUCT(PRODUCT(1+O11:O16)),SUMPRODUCT(PRODUCT(1+O11:O15))),4)</f>
        <v>1.0382</v>
      </c>
      <c r="W11" s="2024">
        <f t="shared" si="16"/>
        <v>1.0109999999999999</v>
      </c>
      <c r="X11" s="2902"/>
      <c r="Y11" s="2025">
        <f>IF(D11=0,0,ROUND(AVERAGE(D11:D16)/100,4))</f>
        <v>8.6999999999999994E-3</v>
      </c>
      <c r="Z11" s="2025">
        <f t="shared" ref="Z11:AC11" si="19">IF(E11=0,0,ROUND(AVERAGE(E11:E16)/100,4))</f>
        <v>3.5000000000000001E-3</v>
      </c>
      <c r="AA11" s="2025">
        <f t="shared" si="19"/>
        <v>1.4E-3</v>
      </c>
      <c r="AB11" s="2025">
        <f t="shared" si="19"/>
        <v>9.4999999999999998E-3</v>
      </c>
      <c r="AC11" s="2025">
        <f t="shared" si="19"/>
        <v>6.8999999999999999E-3</v>
      </c>
      <c r="AD11" s="2025">
        <f t="shared" si="7"/>
        <v>1.4E-3</v>
      </c>
    </row>
    <row r="12" spans="1:30" s="2042" customFormat="1" ht="12.75">
      <c r="A12" s="2901" t="s">
        <v>2817</v>
      </c>
      <c r="B12" s="2028">
        <v>2022</v>
      </c>
      <c r="C12" s="2039">
        <v>1</v>
      </c>
      <c r="D12" s="2004">
        <v>0.89</v>
      </c>
      <c r="E12" s="2004">
        <v>0.44</v>
      </c>
      <c r="F12" s="2004">
        <v>0.37</v>
      </c>
      <c r="G12" s="2004">
        <v>0.96</v>
      </c>
      <c r="H12" s="2913">
        <v>0.64</v>
      </c>
      <c r="I12" s="2005">
        <f t="shared" si="4"/>
        <v>0.37</v>
      </c>
      <c r="J12" s="2902"/>
      <c r="K12" s="2040">
        <f t="shared" si="5"/>
        <v>8.8999999999999999E-3</v>
      </c>
      <c r="L12" s="2025">
        <f t="shared" si="5"/>
        <v>4.4000000000000003E-3</v>
      </c>
      <c r="M12" s="2025">
        <f t="shared" si="5"/>
        <v>3.7000000000000002E-3</v>
      </c>
      <c r="N12" s="2025">
        <f t="shared" si="5"/>
        <v>9.5999999999999992E-3</v>
      </c>
      <c r="O12" s="2025">
        <f t="shared" si="5"/>
        <v>6.4000000000000003E-3</v>
      </c>
      <c r="P12" s="2025">
        <f t="shared" si="15"/>
        <v>3.7000000000000002E-3</v>
      </c>
      <c r="Q12" s="2902"/>
      <c r="R12" s="2024">
        <f>ROUND(IF([2]项目基本情况!B8="出让",SUMPRODUCT(PRODUCT(1+K12:K16)),SUMPRODUCT(PRODUCT(1+K12:K15))),4)</f>
        <v>1.0335000000000001</v>
      </c>
      <c r="S12" s="2024">
        <f>ROUND(IF([2]项目基本情况!B8="出让",SUMPRODUCT(PRODUCT(1+L12:L16)),SUMPRODUCT(PRODUCT(1+L12:L15))),4)</f>
        <v>1.0182</v>
      </c>
      <c r="T12" s="2024">
        <f>ROUND(IF([2]项目基本情况!B8="出让",SUMPRODUCT(PRODUCT(1+M12:M16)),SUMPRODUCT(PRODUCT(1+M12:M15))),4)</f>
        <v>1.0108999999999999</v>
      </c>
      <c r="U12" s="2024">
        <f>ROUND(IF([2]项目基本情况!B8="出让",SUMPRODUCT(PRODUCT(1+N12:N16)),SUMPRODUCT(PRODUCT(1+N12:N15))),4)</f>
        <v>1.0361</v>
      </c>
      <c r="V12" s="2024">
        <f>ROUND(IF([2]项目基本情况!B8="出让",SUMPRODUCT(PRODUCT(1+O12:O16)),SUMPRODUCT(PRODUCT(1+O12:O15))),4)</f>
        <v>1.0270999999999999</v>
      </c>
      <c r="W12" s="2024">
        <f t="shared" si="16"/>
        <v>1.0108999999999999</v>
      </c>
      <c r="X12" s="2902"/>
      <c r="Y12" s="2025">
        <f>IF(D12=0,0,ROUND(AVERAGE(D12:D16)/100,4))</f>
        <v>8.6E-3</v>
      </c>
      <c r="Z12" s="2025">
        <f t="shared" ref="Z12:AC12" si="20">IF(E12=0,0,ROUND(AVERAGE(E12:E16)/100,4))</f>
        <v>3.8999999999999998E-3</v>
      </c>
      <c r="AA12" s="2025">
        <f t="shared" si="20"/>
        <v>1.6999999999999999E-3</v>
      </c>
      <c r="AB12" s="2025">
        <f t="shared" si="20"/>
        <v>9.2999999999999992E-3</v>
      </c>
      <c r="AC12" s="2025">
        <f t="shared" si="20"/>
        <v>6.1000000000000004E-3</v>
      </c>
      <c r="AD12" s="2025">
        <f t="shared" si="7"/>
        <v>1.6999999999999999E-3</v>
      </c>
    </row>
    <row r="13" spans="1:30" s="2042" customFormat="1" ht="12.75">
      <c r="A13" s="2901" t="s">
        <v>2818</v>
      </c>
      <c r="B13" s="2028">
        <v>2021</v>
      </c>
      <c r="C13" s="2039">
        <v>4</v>
      </c>
      <c r="D13" s="2004">
        <v>1.03</v>
      </c>
      <c r="E13" s="2004">
        <v>0.24</v>
      </c>
      <c r="F13" s="2004">
        <v>7.0000000000000007E-2</v>
      </c>
      <c r="G13" s="2004">
        <v>1.17</v>
      </c>
      <c r="H13" s="2913">
        <v>0.55000000000000004</v>
      </c>
      <c r="I13" s="2005">
        <f t="shared" si="4"/>
        <v>7.0000000000000007E-2</v>
      </c>
      <c r="J13" s="2902"/>
      <c r="K13" s="2040">
        <f t="shared" si="5"/>
        <v>1.03E-2</v>
      </c>
      <c r="L13" s="2025">
        <f t="shared" si="5"/>
        <v>2.3999999999999998E-3</v>
      </c>
      <c r="M13" s="2025">
        <f t="shared" si="5"/>
        <v>7.000000000000001E-4</v>
      </c>
      <c r="N13" s="2025">
        <f t="shared" si="5"/>
        <v>1.1699999999999999E-2</v>
      </c>
      <c r="O13" s="2025">
        <f t="shared" si="5"/>
        <v>5.5000000000000005E-3</v>
      </c>
      <c r="P13" s="2025">
        <f t="shared" si="15"/>
        <v>7.000000000000001E-4</v>
      </c>
      <c r="Q13" s="2902"/>
      <c r="R13" s="2024">
        <f>ROUND(IF([2]项目基本情况!B8="出让",SUMPRODUCT(PRODUCT(1+K13:K16)),SUMPRODUCT(PRODUCT(1+K13:K15))),4)</f>
        <v>1.0244</v>
      </c>
      <c r="S13" s="2024">
        <f>ROUND(IF([2]项目基本情况!B8="出让",SUMPRODUCT(PRODUCT(1+L13:L16)),SUMPRODUCT(PRODUCT(1+L13:L15))),4)</f>
        <v>1.0138</v>
      </c>
      <c r="T13" s="2024">
        <f>ROUND(IF([2]项目基本情况!B8="出让",SUMPRODUCT(PRODUCT(1+M13:M16)),SUMPRODUCT(PRODUCT(1+M13:M15))),4)</f>
        <v>1.0072000000000001</v>
      </c>
      <c r="U13" s="2024">
        <f>ROUND(IF([2]项目基本情况!B8="出让",SUMPRODUCT(PRODUCT(1+N13:N16)),SUMPRODUCT(PRODUCT(1+N13:N15))),4)</f>
        <v>1.0262</v>
      </c>
      <c r="V13" s="2024">
        <f>ROUND(IF([2]项目基本情况!B8="出让",SUMPRODUCT(PRODUCT(1+O13:O16)),SUMPRODUCT(PRODUCT(1+O13:O15))),4)</f>
        <v>1.0205</v>
      </c>
      <c r="W13" s="2024">
        <f t="shared" si="16"/>
        <v>1.0072000000000001</v>
      </c>
      <c r="X13" s="2902"/>
      <c r="Y13" s="2025">
        <f>IF(D13=0,0,ROUND(AVERAGE(D13:D16)/100,4))</f>
        <v>8.5000000000000006E-3</v>
      </c>
      <c r="Z13" s="2025">
        <f t="shared" ref="Z13:AC13" si="21">IF(E13=0,0,ROUND(AVERAGE(E13:E16)/100,4))</f>
        <v>3.8E-3</v>
      </c>
      <c r="AA13" s="2025">
        <f t="shared" si="21"/>
        <v>1.1999999999999999E-3</v>
      </c>
      <c r="AB13" s="2025">
        <f t="shared" si="21"/>
        <v>9.2999999999999992E-3</v>
      </c>
      <c r="AC13" s="2025">
        <f t="shared" si="21"/>
        <v>6.0000000000000001E-3</v>
      </c>
      <c r="AD13" s="2025">
        <f t="shared" si="7"/>
        <v>1.1999999999999999E-3</v>
      </c>
    </row>
    <row r="14" spans="1:30" s="2042" customFormat="1" ht="12.75">
      <c r="A14" s="2901" t="s">
        <v>2819</v>
      </c>
      <c r="B14" s="2028">
        <v>2021</v>
      </c>
      <c r="C14" s="2039">
        <v>3</v>
      </c>
      <c r="D14" s="2004">
        <v>0.47</v>
      </c>
      <c r="E14" s="2004">
        <v>0.41</v>
      </c>
      <c r="F14" s="2004">
        <v>0.24</v>
      </c>
      <c r="G14" s="2004">
        <v>0.48</v>
      </c>
      <c r="H14" s="2913">
        <v>0.48</v>
      </c>
      <c r="I14" s="2005">
        <f t="shared" si="4"/>
        <v>0.24</v>
      </c>
      <c r="J14" s="2902"/>
      <c r="K14" s="2040">
        <f t="shared" si="5"/>
        <v>4.6999999999999993E-3</v>
      </c>
      <c r="L14" s="2025">
        <f t="shared" si="5"/>
        <v>4.0999999999999995E-3</v>
      </c>
      <c r="M14" s="2025">
        <f t="shared" si="5"/>
        <v>2.3999999999999998E-3</v>
      </c>
      <c r="N14" s="2025">
        <f t="shared" si="5"/>
        <v>4.7999999999999996E-3</v>
      </c>
      <c r="O14" s="2025">
        <f t="shared" si="5"/>
        <v>4.7999999999999996E-3</v>
      </c>
      <c r="P14" s="2025">
        <f t="shared" si="15"/>
        <v>2.3999999999999998E-3</v>
      </c>
      <c r="Q14" s="2902"/>
      <c r="R14" s="2024">
        <f>ROUND(IF([2]项目基本情况!B8="出让",SUMPRODUCT(PRODUCT(1+K14:K16)),SUMPRODUCT(PRODUCT(1+K14:K15))),4)</f>
        <v>1.0139</v>
      </c>
      <c r="S14" s="2024">
        <f>ROUND(IF([2]项目基本情况!B8="出让",SUMPRODUCT(PRODUCT(1+L14:L16)),SUMPRODUCT(PRODUCT(1+L14:L15))),4)</f>
        <v>1.0113000000000001</v>
      </c>
      <c r="T14" s="2024">
        <f>ROUND(IF([2]项目基本情况!B8="出让",SUMPRODUCT(PRODUCT(1+M14:M16)),SUMPRODUCT(PRODUCT(1+M14:M15))),4)</f>
        <v>1.0065</v>
      </c>
      <c r="U14" s="2024">
        <f>ROUND(IF([2]项目基本情况!B8="出让",SUMPRODUCT(PRODUCT(1+N14:N16)),SUMPRODUCT(PRODUCT(1+N14:N15))),4)</f>
        <v>1.0143</v>
      </c>
      <c r="V14" s="2024">
        <f>ROUND(IF([2]项目基本情况!B8="出让",SUMPRODUCT(PRODUCT(1+O14:O16)),SUMPRODUCT(PRODUCT(1+O14:O15))),4)</f>
        <v>1.0148999999999999</v>
      </c>
      <c r="W14" s="2024">
        <f t="shared" si="16"/>
        <v>1.0065</v>
      </c>
      <c r="X14" s="2902"/>
      <c r="Y14" s="2025">
        <f>IF(D14=0,0,ROUND(AVERAGE(D14:D16)/100,4))</f>
        <v>7.9000000000000008E-3</v>
      </c>
      <c r="Z14" s="2025">
        <f>IF(E14=0,0,ROUND(AVERAGE(E14:E16)/100,4))</f>
        <v>4.3E-3</v>
      </c>
      <c r="AA14" s="2025">
        <f>IF(F14=0,0,ROUND(AVERAGE(F14:F16)/100,4))</f>
        <v>1.2999999999999999E-3</v>
      </c>
      <c r="AB14" s="2025">
        <f>IF(G14=0,0,ROUND(AVERAGE(G14:G16)/100,4))</f>
        <v>8.5000000000000006E-3</v>
      </c>
      <c r="AC14" s="2025">
        <f>IF(H14=0,0,ROUND(AVERAGE(H14:H16)/100,4))</f>
        <v>6.1999999999999998E-3</v>
      </c>
      <c r="AD14" s="2025">
        <f t="shared" si="7"/>
        <v>1.2999999999999999E-3</v>
      </c>
    </row>
    <row r="15" spans="1:30" s="2042" customFormat="1" ht="12.75">
      <c r="A15" s="2901" t="s">
        <v>2820</v>
      </c>
      <c r="B15" s="2028">
        <v>2021</v>
      </c>
      <c r="C15" s="2039">
        <v>2</v>
      </c>
      <c r="D15" s="2004">
        <v>0.92</v>
      </c>
      <c r="E15" s="2004">
        <v>0.72</v>
      </c>
      <c r="F15" s="2004">
        <v>0.41</v>
      </c>
      <c r="G15" s="2004">
        <v>0.95</v>
      </c>
      <c r="H15" s="2913">
        <v>1.01</v>
      </c>
      <c r="I15" s="2005">
        <f t="shared" si="4"/>
        <v>0.41</v>
      </c>
      <c r="J15" s="2902"/>
      <c r="K15" s="2040">
        <f t="shared" si="5"/>
        <v>9.1999999999999998E-3</v>
      </c>
      <c r="L15" s="2025">
        <f t="shared" si="5"/>
        <v>7.1999999999999998E-3</v>
      </c>
      <c r="M15" s="2025">
        <f t="shared" si="5"/>
        <v>4.0999999999999995E-3</v>
      </c>
      <c r="N15" s="2025">
        <f t="shared" si="5"/>
        <v>9.4999999999999998E-3</v>
      </c>
      <c r="O15" s="2025">
        <f t="shared" si="5"/>
        <v>1.01E-2</v>
      </c>
      <c r="P15" s="2025">
        <f t="shared" si="15"/>
        <v>4.0999999999999995E-3</v>
      </c>
      <c r="Q15" s="2902"/>
      <c r="R15" s="2024">
        <f>ROUND(IF([2]项目基本情况!B8="出让",SUMPRODUCT(PRODUCT(1+K15:K16)),SUMPRODUCT(PRODUCT(1+K15:K15))),4)</f>
        <v>1.0092000000000001</v>
      </c>
      <c r="S15" s="2024">
        <f>ROUND(IF([2]项目基本情况!B8="出让",SUMPRODUCT(PRODUCT(1+L15:L16)),SUMPRODUCT(PRODUCT(1+L15:L15))),4)</f>
        <v>1.0072000000000001</v>
      </c>
      <c r="T15" s="2024">
        <f>ROUND(IF([2]项目基本情况!B8="出让",SUMPRODUCT(PRODUCT(1+M15:M16)),SUMPRODUCT(PRODUCT(1+M15:M15))),4)</f>
        <v>1.0041</v>
      </c>
      <c r="U15" s="2024">
        <f>ROUND(IF([2]项目基本情况!B8="出让",SUMPRODUCT(PRODUCT(1+N15:N16)),SUMPRODUCT(PRODUCT(1+N15:N15))),4)</f>
        <v>1.0095000000000001</v>
      </c>
      <c r="V15" s="2024">
        <f>ROUND(IF([2]项目基本情况!B8="出让",SUMPRODUCT(PRODUCT(1+O15:O16)),SUMPRODUCT(PRODUCT(1+O15:O15))),4)</f>
        <v>1.0101</v>
      </c>
      <c r="W15" s="2024">
        <f t="shared" si="16"/>
        <v>1.0041</v>
      </c>
      <c r="X15" s="2902"/>
      <c r="Y15" s="2025">
        <f>IF(D15=0,0,ROUND(AVERAGE(D15:D16)/100,4))</f>
        <v>9.4999999999999998E-3</v>
      </c>
      <c r="Z15" s="2025">
        <f>IF(E15=0,0,ROUND(AVERAGE(E15:E16)/100,4))</f>
        <v>4.4000000000000003E-3</v>
      </c>
      <c r="AA15" s="2025">
        <f>IF(F15=0,0,ROUND(AVERAGE(F15:F16)/100,4))</f>
        <v>8.0000000000000004E-4</v>
      </c>
      <c r="AB15" s="2025">
        <f>IF(G15=0,0,ROUND(AVERAGE(G15:G16)/100,4))</f>
        <v>1.03E-2</v>
      </c>
      <c r="AC15" s="2025">
        <f>IF(H15=0,0,ROUND(AVERAGE(H15:H16)/100,4))</f>
        <v>6.8999999999999999E-3</v>
      </c>
      <c r="AD15" s="2025">
        <f t="shared" si="7"/>
        <v>8.0000000000000004E-4</v>
      </c>
    </row>
    <row r="16" spans="1:30" s="2924" customFormat="1" thickBot="1">
      <c r="A16" s="2914" t="s">
        <v>2821</v>
      </c>
      <c r="B16" s="2915">
        <v>2021</v>
      </c>
      <c r="C16" s="2916">
        <v>1</v>
      </c>
      <c r="D16" s="2917">
        <v>0.97</v>
      </c>
      <c r="E16" s="2917">
        <v>0.16</v>
      </c>
      <c r="F16" s="2917">
        <v>-0.25</v>
      </c>
      <c r="G16" s="2917">
        <v>1.1100000000000001</v>
      </c>
      <c r="H16" s="2918">
        <v>0.36</v>
      </c>
      <c r="I16" s="2919">
        <f t="shared" si="4"/>
        <v>-0.25</v>
      </c>
      <c r="J16" s="2920"/>
      <c r="K16" s="2921">
        <f t="shared" si="5"/>
        <v>9.7000000000000003E-3</v>
      </c>
      <c r="L16" s="2922">
        <f t="shared" si="5"/>
        <v>1.6000000000000001E-3</v>
      </c>
      <c r="M16" s="2922">
        <f>F16/100</f>
        <v>-2.5000000000000001E-3</v>
      </c>
      <c r="N16" s="2922">
        <f t="shared" si="5"/>
        <v>1.11E-2</v>
      </c>
      <c r="O16" s="2922">
        <f t="shared" si="5"/>
        <v>3.5999999999999999E-3</v>
      </c>
      <c r="P16" s="2922">
        <f t="shared" si="15"/>
        <v>-2.5000000000000001E-3</v>
      </c>
      <c r="Q16" s="2920"/>
      <c r="R16" s="2923">
        <v>1</v>
      </c>
      <c r="S16" s="2923">
        <v>1</v>
      </c>
      <c r="T16" s="2923">
        <v>1</v>
      </c>
      <c r="U16" s="2923">
        <v>1</v>
      </c>
      <c r="V16" s="2923">
        <v>1</v>
      </c>
      <c r="W16" s="2923">
        <f t="shared" si="16"/>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7" t="s">
        <v>3365</v>
      </c>
    </row>
    <row r="19" spans="1:30">
      <c r="I19" s="1402" t="s">
        <v>2822</v>
      </c>
    </row>
    <row r="21" spans="1:30" s="2006" customFormat="1" ht="12.75">
      <c r="B21" s="2925" t="s">
        <v>2823</v>
      </c>
      <c r="C21" s="2926"/>
      <c r="D21" s="2926"/>
      <c r="E21" s="2926"/>
      <c r="F21" s="2926"/>
      <c r="G21" s="2926"/>
      <c r="H21" s="2926"/>
      <c r="I21" s="2926"/>
      <c r="J21" s="2892"/>
      <c r="K21" s="2926" t="s">
        <v>2824</v>
      </c>
      <c r="L21" s="2926"/>
      <c r="M21" s="2926"/>
      <c r="N21" s="2926"/>
      <c r="O21" s="2926"/>
      <c r="P21" s="2926"/>
      <c r="Q21" s="2892"/>
      <c r="R21" s="3590" t="s">
        <v>2825</v>
      </c>
      <c r="S21" s="3591"/>
      <c r="T21" s="3591"/>
      <c r="U21" s="3591"/>
      <c r="V21" s="3591"/>
      <c r="W21" s="3591"/>
      <c r="X21" s="2892"/>
      <c r="Y21" s="3590" t="s">
        <v>2826</v>
      </c>
      <c r="Z21" s="3591"/>
      <c r="AA21" s="3591"/>
      <c r="AB21" s="3591"/>
      <c r="AC21" s="3591"/>
      <c r="AD21" s="3591"/>
    </row>
    <row r="22" spans="1:30" s="2007" customFormat="1" ht="14.25" thickBot="1">
      <c r="B22" s="2877"/>
      <c r="C22" s="2878"/>
      <c r="D22" s="2008" t="s">
        <v>2827</v>
      </c>
      <c r="E22" s="2009" t="s">
        <v>2828</v>
      </c>
      <c r="F22" s="2009" t="s">
        <v>2829</v>
      </c>
      <c r="G22" s="2009" t="s">
        <v>2830</v>
      </c>
      <c r="H22" s="2009"/>
      <c r="I22" s="2009" t="s">
        <v>2831</v>
      </c>
      <c r="J22" s="2879"/>
      <c r="K22" s="2008" t="s">
        <v>2827</v>
      </c>
      <c r="L22" s="2009" t="s">
        <v>2828</v>
      </c>
      <c r="M22" s="2009" t="s">
        <v>2829</v>
      </c>
      <c r="N22" s="2009" t="s">
        <v>2830</v>
      </c>
      <c r="O22" s="2009"/>
      <c r="P22" s="2009" t="s">
        <v>2831</v>
      </c>
      <c r="Q22" s="2879"/>
      <c r="R22" s="2008" t="s">
        <v>2827</v>
      </c>
      <c r="S22" s="2009" t="s">
        <v>2828</v>
      </c>
      <c r="T22" s="2009" t="s">
        <v>2829</v>
      </c>
      <c r="U22" s="2009" t="s">
        <v>2830</v>
      </c>
      <c r="V22" s="2009"/>
      <c r="W22" s="2009" t="s">
        <v>2831</v>
      </c>
      <c r="X22" s="2879"/>
      <c r="Y22" s="2008" t="s">
        <v>2827</v>
      </c>
      <c r="Z22" s="2009" t="s">
        <v>2828</v>
      </c>
      <c r="AA22" s="2009" t="s">
        <v>2829</v>
      </c>
      <c r="AB22" s="2009" t="s">
        <v>2830</v>
      </c>
      <c r="AC22" s="2009"/>
      <c r="AD22" s="2009" t="s">
        <v>2831</v>
      </c>
    </row>
    <row r="23" spans="1:30" s="2882" customFormat="1" ht="12.75">
      <c r="A23" s="2880" t="s">
        <v>2832</v>
      </c>
      <c r="B23" s="2881"/>
      <c r="E23" s="2882">
        <f t="shared" ref="E23:G23" si="22">ROUND(AVERAGEIF(E24:E36,"&lt;&gt;0"),2)</f>
        <v>0.42</v>
      </c>
      <c r="F23" s="2882">
        <f t="shared" si="22"/>
        <v>0.32</v>
      </c>
      <c r="G23" s="2882">
        <f t="shared" si="22"/>
        <v>0.75</v>
      </c>
      <c r="I23" s="2882">
        <f>F23</f>
        <v>0.32</v>
      </c>
      <c r="J23" s="2883"/>
      <c r="K23" s="2884"/>
      <c r="L23" s="2885">
        <f t="shared" ref="L23:N23" si="23">ROUND(AVERAGEIF(L24:L36,"&lt;&gt;0"),4)</f>
        <v>4.1999999999999997E-3</v>
      </c>
      <c r="M23" s="2885">
        <f t="shared" si="23"/>
        <v>3.2000000000000002E-3</v>
      </c>
      <c r="N23" s="2885">
        <f t="shared" si="23"/>
        <v>7.4999999999999997E-3</v>
      </c>
      <c r="O23" s="2885"/>
      <c r="P23" s="2885">
        <f>M23</f>
        <v>3.2000000000000002E-3</v>
      </c>
      <c r="Q23" s="2883"/>
      <c r="R23" s="2886"/>
      <c r="S23" s="2887">
        <f>ROUND(SUMPRODUCT(PRODUCT(1+L24:L36)),4)</f>
        <v>1.0431999999999999</v>
      </c>
      <c r="T23" s="2887">
        <f t="shared" ref="T23:U23" si="24">ROUND(SUMPRODUCT(PRODUCT(1+M24:M36)),4)</f>
        <v>1.0319</v>
      </c>
      <c r="U23" s="2887">
        <f t="shared" si="24"/>
        <v>1.0771999999999999</v>
      </c>
      <c r="V23" s="2887"/>
      <c r="W23" s="2886">
        <f>T23</f>
        <v>1.0319</v>
      </c>
      <c r="X23" s="2883"/>
      <c r="Y23" s="2888"/>
      <c r="Z23" s="2889">
        <f t="shared" ref="Z23:AB23" si="25">ROUND(AVERAGEIF(Z24:Z36,"&lt;&gt;0"),4)</f>
        <v>4.3E-3</v>
      </c>
      <c r="AA23" s="2890">
        <f t="shared" si="25"/>
        <v>3.5999999999999999E-3</v>
      </c>
      <c r="AB23" s="2888">
        <f t="shared" si="25"/>
        <v>8.8999999999999999E-3</v>
      </c>
      <c r="AC23" s="2891"/>
      <c r="AD23" s="2888">
        <f>AA23</f>
        <v>3.5999999999999999E-3</v>
      </c>
    </row>
    <row r="24" spans="1:30" s="2006" customFormat="1" ht="12.75">
      <c r="B24" s="2022"/>
      <c r="J24" s="2892"/>
      <c r="K24" s="2893"/>
      <c r="L24" s="2894"/>
      <c r="M24" s="2894"/>
      <c r="N24" s="2894"/>
      <c r="O24" s="2894"/>
      <c r="P24" s="2894"/>
      <c r="Q24" s="2892"/>
      <c r="R24" s="2024"/>
      <c r="S24" s="2895"/>
      <c r="T24" s="2896"/>
      <c r="U24" s="2024"/>
      <c r="V24" s="2897"/>
      <c r="W24" s="2024"/>
      <c r="X24" s="2892"/>
      <c r="Y24" s="2025"/>
      <c r="Z24" s="2898"/>
      <c r="AA24" s="2899"/>
      <c r="AB24" s="2025"/>
      <c r="AC24" s="2900"/>
      <c r="AD24" s="2025"/>
    </row>
    <row r="25" spans="1:30" s="2042" customFormat="1" ht="12.75">
      <c r="A25" s="2901" t="s">
        <v>3367</v>
      </c>
      <c r="B25" s="2028">
        <v>2023</v>
      </c>
      <c r="C25" s="2039">
        <v>4</v>
      </c>
      <c r="D25" s="2004"/>
      <c r="E25" s="2004">
        <v>0</v>
      </c>
      <c r="F25" s="2004">
        <v>0</v>
      </c>
      <c r="G25" s="2004">
        <v>0</v>
      </c>
      <c r="H25" s="2004"/>
      <c r="I25" s="2005">
        <f t="shared" ref="I25:I36" si="26">F25</f>
        <v>0</v>
      </c>
      <c r="J25" s="2902"/>
      <c r="K25" s="2040"/>
      <c r="L25" s="2025">
        <f t="shared" ref="L25:N36" si="27">E25/100</f>
        <v>0</v>
      </c>
      <c r="M25" s="2025">
        <f t="shared" si="27"/>
        <v>0</v>
      </c>
      <c r="N25" s="2025">
        <f t="shared" si="27"/>
        <v>0</v>
      </c>
      <c r="O25" s="2025"/>
      <c r="P25" s="2025">
        <f>M25</f>
        <v>0</v>
      </c>
      <c r="Q25" s="2902"/>
      <c r="R25" s="2024"/>
      <c r="S25" s="2024">
        <f>ROUND(IF([2]项目基本情况!$B$8="出让",SUMPRODUCT(PRODUCT(1+L25:L$36)),SUMPRODUCT(PRODUCT(1+L25:L$35))),4)</f>
        <v>1.0396000000000001</v>
      </c>
      <c r="T25" s="2024">
        <f>ROUND(IF([2]项目基本情况!$B$8="出让",SUMPRODUCT(PRODUCT(1+M25:M$36)),SUMPRODUCT(PRODUCT(1+M25:M$35))),4)</f>
        <v>1.0269999999999999</v>
      </c>
      <c r="U25" s="2024">
        <f>ROUND(IF([2]项目基本情况!$B$8="出让",SUMPRODUCT(PRODUCT(1+N25:N$36)),SUMPRODUCT(PRODUCT(1+N25:N$35))),4)</f>
        <v>1.0668</v>
      </c>
      <c r="V25" s="2024"/>
      <c r="W25" s="2024">
        <f>T25</f>
        <v>1.0269999999999999</v>
      </c>
      <c r="X25" s="2902"/>
      <c r="Y25" s="2025"/>
      <c r="Z25" s="2898">
        <f>IF(E25=0,0,ROUND(AVERAGE(E25:E36)/100,4))</f>
        <v>0</v>
      </c>
      <c r="AA25" s="2898">
        <f>IF(F25=0,0,ROUND(AVERAGE(F25:F36)/100,4))</f>
        <v>0</v>
      </c>
      <c r="AB25" s="2898">
        <f>IF(G25=0,0,ROUND(AVERAGE(G25:G36)/100,4))</f>
        <v>0</v>
      </c>
      <c r="AC25" s="2900"/>
      <c r="AD25" s="2025">
        <f>IF(I25=0,0,ROUND(AVERAGE(I25:I36)/100,4))</f>
        <v>0</v>
      </c>
    </row>
    <row r="26" spans="1:30" s="2042" customFormat="1" ht="12.75">
      <c r="A26" s="2901" t="s">
        <v>3368</v>
      </c>
      <c r="B26" s="2028">
        <v>2023</v>
      </c>
      <c r="C26" s="2039">
        <v>3</v>
      </c>
      <c r="D26" s="2004"/>
      <c r="E26" s="2004">
        <v>0</v>
      </c>
      <c r="F26" s="2004">
        <v>0</v>
      </c>
      <c r="G26" s="2004">
        <v>0</v>
      </c>
      <c r="H26" s="2913"/>
      <c r="I26" s="2005">
        <f t="shared" si="26"/>
        <v>0</v>
      </c>
      <c r="J26" s="2902"/>
      <c r="K26" s="2040"/>
      <c r="L26" s="2025">
        <f t="shared" ref="L26:L28" si="28">E26/100</f>
        <v>0</v>
      </c>
      <c r="M26" s="2025">
        <f t="shared" ref="M26:M28" si="29">F26/100</f>
        <v>0</v>
      </c>
      <c r="N26" s="2025">
        <f t="shared" ref="N26:N28" si="30">G26/100</f>
        <v>0</v>
      </c>
      <c r="O26" s="2025"/>
      <c r="P26" s="2025">
        <f t="shared" ref="P26:P28" si="31">M26</f>
        <v>0</v>
      </c>
      <c r="Q26" s="2902"/>
      <c r="R26" s="2024"/>
      <c r="S26" s="2024">
        <f>ROUND(IF([2]项目基本情况!$B$8="出让",SUMPRODUCT(PRODUCT(1+L26:L$36)),SUMPRODUCT(PRODUCT(1+L26:L$35))),4)</f>
        <v>1.0396000000000001</v>
      </c>
      <c r="T26" s="2024">
        <f>ROUND(IF([2]项目基本情况!$B$8="出让",SUMPRODUCT(PRODUCT(1+M26:M$36)),SUMPRODUCT(PRODUCT(1+M26:M$35))),4)</f>
        <v>1.0269999999999999</v>
      </c>
      <c r="U26" s="2024">
        <f>ROUND(IF([2]项目基本情况!$B$8="出让",SUMPRODUCT(PRODUCT(1+N26:N$36)),SUMPRODUCT(PRODUCT(1+N26:N$35))),4)</f>
        <v>1.0668</v>
      </c>
      <c r="V26" s="2024"/>
      <c r="W26" s="2024">
        <f t="shared" ref="W26:W28" si="32">T26</f>
        <v>1.0269999999999999</v>
      </c>
      <c r="X26" s="2902"/>
      <c r="Y26" s="2025"/>
      <c r="Z26" s="2898"/>
      <c r="AA26" s="2025"/>
      <c r="AB26" s="2025"/>
      <c r="AC26" s="2900"/>
      <c r="AD26" s="2025"/>
    </row>
    <row r="27" spans="1:30" s="2912" customFormat="1" ht="12.75">
      <c r="A27" s="2903" t="s">
        <v>3370</v>
      </c>
      <c r="B27" s="2904">
        <v>2023</v>
      </c>
      <c r="C27" s="2905">
        <v>2</v>
      </c>
      <c r="D27" s="2906"/>
      <c r="E27" s="2906">
        <v>0.5</v>
      </c>
      <c r="F27" s="2906">
        <v>0.45</v>
      </c>
      <c r="G27" s="2906">
        <v>0.89</v>
      </c>
      <c r="H27" s="2907"/>
      <c r="I27" s="2908">
        <f t="shared" si="26"/>
        <v>0.45</v>
      </c>
      <c r="J27" s="2909"/>
      <c r="K27" s="2910"/>
      <c r="L27" s="2911">
        <f t="shared" si="28"/>
        <v>5.0000000000000001E-3</v>
      </c>
      <c r="M27" s="2911">
        <f t="shared" si="29"/>
        <v>4.5000000000000005E-3</v>
      </c>
      <c r="N27" s="2911">
        <f t="shared" si="30"/>
        <v>8.8999999999999999E-3</v>
      </c>
      <c r="O27" s="2911"/>
      <c r="P27" s="2911">
        <f t="shared" si="31"/>
        <v>4.5000000000000005E-3</v>
      </c>
      <c r="Q27" s="2909"/>
      <c r="R27" s="2909"/>
      <c r="S27" s="2909">
        <f>ROUND(IF([2]项目基本情况!$B$8="出让",SUMPRODUCT(PRODUCT(1+L27:L$36)),SUMPRODUCT(PRODUCT(1+L27:L$35))),4)</f>
        <v>1.0396000000000001</v>
      </c>
      <c r="T27" s="2909">
        <f>ROUND(IF([2]项目基本情况!$B$8="出让",SUMPRODUCT(PRODUCT(1+M27:M$36)),SUMPRODUCT(PRODUCT(1+M27:M$35))),4)</f>
        <v>1.0269999999999999</v>
      </c>
      <c r="U27" s="2909">
        <f>ROUND(IF([2]项目基本情况!$B$8="出让",SUMPRODUCT(PRODUCT(1+N27:N$36)),SUMPRODUCT(PRODUCT(1+N27:N$35))),4)</f>
        <v>1.0668</v>
      </c>
      <c r="V27" s="2909"/>
      <c r="W27" s="2909">
        <f t="shared" si="32"/>
        <v>1.0269999999999999</v>
      </c>
      <c r="X27" s="2909"/>
      <c r="Y27" s="2911"/>
      <c r="Z27" s="2927"/>
      <c r="AA27" s="2928"/>
      <c r="AB27" s="2911"/>
      <c r="AC27" s="2929"/>
      <c r="AD27" s="2911"/>
    </row>
    <row r="28" spans="1:30" s="2042" customFormat="1" ht="12.75">
      <c r="A28" s="2901" t="s">
        <v>3371</v>
      </c>
      <c r="B28" s="2028">
        <v>2023</v>
      </c>
      <c r="C28" s="2039">
        <v>1</v>
      </c>
      <c r="D28" s="2004"/>
      <c r="E28" s="2004">
        <v>0.55000000000000004</v>
      </c>
      <c r="F28" s="2004">
        <v>0.59</v>
      </c>
      <c r="G28" s="2004">
        <v>0.64</v>
      </c>
      <c r="H28" s="2913"/>
      <c r="I28" s="2005">
        <f t="shared" si="26"/>
        <v>0.59</v>
      </c>
      <c r="J28" s="2902"/>
      <c r="K28" s="2040"/>
      <c r="L28" s="2025">
        <f t="shared" si="28"/>
        <v>5.5000000000000005E-3</v>
      </c>
      <c r="M28" s="2025">
        <f t="shared" si="29"/>
        <v>5.8999999999999999E-3</v>
      </c>
      <c r="N28" s="2025">
        <f t="shared" si="30"/>
        <v>6.4000000000000003E-3</v>
      </c>
      <c r="O28" s="2025"/>
      <c r="P28" s="2025">
        <f t="shared" si="31"/>
        <v>5.8999999999999999E-3</v>
      </c>
      <c r="Q28" s="2902"/>
      <c r="R28" s="2024"/>
      <c r="S28" s="2024">
        <f>ROUND(IF([2]项目基本情况!$B$8="出让",SUMPRODUCT(PRODUCT(1+L28:L$36)),SUMPRODUCT(PRODUCT(1+L28:L$35))),4)</f>
        <v>1.0344</v>
      </c>
      <c r="T28" s="2024">
        <f>ROUND(IF([2]项目基本情况!$B$8="出让",SUMPRODUCT(PRODUCT(1+M28:M$36)),SUMPRODUCT(PRODUCT(1+M28:M$35))),4)</f>
        <v>1.0224</v>
      </c>
      <c r="U28" s="2024">
        <f>ROUND(IF([2]项目基本情况!$B$8="出让",SUMPRODUCT(PRODUCT(1+N28:N$36)),SUMPRODUCT(PRODUCT(1+N28:N$35))),4)</f>
        <v>1.0573999999999999</v>
      </c>
      <c r="V28" s="2024"/>
      <c r="W28" s="2024">
        <f t="shared" si="32"/>
        <v>1.0224</v>
      </c>
      <c r="X28" s="2902"/>
      <c r="Y28" s="2025"/>
      <c r="Z28" s="2898"/>
      <c r="AA28" s="2899"/>
      <c r="AB28" s="2025"/>
      <c r="AC28" s="2900"/>
      <c r="AD28" s="2025"/>
    </row>
    <row r="29" spans="1:30" s="2042" customFormat="1" ht="12.75">
      <c r="A29" s="2901" t="s">
        <v>3369</v>
      </c>
      <c r="B29" s="2028">
        <v>2022</v>
      </c>
      <c r="C29" s="2039">
        <v>4</v>
      </c>
      <c r="D29" s="2004"/>
      <c r="E29" s="2004">
        <v>0.45</v>
      </c>
      <c r="F29" s="2004">
        <v>0.2</v>
      </c>
      <c r="G29" s="2004">
        <v>0.38</v>
      </c>
      <c r="H29" s="2913"/>
      <c r="I29" s="2005">
        <f t="shared" si="26"/>
        <v>0.2</v>
      </c>
      <c r="J29" s="2902"/>
      <c r="K29" s="2040"/>
      <c r="L29" s="2025">
        <f t="shared" si="27"/>
        <v>4.5000000000000005E-3</v>
      </c>
      <c r="M29" s="2025">
        <f t="shared" si="27"/>
        <v>2E-3</v>
      </c>
      <c r="N29" s="2025">
        <f t="shared" si="27"/>
        <v>3.8E-3</v>
      </c>
      <c r="O29" s="2025"/>
      <c r="P29" s="2025">
        <f t="shared" ref="P29:P36" si="33">M29</f>
        <v>2E-3</v>
      </c>
      <c r="Q29" s="2902"/>
      <c r="R29" s="2024"/>
      <c r="S29" s="2024">
        <f>ROUND(IF([2]项目基本情况!$B$8="出让",SUMPRODUCT(PRODUCT(1+L29:L$36)),SUMPRODUCT(PRODUCT(1+L29:L$35))),4)</f>
        <v>1.0286999999999999</v>
      </c>
      <c r="T29" s="2024">
        <f>ROUND(IF([2]项目基本情况!$B$8="出让",SUMPRODUCT(PRODUCT(1+M29:M$36)),SUMPRODUCT(PRODUCT(1+M29:M$35))),4)</f>
        <v>1.0164</v>
      </c>
      <c r="U29" s="2024">
        <f>ROUND(IF([2]项目基本情况!$B$8="出让",SUMPRODUCT(PRODUCT(1+N29:N$36)),SUMPRODUCT(PRODUCT(1+N29:N$35))),4)</f>
        <v>1.0506</v>
      </c>
      <c r="V29" s="2024"/>
      <c r="W29" s="2024">
        <f t="shared" ref="W29:W36" si="34">T29</f>
        <v>1.0164</v>
      </c>
      <c r="X29" s="2902"/>
      <c r="Y29" s="2025"/>
      <c r="Z29" s="2898">
        <f t="shared" ref="Z29:AD36" si="35">IF(E29=0,0,ROUND(AVERAGE(E29:E37)/100,4))</f>
        <v>4.0000000000000001E-3</v>
      </c>
      <c r="AA29" s="2899">
        <f t="shared" si="35"/>
        <v>2.5999999999999999E-3</v>
      </c>
      <c r="AB29" s="2025">
        <f t="shared" si="35"/>
        <v>7.4000000000000003E-3</v>
      </c>
      <c r="AC29" s="2900"/>
      <c r="AD29" s="2025">
        <f t="shared" si="35"/>
        <v>2.5999999999999999E-3</v>
      </c>
    </row>
    <row r="30" spans="1:30" s="2042" customFormat="1" ht="12.75">
      <c r="A30" s="2901" t="s">
        <v>3364</v>
      </c>
      <c r="B30" s="2028">
        <v>2022</v>
      </c>
      <c r="C30" s="2039">
        <v>3</v>
      </c>
      <c r="D30" s="2004"/>
      <c r="E30" s="2004">
        <v>0.3</v>
      </c>
      <c r="F30" s="2004">
        <v>0.28999999999999998</v>
      </c>
      <c r="G30" s="2004">
        <v>0.83</v>
      </c>
      <c r="H30" s="2913"/>
      <c r="I30" s="2005">
        <f t="shared" si="26"/>
        <v>0.28999999999999998</v>
      </c>
      <c r="J30" s="2902"/>
      <c r="K30" s="2040"/>
      <c r="L30" s="2025">
        <f t="shared" si="27"/>
        <v>3.0000000000000001E-3</v>
      </c>
      <c r="M30" s="2025">
        <f t="shared" si="27"/>
        <v>2.8999999999999998E-3</v>
      </c>
      <c r="N30" s="2025">
        <f t="shared" si="27"/>
        <v>8.3000000000000001E-3</v>
      </c>
      <c r="O30" s="2025"/>
      <c r="P30" s="2025">
        <f t="shared" si="33"/>
        <v>2.8999999999999998E-3</v>
      </c>
      <c r="Q30" s="2902"/>
      <c r="R30" s="2024"/>
      <c r="S30" s="2024">
        <f>ROUND(IF([2]项目基本情况!$B$8="出让",SUMPRODUCT(PRODUCT(1+L30:L$36)),SUMPRODUCT(PRODUCT(1+L30:L$35))),4)</f>
        <v>1.0241</v>
      </c>
      <c r="T30" s="2024">
        <f>ROUND(IF([2]项目基本情况!$B$8="出让",SUMPRODUCT(PRODUCT(1+M30:M$36)),SUMPRODUCT(PRODUCT(1+M30:M$35))),4)</f>
        <v>1.0144</v>
      </c>
      <c r="U30" s="2024">
        <f>ROUND(IF([2]项目基本情况!$B$8="出让",SUMPRODUCT(PRODUCT(1+N30:N$36)),SUMPRODUCT(PRODUCT(1+N30:N$35))),4)</f>
        <v>1.0467</v>
      </c>
      <c r="V30" s="2024"/>
      <c r="W30" s="2024">
        <f t="shared" si="34"/>
        <v>1.0144</v>
      </c>
      <c r="X30" s="2902"/>
      <c r="Y30" s="2025"/>
      <c r="Z30" s="2898">
        <f t="shared" si="35"/>
        <v>3.8999999999999998E-3</v>
      </c>
      <c r="AA30" s="2899">
        <f t="shared" si="35"/>
        <v>2.7000000000000001E-3</v>
      </c>
      <c r="AB30" s="2025">
        <f t="shared" si="35"/>
        <v>7.9000000000000008E-3</v>
      </c>
      <c r="AC30" s="2900"/>
      <c r="AD30" s="2025">
        <f t="shared" si="35"/>
        <v>2.7000000000000001E-3</v>
      </c>
    </row>
    <row r="31" spans="1:30" s="2042" customFormat="1" ht="12.75">
      <c r="A31" s="2901" t="s">
        <v>3354</v>
      </c>
      <c r="B31" s="2028">
        <v>2022</v>
      </c>
      <c r="C31" s="2039">
        <v>2</v>
      </c>
      <c r="D31" s="2004"/>
      <c r="E31" s="2004">
        <v>-0.11</v>
      </c>
      <c r="F31" s="2004">
        <v>-0.13</v>
      </c>
      <c r="G31" s="2004">
        <v>0.53</v>
      </c>
      <c r="H31" s="2913"/>
      <c r="I31" s="2005">
        <f t="shared" si="26"/>
        <v>-0.13</v>
      </c>
      <c r="J31" s="2902"/>
      <c r="K31" s="2040"/>
      <c r="L31" s="2025">
        <f t="shared" si="27"/>
        <v>-1.1000000000000001E-3</v>
      </c>
      <c r="M31" s="2025">
        <f t="shared" si="27"/>
        <v>-1.2999999999999999E-3</v>
      </c>
      <c r="N31" s="2025">
        <f t="shared" si="27"/>
        <v>5.3E-3</v>
      </c>
      <c r="O31" s="2025"/>
      <c r="P31" s="2025">
        <f t="shared" si="33"/>
        <v>-1.2999999999999999E-3</v>
      </c>
      <c r="Q31" s="2902"/>
      <c r="R31" s="2024"/>
      <c r="S31" s="2024">
        <f>ROUND(IF([2]项目基本情况!$B$8="出让",SUMPRODUCT(PRODUCT(1+L31:L$36)),SUMPRODUCT(PRODUCT(1+L31:L$35))),4)</f>
        <v>1.0210999999999999</v>
      </c>
      <c r="T31" s="2024">
        <f>ROUND(IF([2]项目基本情况!$B$8="出让",SUMPRODUCT(PRODUCT(1+M31:M$36)),SUMPRODUCT(PRODUCT(1+M31:M$35))),4)</f>
        <v>1.0114000000000001</v>
      </c>
      <c r="U31" s="2024">
        <f>ROUND(IF([2]项目基本情况!$B$8="出让",SUMPRODUCT(PRODUCT(1+N31:N$36)),SUMPRODUCT(PRODUCT(1+N31:N$35))),4)</f>
        <v>1.0381</v>
      </c>
      <c r="V31" s="2024"/>
      <c r="W31" s="2024">
        <f t="shared" si="34"/>
        <v>1.0114000000000001</v>
      </c>
      <c r="X31" s="2902"/>
      <c r="Y31" s="2025"/>
      <c r="Z31" s="2898">
        <f t="shared" si="35"/>
        <v>4.1000000000000003E-3</v>
      </c>
      <c r="AA31" s="2899">
        <f t="shared" si="35"/>
        <v>2.7000000000000001E-3</v>
      </c>
      <c r="AB31" s="2025">
        <f t="shared" si="35"/>
        <v>7.9000000000000008E-3</v>
      </c>
      <c r="AC31" s="2900"/>
      <c r="AD31" s="2025">
        <f t="shared" si="35"/>
        <v>2.7000000000000001E-3</v>
      </c>
    </row>
    <row r="32" spans="1:30" s="2042" customFormat="1" ht="12.75">
      <c r="A32" s="2901" t="s">
        <v>2833</v>
      </c>
      <c r="B32" s="2028">
        <v>2022</v>
      </c>
      <c r="C32" s="2039">
        <v>1</v>
      </c>
      <c r="D32" s="2004"/>
      <c r="E32" s="2004">
        <v>0.6</v>
      </c>
      <c r="F32" s="2004">
        <v>0.45</v>
      </c>
      <c r="G32" s="2004">
        <v>0.53</v>
      </c>
      <c r="H32" s="2913"/>
      <c r="I32" s="2005">
        <f t="shared" si="26"/>
        <v>0.45</v>
      </c>
      <c r="J32" s="2902"/>
      <c r="K32" s="2040"/>
      <c r="L32" s="2025">
        <f t="shared" si="27"/>
        <v>6.0000000000000001E-3</v>
      </c>
      <c r="M32" s="2025">
        <f t="shared" si="27"/>
        <v>4.5000000000000005E-3</v>
      </c>
      <c r="N32" s="2025">
        <f t="shared" si="27"/>
        <v>5.3E-3</v>
      </c>
      <c r="O32" s="2025"/>
      <c r="P32" s="2025">
        <f t="shared" si="33"/>
        <v>4.5000000000000005E-3</v>
      </c>
      <c r="Q32" s="2902"/>
      <c r="R32" s="2024"/>
      <c r="S32" s="2024">
        <f>ROUND(IF([2]项目基本情况!$B$8="出让",SUMPRODUCT(PRODUCT(1+L32:L$36)),SUMPRODUCT(PRODUCT(1+L32:L$35))),4)</f>
        <v>1.0222</v>
      </c>
      <c r="T32" s="2024">
        <f>ROUND(IF([2]项目基本情况!$B$8="出让",SUMPRODUCT(PRODUCT(1+M32:M$36)),SUMPRODUCT(PRODUCT(1+M32:M$35))),4)</f>
        <v>1.0127999999999999</v>
      </c>
      <c r="U32" s="2024">
        <f>ROUND(IF([2]项目基本情况!$B$8="出让",SUMPRODUCT(PRODUCT(1+N32:N$36)),SUMPRODUCT(PRODUCT(1+N32:N$35))),4)</f>
        <v>1.0326</v>
      </c>
      <c r="V32" s="2024"/>
      <c r="W32" s="2024">
        <f t="shared" si="34"/>
        <v>1.0127999999999999</v>
      </c>
      <c r="X32" s="2902"/>
      <c r="Y32" s="2025"/>
      <c r="Z32" s="2898">
        <f t="shared" si="35"/>
        <v>5.1000000000000004E-3</v>
      </c>
      <c r="AA32" s="2899">
        <f t="shared" si="35"/>
        <v>3.5000000000000001E-3</v>
      </c>
      <c r="AB32" s="2025">
        <f t="shared" si="35"/>
        <v>8.3999999999999995E-3</v>
      </c>
      <c r="AC32" s="2900"/>
      <c r="AD32" s="2025">
        <f t="shared" si="35"/>
        <v>3.5000000000000001E-3</v>
      </c>
    </row>
    <row r="33" spans="1:30" s="2042" customFormat="1" ht="12.75">
      <c r="A33" s="2901" t="s">
        <v>2834</v>
      </c>
      <c r="B33" s="2028">
        <v>2021</v>
      </c>
      <c r="C33" s="2039">
        <v>4</v>
      </c>
      <c r="D33" s="2004"/>
      <c r="E33" s="2004">
        <v>0.57999999999999996</v>
      </c>
      <c r="F33" s="2004">
        <v>0.08</v>
      </c>
      <c r="G33" s="2004">
        <v>0.68</v>
      </c>
      <c r="H33" s="2913"/>
      <c r="I33" s="2005">
        <f t="shared" si="26"/>
        <v>0.08</v>
      </c>
      <c r="J33" s="2902"/>
      <c r="K33" s="2040"/>
      <c r="L33" s="2025">
        <f t="shared" si="27"/>
        <v>5.7999999999999996E-3</v>
      </c>
      <c r="M33" s="2025">
        <f t="shared" si="27"/>
        <v>8.0000000000000004E-4</v>
      </c>
      <c r="N33" s="2025">
        <f t="shared" si="27"/>
        <v>6.8000000000000005E-3</v>
      </c>
      <c r="O33" s="2025"/>
      <c r="P33" s="2025">
        <f t="shared" si="33"/>
        <v>8.0000000000000004E-4</v>
      </c>
      <c r="Q33" s="2902"/>
      <c r="R33" s="2024"/>
      <c r="S33" s="2024">
        <f>ROUND(IF([2]项目基本情况!$B$8="出让",SUMPRODUCT(PRODUCT(1+L33:L$36)),SUMPRODUCT(PRODUCT(1+L33:L$35))),4)</f>
        <v>1.0161</v>
      </c>
      <c r="T33" s="2024">
        <f>ROUND(IF([2]项目基本情况!$B$8="出让",SUMPRODUCT(PRODUCT(1+M33:M$36)),SUMPRODUCT(PRODUCT(1+M33:M$35))),4)</f>
        <v>1.0082</v>
      </c>
      <c r="U33" s="2024">
        <f>ROUND(IF([2]项目基本情况!$B$8="出让",SUMPRODUCT(PRODUCT(1+N33:N$36)),SUMPRODUCT(PRODUCT(1+N33:N$35))),4)</f>
        <v>1.0270999999999999</v>
      </c>
      <c r="V33" s="2024"/>
      <c r="W33" s="2024">
        <f t="shared" si="34"/>
        <v>1.0082</v>
      </c>
      <c r="X33" s="2902"/>
      <c r="Y33" s="2025"/>
      <c r="Z33" s="2898">
        <f t="shared" si="35"/>
        <v>4.8999999999999998E-3</v>
      </c>
      <c r="AA33" s="2899">
        <f t="shared" si="35"/>
        <v>3.3E-3</v>
      </c>
      <c r="AB33" s="2025">
        <f t="shared" si="35"/>
        <v>9.1999999999999998E-3</v>
      </c>
      <c r="AC33" s="2900"/>
      <c r="AD33" s="2025">
        <f t="shared" si="35"/>
        <v>3.3E-3</v>
      </c>
    </row>
    <row r="34" spans="1:30" s="2042" customFormat="1" ht="12.75">
      <c r="A34" s="2901" t="s">
        <v>2835</v>
      </c>
      <c r="B34" s="2028">
        <v>2021</v>
      </c>
      <c r="C34" s="2039">
        <v>3</v>
      </c>
      <c r="D34" s="2004"/>
      <c r="E34" s="2004">
        <v>0.47</v>
      </c>
      <c r="F34" s="2004">
        <v>0.28000000000000003</v>
      </c>
      <c r="G34" s="2004">
        <v>0.91</v>
      </c>
      <c r="H34" s="2913"/>
      <c r="I34" s="2005">
        <f t="shared" si="26"/>
        <v>0.28000000000000003</v>
      </c>
      <c r="J34" s="2902"/>
      <c r="K34" s="2040"/>
      <c r="L34" s="2025">
        <f t="shared" si="27"/>
        <v>4.6999999999999993E-3</v>
      </c>
      <c r="M34" s="2025">
        <f t="shared" si="27"/>
        <v>2.8000000000000004E-3</v>
      </c>
      <c r="N34" s="2025">
        <f t="shared" si="27"/>
        <v>9.1000000000000004E-3</v>
      </c>
      <c r="O34" s="2025"/>
      <c r="P34" s="2025">
        <f t="shared" si="33"/>
        <v>2.8000000000000004E-3</v>
      </c>
      <c r="Q34" s="2902"/>
      <c r="R34" s="2024"/>
      <c r="S34" s="2024">
        <f>ROUND(IF([2]项目基本情况!$B$8="出让",SUMPRODUCT(PRODUCT(1+L34:L$36)),SUMPRODUCT(PRODUCT(1+L34:L$35))),4)</f>
        <v>1.0102</v>
      </c>
      <c r="T34" s="2024">
        <f>ROUND(IF([2]项目基本情况!$B$8="出让",SUMPRODUCT(PRODUCT(1+M34:M$36)),SUMPRODUCT(PRODUCT(1+M34:M$35))),4)</f>
        <v>1.0074000000000001</v>
      </c>
      <c r="U34" s="2024">
        <f>ROUND(IF([2]项目基本情况!$B$8="出让",SUMPRODUCT(PRODUCT(1+N34:N$36)),SUMPRODUCT(PRODUCT(1+N34:N$35))),4)</f>
        <v>1.0202</v>
      </c>
      <c r="V34" s="2024"/>
      <c r="W34" s="2024">
        <f t="shared" si="34"/>
        <v>1.0074000000000001</v>
      </c>
      <c r="X34" s="2902"/>
      <c r="Y34" s="2025"/>
      <c r="Z34" s="2898">
        <f t="shared" si="35"/>
        <v>4.5999999999999999E-3</v>
      </c>
      <c r="AA34" s="2899">
        <f t="shared" si="35"/>
        <v>4.1000000000000003E-3</v>
      </c>
      <c r="AB34" s="2025">
        <f t="shared" si="35"/>
        <v>0.01</v>
      </c>
      <c r="AC34" s="2900"/>
      <c r="AD34" s="2025">
        <f t="shared" si="35"/>
        <v>4.1000000000000003E-3</v>
      </c>
    </row>
    <row r="35" spans="1:30" s="2042" customFormat="1" ht="12.75">
      <c r="A35" s="2901" t="s">
        <v>2836</v>
      </c>
      <c r="B35" s="2028">
        <v>2021</v>
      </c>
      <c r="C35" s="2039">
        <v>2</v>
      </c>
      <c r="D35" s="2004"/>
      <c r="E35" s="2004">
        <v>0.55000000000000004</v>
      </c>
      <c r="F35" s="2004">
        <v>0.46</v>
      </c>
      <c r="G35" s="2004">
        <v>1.1000000000000001</v>
      </c>
      <c r="H35" s="2913"/>
      <c r="I35" s="2005">
        <f t="shared" si="26"/>
        <v>0.46</v>
      </c>
      <c r="J35" s="2902"/>
      <c r="K35" s="2040"/>
      <c r="L35" s="2025">
        <f t="shared" si="27"/>
        <v>5.5000000000000005E-3</v>
      </c>
      <c r="M35" s="2025">
        <f t="shared" si="27"/>
        <v>4.5999999999999999E-3</v>
      </c>
      <c r="N35" s="2025">
        <f t="shared" si="27"/>
        <v>1.1000000000000001E-2</v>
      </c>
      <c r="O35" s="2025"/>
      <c r="P35" s="2025">
        <f t="shared" si="33"/>
        <v>4.5999999999999999E-3</v>
      </c>
      <c r="Q35" s="2902"/>
      <c r="R35" s="2024"/>
      <c r="S35" s="2024">
        <f>ROUND(IF([2]项目基本情况!$B$8="出让",SUMPRODUCT(PRODUCT(1+L35:L$36)),SUMPRODUCT(PRODUCT(1+L35:L$35))),4)</f>
        <v>1.0055000000000001</v>
      </c>
      <c r="T35" s="2024">
        <f>ROUND(IF([2]项目基本情况!$B$8="出让",SUMPRODUCT(PRODUCT(1+M35:M$36)),SUMPRODUCT(PRODUCT(1+M35:M$35))),4)</f>
        <v>1.0045999999999999</v>
      </c>
      <c r="U35" s="2024">
        <f>ROUND(IF([2]项目基本情况!$B$8="出让",SUMPRODUCT(PRODUCT(1+N35:N$36)),SUMPRODUCT(PRODUCT(1+N35:N$35))),4)</f>
        <v>1.0109999999999999</v>
      </c>
      <c r="V35" s="2024"/>
      <c r="W35" s="2024">
        <f t="shared" si="34"/>
        <v>1.0045999999999999</v>
      </c>
      <c r="X35" s="2902"/>
      <c r="Y35" s="2025"/>
      <c r="Z35" s="2898">
        <f t="shared" si="35"/>
        <v>4.4999999999999997E-3</v>
      </c>
      <c r="AA35" s="2899">
        <f t="shared" si="35"/>
        <v>4.7000000000000002E-3</v>
      </c>
      <c r="AB35" s="2025">
        <f t="shared" si="35"/>
        <v>1.04E-2</v>
      </c>
      <c r="AC35" s="2900"/>
      <c r="AD35" s="2025">
        <f t="shared" si="35"/>
        <v>4.7000000000000002E-3</v>
      </c>
    </row>
    <row r="36" spans="1:30" s="2924" customFormat="1" thickBot="1">
      <c r="A36" s="2914" t="s">
        <v>2821</v>
      </c>
      <c r="B36" s="2915">
        <v>2021</v>
      </c>
      <c r="C36" s="2916">
        <v>1</v>
      </c>
      <c r="D36" s="2917"/>
      <c r="E36" s="2917">
        <v>0.35</v>
      </c>
      <c r="F36" s="2917">
        <v>0.48</v>
      </c>
      <c r="G36" s="2917">
        <v>0.98</v>
      </c>
      <c r="H36" s="2918"/>
      <c r="I36" s="2919">
        <f t="shared" si="26"/>
        <v>0.48</v>
      </c>
      <c r="J36" s="2920"/>
      <c r="K36" s="2921"/>
      <c r="L36" s="2922">
        <f t="shared" si="27"/>
        <v>3.4999999999999996E-3</v>
      </c>
      <c r="M36" s="2922">
        <f>F36/100</f>
        <v>4.7999999999999996E-3</v>
      </c>
      <c r="N36" s="2922">
        <f t="shared" si="27"/>
        <v>9.7999999999999997E-3</v>
      </c>
      <c r="O36" s="2922"/>
      <c r="P36" s="2922">
        <f t="shared" si="33"/>
        <v>4.7999999999999996E-3</v>
      </c>
      <c r="Q36" s="2920"/>
      <c r="R36" s="2923"/>
      <c r="S36" s="2923">
        <v>1</v>
      </c>
      <c r="T36" s="2923">
        <v>1</v>
      </c>
      <c r="U36" s="2923">
        <v>1</v>
      </c>
      <c r="V36" s="2923"/>
      <c r="W36" s="2923">
        <f t="shared" si="34"/>
        <v>1</v>
      </c>
      <c r="X36" s="2920"/>
      <c r="Y36" s="2922"/>
      <c r="Z36" s="2930">
        <f t="shared" si="35"/>
        <v>3.5000000000000001E-3</v>
      </c>
      <c r="AA36" s="2931">
        <f t="shared" si="35"/>
        <v>4.7999999999999996E-3</v>
      </c>
      <c r="AB36" s="2922">
        <f t="shared" si="35"/>
        <v>9.7999999999999997E-3</v>
      </c>
      <c r="AC36" s="2932"/>
      <c r="AD36" s="2922">
        <f t="shared" si="35"/>
        <v>4.7999999999999996E-3</v>
      </c>
    </row>
    <row r="37" spans="1:30" ht="14.25" thickTop="1"/>
    <row r="38" spans="1:30">
      <c r="A38" s="3137"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95" t="s">
        <v>452</v>
      </c>
      <c r="C1" s="3595"/>
      <c r="D1" s="3595"/>
      <c r="E1" s="3595"/>
      <c r="F1" s="3595"/>
      <c r="G1" s="3591" t="s">
        <v>453</v>
      </c>
      <c r="H1" s="3591"/>
      <c r="I1" s="3591"/>
      <c r="J1" s="3591"/>
      <c r="K1" s="3591"/>
      <c r="L1" s="3591"/>
      <c r="N1" s="3591" t="s">
        <v>454</v>
      </c>
      <c r="O1" s="3591"/>
      <c r="P1" s="3591"/>
      <c r="Q1" s="3591"/>
      <c r="S1" s="3591" t="s">
        <v>455</v>
      </c>
      <c r="T1" s="3591"/>
      <c r="U1" s="3591"/>
      <c r="V1" s="3591"/>
      <c r="X1" s="3590" t="s">
        <v>456</v>
      </c>
      <c r="Y1" s="3591"/>
      <c r="Z1" s="3591"/>
      <c r="AA1" s="3591"/>
      <c r="AB1" s="3591"/>
      <c r="AD1" s="3590" t="s">
        <v>457</v>
      </c>
      <c r="AE1" s="3591"/>
      <c r="AF1" s="3591"/>
      <c r="AG1" s="3591"/>
      <c r="AH1" s="3591"/>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2111</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2112</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2433</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2310</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2309</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2308</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2305</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2304</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2127</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2125</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2124</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2123</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2121</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2120</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2122</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9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2118</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9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2117</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9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2110</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0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2108</v>
      </c>
      <c r="B25" s="2046">
        <v>439</v>
      </c>
      <c r="C25" s="2046">
        <v>327</v>
      </c>
      <c r="D25" s="2046">
        <f>C25</f>
        <v>327</v>
      </c>
      <c r="E25" s="2046">
        <v>627</v>
      </c>
      <c r="F25" s="2047">
        <v>283</v>
      </c>
      <c r="G25" s="359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2109</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9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9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0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9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9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9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9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9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9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9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9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9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9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9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9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9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9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9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9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9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9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9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9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9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9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9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9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9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9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9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9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9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9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9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9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9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9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9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9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9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9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9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9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9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9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9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9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9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9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9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9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9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9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9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9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9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9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9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9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9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9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9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9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45215</v>
      </c>
      <c r="D1" s="1214" t="s">
        <v>603</v>
      </c>
      <c r="E1" s="1209">
        <f>'数据-取费表'!B22</f>
        <v>0</v>
      </c>
      <c r="F1" s="1214" t="s">
        <v>604</v>
      </c>
      <c r="G1" s="1210" t="e">
        <f ca="1">INDIRECT("d"&amp;$K$1)/100</f>
        <v>#VALUE!</v>
      </c>
      <c r="H1" s="1214" t="s">
        <v>634</v>
      </c>
      <c r="I1" s="1210">
        <f ca="1">F4/100</f>
        <v>1.4999999999999999E-2</v>
      </c>
      <c r="J1" s="1215">
        <f>IF(C1&gt;C13,0,MATCH(C1,C$13:C$111,-1))+IF(SUMIF(C13:C111,C1,D13:D111)=0,13,12)</f>
        <v>13</v>
      </c>
      <c r="K1" s="1215">
        <f ca="1">MATCH(E1,C3:C7,1)+IF(SUMIF(C3:C7,E1,D3:D7)=0,2,1)</f>
        <v>2</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197" t="s">
        <v>2306</v>
      </c>
      <c r="C23" s="1204">
        <v>43697</v>
      </c>
      <c r="D23" s="2570">
        <v>4.25</v>
      </c>
      <c r="E23" s="2570">
        <v>4.25</v>
      </c>
      <c r="F23" s="2570">
        <v>4.25</v>
      </c>
      <c r="G23" s="2570">
        <v>4.25</v>
      </c>
      <c r="H23" s="2570">
        <v>4.8499999999999996</v>
      </c>
      <c r="I23" s="2570"/>
      <c r="J23" s="2570"/>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73"/>
      <c r="C24" s="2574">
        <v>42301</v>
      </c>
      <c r="D24" s="2575">
        <v>4.3499999999999996</v>
      </c>
      <c r="E24" s="2575">
        <v>4.3499999999999996</v>
      </c>
      <c r="F24" s="2575">
        <v>4.75</v>
      </c>
      <c r="G24" s="2575">
        <v>4.75</v>
      </c>
      <c r="H24" s="2575">
        <v>4.9000000000000004</v>
      </c>
      <c r="I24" s="2575"/>
      <c r="J24" s="2575"/>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42" t="str">
        <f>IF(项目基本情况!B9="房地产市场价值","估价结果一览表","结果表-2")</f>
        <v>估价结果一览表</v>
      </c>
      <c r="B1" s="3242"/>
      <c r="C1" s="3242"/>
      <c r="D1" s="3242"/>
      <c r="E1" s="3242"/>
      <c r="F1" s="3242"/>
      <c r="G1" s="3242"/>
      <c r="H1" s="3242"/>
      <c r="I1" s="3242"/>
    </row>
    <row r="2" spans="1:9" ht="30" customHeight="1" thickTop="1">
      <c r="A2" s="3243" t="s">
        <v>928</v>
      </c>
      <c r="B2" s="3243" t="s">
        <v>929</v>
      </c>
      <c r="C2" s="3243" t="s">
        <v>930</v>
      </c>
      <c r="D2" s="3243" t="str">
        <f>结果表!D116</f>
        <v>出让国有建设用地使用权价值</v>
      </c>
      <c r="E2" s="3243"/>
      <c r="F2" s="3243" t="str">
        <f>结果表!F116</f>
        <v>在建建筑物价值</v>
      </c>
      <c r="G2" s="3243"/>
      <c r="H2" s="3243" t="str">
        <f>IF(项目基本情况!B9="房地产市场价值","房地产市场价值","房地产价值")</f>
        <v>房地产市场价值</v>
      </c>
      <c r="I2" s="3243"/>
    </row>
    <row r="3" spans="1:9" ht="15">
      <c r="A3" s="3238"/>
      <c r="B3" s="3238"/>
      <c r="C3" s="3238"/>
      <c r="D3" s="797" t="s">
        <v>925</v>
      </c>
      <c r="E3" s="797" t="s">
        <v>931</v>
      </c>
      <c r="F3" s="797" t="s">
        <v>925</v>
      </c>
      <c r="G3" s="797" t="s">
        <v>926</v>
      </c>
      <c r="H3" s="797" t="s">
        <v>925</v>
      </c>
      <c r="I3" s="797" t="s">
        <v>926</v>
      </c>
    </row>
    <row r="4" spans="1:9" ht="15">
      <c r="A4" s="1400" t="str">
        <f>项目基本情况!S2</f>
        <v>北京市房地产</v>
      </c>
      <c r="B4" s="797">
        <f>项目基本情况!C17</f>
        <v>0</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38" t="s">
        <v>927</v>
      </c>
      <c r="B5" s="3238"/>
      <c r="C5" s="3238"/>
      <c r="D5" s="3238" t="e">
        <f ca="1">结果表!D119</f>
        <v>#REF!</v>
      </c>
      <c r="E5" s="3238"/>
      <c r="F5" s="3238" t="e">
        <f ca="1">结果表!F119</f>
        <v>#REF!</v>
      </c>
      <c r="G5" s="3238"/>
      <c r="H5" s="3238" t="e">
        <f ca="1">结果表!H119</f>
        <v>#REF!</v>
      </c>
      <c r="I5" s="3238"/>
    </row>
    <row r="6" spans="1:9" ht="15.75">
      <c r="A6" s="3237" t="str">
        <f>结果表!A120</f>
        <v/>
      </c>
      <c r="B6" s="3237"/>
      <c r="C6" s="3237"/>
      <c r="D6" s="3237">
        <f>结果表!D120</f>
        <v>0</v>
      </c>
      <c r="E6" s="3237"/>
      <c r="F6" s="3237"/>
      <c r="G6" s="3237"/>
      <c r="H6" s="3237"/>
      <c r="I6" s="3237"/>
    </row>
    <row r="7" spans="1:9" ht="15">
      <c r="A7" s="3238" t="s">
        <v>927</v>
      </c>
      <c r="B7" s="3238"/>
      <c r="C7" s="3238"/>
      <c r="D7" s="3239" t="str">
        <f>结果表!D121</f>
        <v>零元整</v>
      </c>
      <c r="E7" s="3240"/>
      <c r="F7" s="3240"/>
      <c r="G7" s="3240"/>
      <c r="H7" s="3240"/>
      <c r="I7" s="3241"/>
    </row>
    <row r="8" spans="1:9" ht="15.75">
      <c r="A8" s="3237" t="str">
        <f>结果表!A122</f>
        <v/>
      </c>
      <c r="B8" s="3237"/>
      <c r="C8" s="3237"/>
      <c r="D8" s="3237" t="e">
        <f ca="1">结果表!D122</f>
        <v>#REF!</v>
      </c>
      <c r="E8" s="3237"/>
      <c r="F8" s="3237"/>
      <c r="G8" s="3237"/>
      <c r="H8" s="3237"/>
      <c r="I8" s="3237"/>
    </row>
    <row r="9" spans="1:9" ht="15">
      <c r="A9" s="3238" t="s">
        <v>927</v>
      </c>
      <c r="B9" s="3238"/>
      <c r="C9" s="3238"/>
      <c r="D9" s="3238" t="e">
        <f ca="1">结果表!D123</f>
        <v>#REF!</v>
      </c>
      <c r="E9" s="3238"/>
      <c r="F9" s="3238"/>
      <c r="G9" s="3238"/>
      <c r="H9" s="3238"/>
      <c r="I9" s="3238"/>
    </row>
    <row r="10" spans="1:9" ht="15.75">
      <c r="A10" s="3237" t="str">
        <f>结果表!A124</f>
        <v/>
      </c>
      <c r="B10" s="3237"/>
      <c r="C10" s="3237"/>
      <c r="D10" s="3237" t="str">
        <f>结果表!D124</f>
        <v>——</v>
      </c>
      <c r="E10" s="3237"/>
      <c r="F10" s="3237"/>
      <c r="G10" s="3237"/>
      <c r="H10" s="3237"/>
      <c r="I10" s="3237"/>
    </row>
    <row r="11" spans="1:9" ht="15">
      <c r="A11" s="3238" t="s">
        <v>927</v>
      </c>
      <c r="B11" s="3238"/>
      <c r="C11" s="3238"/>
      <c r="D11" s="3238" t="e">
        <f>结果表!D125</f>
        <v>#VALUE!</v>
      </c>
      <c r="E11" s="3238"/>
      <c r="F11" s="3238"/>
      <c r="G11" s="3238"/>
      <c r="H11" s="3238"/>
      <c r="I11" s="3238"/>
    </row>
    <row r="12" spans="1:9" ht="15.75">
      <c r="A12" s="3237" t="str">
        <f>结果表!A126</f>
        <v/>
      </c>
      <c r="B12" s="3237"/>
      <c r="C12" s="3237"/>
      <c r="D12" s="3237" t="str">
        <f>结果表!D126</f>
        <v>——</v>
      </c>
      <c r="E12" s="3237"/>
      <c r="F12" s="3237"/>
      <c r="G12" s="3237"/>
      <c r="H12" s="3237"/>
      <c r="I12" s="3237"/>
    </row>
    <row r="13" spans="1:9" ht="15.75" thickBot="1">
      <c r="A13" s="3235" t="s">
        <v>927</v>
      </c>
      <c r="B13" s="3235"/>
      <c r="C13" s="3235"/>
      <c r="D13" s="3235" t="e">
        <f>结果表!D127</f>
        <v>#VALUE!</v>
      </c>
      <c r="E13" s="3235"/>
      <c r="F13" s="3235"/>
      <c r="G13" s="3235"/>
      <c r="H13" s="3235"/>
      <c r="I13" s="3235"/>
    </row>
    <row r="14" spans="1:9" ht="15" thickTop="1">
      <c r="A14" s="3236" t="s">
        <v>932</v>
      </c>
      <c r="B14" s="3236"/>
      <c r="C14" s="3236"/>
      <c r="D14" s="3236"/>
      <c r="E14" s="3236"/>
      <c r="F14" s="3236"/>
      <c r="G14" s="3236"/>
      <c r="H14" s="3236"/>
      <c r="I14" s="3236"/>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50" t="s">
        <v>949</v>
      </c>
      <c r="B1" s="3250"/>
      <c r="C1" s="3250"/>
      <c r="D1" s="3250"/>
    </row>
    <row r="2" spans="1:4" ht="18">
      <c r="A2" s="3251" t="s">
        <v>933</v>
      </c>
      <c r="B2" s="3251"/>
      <c r="C2" s="3251"/>
      <c r="D2" s="3251"/>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吴薇</v>
      </c>
      <c r="B5" s="1406">
        <f ca="1">项目基本情况!E4</f>
        <v>1419970001</v>
      </c>
      <c r="C5" s="1409"/>
      <c r="D5" s="1408" t="s">
        <v>938</v>
      </c>
    </row>
    <row r="6" spans="1:4" ht="18">
      <c r="A6" s="3251" t="s">
        <v>939</v>
      </c>
      <c r="B6" s="3251"/>
      <c r="C6" s="3251"/>
      <c r="D6" s="325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52" t="s">
        <v>942</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4" t="str">
        <f>IF(项目基本情况!B8="抵押","4.本次评估估价师所知悉的法定优先受偿款情况说明如下：","——")</f>
        <v>4.本次评估估价师所知悉的法定优先受偿款情况说明如下：</v>
      </c>
      <c r="B14" s="3249"/>
      <c r="C14" s="3249"/>
      <c r="D14" s="3249"/>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6" t="s">
        <v>943</v>
      </c>
      <c r="B16" s="3246"/>
      <c r="C16" s="3246"/>
      <c r="D16" s="3246"/>
    </row>
    <row r="17" spans="1:4" ht="144" customHeight="1">
      <c r="A17" s="3246" t="s">
        <v>944</v>
      </c>
      <c r="B17" s="3246"/>
      <c r="C17" s="3246"/>
      <c r="D17" s="3246"/>
    </row>
    <row r="18" spans="1:4" ht="15.75" customHeight="1">
      <c r="A18" s="3244" t="str">
        <f>IF(项目基本情况!B8="抵押",结果表!K120,"——")</f>
        <v>故，本次评估不存在</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spans="1:4" ht="57.75" customHeight="1">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spans="1:4" ht="18.75" customHeight="1">
      <c r="A22" s="3248" t="s">
        <v>945</v>
      </c>
      <c r="B22" s="3248"/>
      <c r="C22" s="3248"/>
      <c r="D22" s="3248"/>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45">
        <v>42551</v>
      </c>
      <c r="D31" s="32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8" t="s">
        <v>956</v>
      </c>
      <c r="B15" s="3253" t="s">
        <v>109</v>
      </c>
      <c r="C15" s="3254"/>
    </row>
    <row r="16" spans="1:7" ht="13.5">
      <c r="A16" s="3259"/>
      <c r="B16" s="3253" t="s">
        <v>42</v>
      </c>
      <c r="C16" s="3254"/>
    </row>
    <row r="17" spans="1:3" ht="13.5">
      <c r="A17" s="3259"/>
      <c r="B17" s="3256" t="s">
        <v>957</v>
      </c>
      <c r="C17" s="1426" t="s">
        <v>956</v>
      </c>
    </row>
    <row r="18" spans="1:3" ht="13.5">
      <c r="A18" s="3259"/>
      <c r="B18" s="3256"/>
      <c r="C18" s="1426" t="s">
        <v>958</v>
      </c>
    </row>
    <row r="19" spans="1:3" ht="13.5">
      <c r="A19" s="3259"/>
      <c r="B19" s="3256"/>
      <c r="C19" s="1426" t="s">
        <v>959</v>
      </c>
    </row>
    <row r="20" spans="1:3" ht="13.5">
      <c r="A20" s="3260"/>
      <c r="B20" s="3255" t="s">
        <v>960</v>
      </c>
      <c r="C20" s="3254"/>
    </row>
    <row r="21" spans="1:3" ht="13.5">
      <c r="A21" s="1427" t="s">
        <v>961</v>
      </c>
      <c r="B21" s="1428"/>
      <c r="C21" s="1429"/>
    </row>
    <row r="22" spans="1:3" ht="13.5">
      <c r="A22" s="3257" t="s">
        <v>962</v>
      </c>
      <c r="B22" s="3255" t="s">
        <v>963</v>
      </c>
      <c r="C22" s="3254"/>
    </row>
    <row r="23" spans="1:3" ht="13.5">
      <c r="A23" s="3257"/>
      <c r="B23" s="3255" t="s">
        <v>964</v>
      </c>
      <c r="C23" s="3254"/>
    </row>
    <row r="24" spans="1:3" ht="13.5">
      <c r="A24" s="3257"/>
      <c r="B24" s="3255" t="s">
        <v>965</v>
      </c>
      <c r="C24" s="3254"/>
    </row>
    <row r="25" spans="1:3" ht="13.5">
      <c r="A25" s="3257"/>
      <c r="B25" s="3256" t="s">
        <v>966</v>
      </c>
      <c r="C25" s="1426" t="s">
        <v>967</v>
      </c>
    </row>
    <row r="26" spans="1:3" ht="13.5">
      <c r="A26" s="3257"/>
      <c r="B26" s="3256"/>
      <c r="C26" s="1426" t="s">
        <v>968</v>
      </c>
    </row>
    <row r="27" spans="1:3" ht="13.5">
      <c r="A27" s="3257"/>
      <c r="B27" s="3256"/>
      <c r="C27" s="1426" t="s">
        <v>969</v>
      </c>
    </row>
    <row r="28" spans="1:3" ht="13.5">
      <c r="A28" s="3257"/>
      <c r="B28" s="3256"/>
      <c r="C28" s="1426" t="s">
        <v>970</v>
      </c>
    </row>
    <row r="29" spans="1:3" ht="13.5">
      <c r="A29" s="3257"/>
      <c r="B29" s="3256"/>
      <c r="C29" s="1426" t="s">
        <v>971</v>
      </c>
    </row>
    <row r="30" spans="1:3" ht="13.5">
      <c r="A30" s="3257"/>
      <c r="B30" s="3256"/>
      <c r="C30" s="1426" t="s">
        <v>972</v>
      </c>
    </row>
    <row r="31" spans="1:3" ht="13.5">
      <c r="A31" s="3257"/>
      <c r="B31" s="3256"/>
      <c r="C31" s="1426" t="s">
        <v>973</v>
      </c>
    </row>
    <row r="32" spans="1:3" ht="13.5">
      <c r="A32" s="3257"/>
      <c r="B32" s="3256"/>
      <c r="C32" s="1426" t="s">
        <v>974</v>
      </c>
    </row>
    <row r="33" spans="1:3" ht="13.5">
      <c r="A33" s="3257"/>
      <c r="B33" s="325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2136</v>
      </c>
      <c r="B2" s="2154">
        <f ca="1">TODAY()</f>
        <v>45246</v>
      </c>
      <c r="C2" s="2155" t="s">
        <v>2137</v>
      </c>
      <c r="D2" s="2155"/>
      <c r="E2" s="2155"/>
      <c r="F2" s="2151"/>
      <c r="G2" s="2151"/>
      <c r="H2" s="2151"/>
    </row>
    <row r="3" spans="1:8" ht="24" customHeight="1">
      <c r="A3" s="2156" t="s">
        <v>2138</v>
      </c>
      <c r="B3" s="1216" t="s">
        <v>2139</v>
      </c>
      <c r="C3" s="1216" t="s">
        <v>2140</v>
      </c>
      <c r="D3" s="2157" t="s">
        <v>2141</v>
      </c>
      <c r="E3" s="2158" t="s">
        <v>2142</v>
      </c>
      <c r="F3" s="1216" t="s">
        <v>2143</v>
      </c>
      <c r="G3" s="1216" t="s">
        <v>2140</v>
      </c>
      <c r="H3" s="2157" t="s">
        <v>2144</v>
      </c>
    </row>
    <row r="4" spans="1:8" ht="24" customHeight="1">
      <c r="A4" s="1216" t="s">
        <v>2145</v>
      </c>
      <c r="B4" s="1216">
        <f ca="1">IF(C4&lt;B2,"已过期",1119970066)</f>
        <v>1119970066</v>
      </c>
      <c r="C4" s="2159">
        <v>45937</v>
      </c>
      <c r="D4" s="2160" t="str">
        <f ca="1">A4&amp;"（注册号："&amp;B4&amp;"）"</f>
        <v>梁津（注册号：1119970066）</v>
      </c>
      <c r="E4" s="2161" t="s">
        <v>2145</v>
      </c>
      <c r="F4" s="1216">
        <f ca="1">IF(G4&lt;B2,"已过期",96010014)</f>
        <v>96010014</v>
      </c>
      <c r="G4" s="2162">
        <v>47118</v>
      </c>
      <c r="H4" s="2163" t="str">
        <f ca="1">E4&amp;"（注册号："&amp;F4&amp;"）"</f>
        <v>梁津（注册号：96010014）</v>
      </c>
    </row>
    <row r="5" spans="1:8" ht="24" customHeight="1">
      <c r="A5" s="1216" t="s">
        <v>2146</v>
      </c>
      <c r="B5" s="1216">
        <f ca="1">IF(C5&lt;B2,"已过期",1119970111)</f>
        <v>1119970111</v>
      </c>
      <c r="C5" s="2159">
        <v>45937</v>
      </c>
      <c r="D5" s="2160" t="str">
        <f t="shared" ref="D5:D15" ca="1" si="0">A5&amp;"（注册号："&amp;B5&amp;"）"</f>
        <v>叶凌（注册号：1119970111）</v>
      </c>
      <c r="E5" s="2161" t="s">
        <v>2146</v>
      </c>
      <c r="F5" s="1216">
        <f ca="1">IF(G5&lt;B2,"已过期",94010078)</f>
        <v>94010078</v>
      </c>
      <c r="G5" s="2162">
        <v>46387</v>
      </c>
      <c r="H5" s="2163" t="str">
        <f t="shared" ref="H5:H16" ca="1" si="1">E5&amp;"（注册号："&amp;F5&amp;"）"</f>
        <v>叶凌（注册号：94010078）</v>
      </c>
    </row>
    <row r="6" spans="1:8" ht="24" customHeight="1">
      <c r="A6" s="1216" t="s">
        <v>2147</v>
      </c>
      <c r="B6" s="1216">
        <f ca="1">IF(C6&lt;B2,"已过期",1120050019)</f>
        <v>1120050019</v>
      </c>
      <c r="C6" s="2159">
        <v>45410</v>
      </c>
      <c r="D6" s="2160" t="str">
        <f t="shared" ca="1" si="0"/>
        <v>王鹏（注册号：1120050019）</v>
      </c>
      <c r="E6" s="2161" t="s">
        <v>2147</v>
      </c>
      <c r="F6" s="1216">
        <f ca="1">IF(G6&lt;B2,"已过期",2002110030)</f>
        <v>2002110030</v>
      </c>
      <c r="G6" s="2162">
        <v>46387</v>
      </c>
      <c r="H6" s="2163" t="str">
        <f t="shared" ca="1" si="1"/>
        <v>王鹏（注册号：2002110030）</v>
      </c>
    </row>
    <row r="7" spans="1:8" ht="24" customHeight="1">
      <c r="A7" s="1216" t="s">
        <v>2148</v>
      </c>
      <c r="B7" s="1216">
        <f ca="1">IF(C7&lt;B2,"已过期",1120000080)</f>
        <v>1120000080</v>
      </c>
      <c r="C7" s="2159">
        <v>45937</v>
      </c>
      <c r="D7" s="2160" t="str">
        <f t="shared" ca="1" si="0"/>
        <v>欧红伟（注册号：1120000080）</v>
      </c>
      <c r="E7" s="2161" t="s">
        <v>2148</v>
      </c>
      <c r="F7" s="1216">
        <f ca="1">IF(G7&lt;B2,"已过期",2000110082)</f>
        <v>2000110082</v>
      </c>
      <c r="G7" s="2162">
        <v>46387</v>
      </c>
      <c r="H7" s="2163" t="str">
        <f t="shared" ca="1" si="1"/>
        <v>欧红伟（注册号：2000110082）</v>
      </c>
    </row>
    <row r="8" spans="1:8" ht="24" customHeight="1">
      <c r="A8" s="1216" t="s">
        <v>2149</v>
      </c>
      <c r="B8" s="1216">
        <f ca="1">IF(C8&lt;B2,"已过期",1419970001)</f>
        <v>1419970001</v>
      </c>
      <c r="C8" s="2159">
        <v>45937</v>
      </c>
      <c r="D8" s="2160" t="str">
        <f t="shared" ca="1" si="0"/>
        <v>吴薇（注册号：1419970001）</v>
      </c>
      <c r="E8" s="2161" t="s">
        <v>2149</v>
      </c>
      <c r="F8" s="1216">
        <f ca="1">IF(G8&lt;B2,"已过期",2002110125)</f>
        <v>2002110125</v>
      </c>
      <c r="G8" s="2162">
        <v>47118</v>
      </c>
      <c r="H8" s="2163" t="str">
        <f t="shared" ca="1" si="1"/>
        <v>吴薇（注册号：2002110125）</v>
      </c>
    </row>
    <row r="9" spans="1:8" ht="24" customHeight="1">
      <c r="A9" s="1216" t="s">
        <v>2150</v>
      </c>
      <c r="B9" s="1216">
        <f ca="1">IF(C9&lt;B2,"已过期",1120060040)</f>
        <v>1120060040</v>
      </c>
      <c r="C9" s="2164">
        <v>45592</v>
      </c>
      <c r="D9" s="2160" t="str">
        <f t="shared" ca="1" si="0"/>
        <v>陈颖（注册号：1120060040）</v>
      </c>
      <c r="E9" s="2161" t="s">
        <v>2150</v>
      </c>
      <c r="F9" s="1216">
        <f ca="1">IF(G9&lt;B2,"已过期",2004110096)</f>
        <v>2004110096</v>
      </c>
      <c r="G9" s="2162">
        <v>47118</v>
      </c>
      <c r="H9" s="2163" t="str">
        <f t="shared" ca="1" si="1"/>
        <v>陈颖（注册号：2004110096）</v>
      </c>
    </row>
    <row r="10" spans="1:8" ht="24" customHeight="1">
      <c r="A10" s="1216" t="s">
        <v>2151</v>
      </c>
      <c r="B10" s="1216">
        <f ca="1">IF(C10&lt;B2,"已过期",1120100036)</f>
        <v>1120100036</v>
      </c>
      <c r="C10" s="2164">
        <v>45752</v>
      </c>
      <c r="D10" s="2160" t="str">
        <f t="shared" ca="1" si="0"/>
        <v>崔锴（注册号：1120100036）</v>
      </c>
      <c r="E10" s="2161" t="s">
        <v>2151</v>
      </c>
      <c r="F10" s="1216">
        <f ca="1">IF(G10&lt;B2,"已过期",2010110070)</f>
        <v>2010110070</v>
      </c>
      <c r="G10" s="2162">
        <v>47907</v>
      </c>
      <c r="H10" s="2163" t="str">
        <f t="shared" ca="1" si="1"/>
        <v>崔锴（注册号：2010110070）</v>
      </c>
    </row>
    <row r="11" spans="1:8" ht="24" customHeight="1">
      <c r="A11" s="1216" t="s">
        <v>2152</v>
      </c>
      <c r="B11" s="1216">
        <f ca="1">IF(C11&lt;B2,"已过期",1120070131)</f>
        <v>1120070131</v>
      </c>
      <c r="C11" s="2159">
        <v>45937</v>
      </c>
      <c r="D11" s="2160" t="str">
        <f t="shared" ca="1" si="0"/>
        <v>郑燚（注册号：1120070131）</v>
      </c>
      <c r="E11" s="2161" t="s">
        <v>2152</v>
      </c>
      <c r="F11" s="1216">
        <f ca="1">IF(G11&lt;B2,"已过期",2014110011)</f>
        <v>2014110011</v>
      </c>
      <c r="G11" s="2162">
        <v>49302</v>
      </c>
      <c r="H11" s="2163" t="str">
        <f t="shared" ca="1" si="1"/>
        <v>郑燚（注册号：2014110011）</v>
      </c>
    </row>
    <row r="12" spans="1:8" ht="24" customHeight="1">
      <c r="A12" s="1216" t="s">
        <v>2153</v>
      </c>
      <c r="B12" s="1216">
        <f ca="1">IF(C12&lt;B2,"已过期",1120040230)</f>
        <v>1120040230</v>
      </c>
      <c r="C12" s="2164">
        <v>45937</v>
      </c>
      <c r="D12" s="2160" t="str">
        <f t="shared" ca="1" si="0"/>
        <v>苏海（注册号：1120040230）</v>
      </c>
      <c r="E12" s="2161" t="s">
        <v>2153</v>
      </c>
      <c r="F12" s="1216">
        <f ca="1">IF(G12&lt;B2,"已过期",98030020)</f>
        <v>98030020</v>
      </c>
      <c r="G12" s="2162">
        <v>47118</v>
      </c>
      <c r="H12" s="2163" t="str">
        <f t="shared" ca="1" si="1"/>
        <v>苏海（注册号：98030020）</v>
      </c>
    </row>
    <row r="13" spans="1:8" ht="24" customHeight="1">
      <c r="A13" s="1216" t="s">
        <v>2154</v>
      </c>
      <c r="B13" s="1216">
        <f ca="1">IF(C13&lt;B2,"已过期",1120020033)</f>
        <v>1120020033</v>
      </c>
      <c r="C13" s="2159">
        <v>45375</v>
      </c>
      <c r="D13" s="2160" t="str">
        <f t="shared" ca="1" si="0"/>
        <v>刘敬东（注册号：1120020033）</v>
      </c>
      <c r="E13" s="2161" t="s">
        <v>2154</v>
      </c>
      <c r="F13" s="1216">
        <f ca="1">IF(G13&lt;B2,"已过期",2000110137)</f>
        <v>2000110137</v>
      </c>
      <c r="G13" s="2162">
        <v>46387</v>
      </c>
      <c r="H13" s="2163" t="str">
        <f t="shared" ca="1" si="1"/>
        <v>刘敬东（注册号：2000110137）</v>
      </c>
    </row>
    <row r="14" spans="1:8" ht="24" customHeight="1">
      <c r="A14" s="1216" t="s">
        <v>2155</v>
      </c>
      <c r="B14" s="1216" t="str">
        <f ca="1">IF(C14&lt;B2,"已过期",1119980106)</f>
        <v>已过期</v>
      </c>
      <c r="C14" s="2164">
        <v>44969</v>
      </c>
      <c r="D14" s="2160" t="str">
        <f t="shared" ca="1" si="0"/>
        <v>刘俊财（注册号：已过期）</v>
      </c>
      <c r="E14" s="2161" t="s">
        <v>2155</v>
      </c>
      <c r="F14" s="1216">
        <f ca="1">IF(G14&lt;B2,"已过期",96010063)</f>
        <v>96010063</v>
      </c>
      <c r="G14" s="2162">
        <v>47483</v>
      </c>
      <c r="H14" s="2163" t="str">
        <f t="shared" ca="1" si="1"/>
        <v>刘俊财（注册号：96010063）</v>
      </c>
    </row>
    <row r="15" spans="1:8" ht="24" customHeight="1">
      <c r="A15" s="1216" t="s">
        <v>2434</v>
      </c>
      <c r="B15" s="1216">
        <v>1120210056</v>
      </c>
      <c r="C15" s="2164">
        <v>45410</v>
      </c>
      <c r="D15" s="2160" t="str">
        <f t="shared" si="0"/>
        <v>宁小鳗（注册号：1120210056）</v>
      </c>
      <c r="E15" s="2161" t="s">
        <v>2156</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61" t="s">
        <v>2157</v>
      </c>
      <c r="B17" s="3261"/>
      <c r="C17" s="3261"/>
      <c r="D17" s="3261"/>
      <c r="E17" s="3261"/>
      <c r="F17" s="3261"/>
      <c r="G17" s="3261"/>
      <c r="H17" s="3261"/>
    </row>
    <row r="18" spans="1:8" ht="24" customHeight="1">
      <c r="A18" s="3262" t="s">
        <v>2158</v>
      </c>
      <c r="B18" s="3262"/>
      <c r="C18" s="3262"/>
      <c r="D18" s="2157"/>
      <c r="E18" s="3263" t="s">
        <v>2159</v>
      </c>
      <c r="F18" s="3262"/>
      <c r="G18" s="3262"/>
    </row>
    <row r="19" spans="1:8" s="2167" customFormat="1" ht="24" customHeight="1">
      <c r="A19" s="2166" t="s">
        <v>2160</v>
      </c>
      <c r="B19" s="1216" t="s">
        <v>2161</v>
      </c>
      <c r="C19" s="1216" t="s">
        <v>2140</v>
      </c>
      <c r="D19" s="2157"/>
      <c r="E19" s="2161" t="s">
        <v>2160</v>
      </c>
      <c r="F19" s="1216" t="s">
        <v>2161</v>
      </c>
      <c r="G19" s="1216" t="s">
        <v>2140</v>
      </c>
    </row>
    <row r="20" spans="1:8" s="2167" customFormat="1" ht="24" customHeight="1">
      <c r="A20" s="2168" t="s">
        <v>2162</v>
      </c>
      <c r="B20" s="2168" t="s">
        <v>2163</v>
      </c>
      <c r="C20" s="2162">
        <v>45898</v>
      </c>
      <c r="D20" s="2169"/>
      <c r="E20" s="2170" t="s">
        <v>2164</v>
      </c>
      <c r="F20" s="2173" t="s">
        <v>2435</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3" priority="53">
      <formula>AND($C4-TODAY()&lt;30,TODAY()&lt;$C4)</formula>
    </cfRule>
  </conditionalFormatting>
  <conditionalFormatting sqref="C20:D20">
    <cfRule type="expression" dxfId="192" priority="52">
      <formula>AND($C20-TODAY()&lt;30,TODAY()&lt;$C20)</formula>
    </cfRule>
  </conditionalFormatting>
  <conditionalFormatting sqref="C20:D20 G4 C4:D5 C13:D13">
    <cfRule type="cellIs" dxfId="191" priority="54" stopIfTrue="1" operator="lessThan">
      <formula>$B$2</formula>
    </cfRule>
  </conditionalFormatting>
  <conditionalFormatting sqref="G5 G7 G9">
    <cfRule type="cellIs" dxfId="190" priority="51" stopIfTrue="1" operator="lessThan">
      <formula>$B$2</formula>
    </cfRule>
  </conditionalFormatting>
  <conditionalFormatting sqref="C6:D6 D14 D16">
    <cfRule type="expression" dxfId="189" priority="49">
      <formula>AND($C6-TODAY()&lt;30,TODAY()&lt;$C6)</formula>
    </cfRule>
  </conditionalFormatting>
  <conditionalFormatting sqref="G6 G8 G10 C6:D6 D7:D12 D14 D16">
    <cfRule type="cellIs" dxfId="188" priority="50" stopIfTrue="1" operator="lessThan">
      <formula>$B$2</formula>
    </cfRule>
  </conditionalFormatting>
  <conditionalFormatting sqref="D12">
    <cfRule type="expression" dxfId="187" priority="47">
      <formula>AND($C12-TODAY()&lt;30,TODAY()&lt;$C12)</formula>
    </cfRule>
  </conditionalFormatting>
  <conditionalFormatting sqref="D12">
    <cfRule type="cellIs" dxfId="186" priority="48" stopIfTrue="1" operator="lessThan">
      <formula>$B$2</formula>
    </cfRule>
  </conditionalFormatting>
  <conditionalFormatting sqref="C13:D13">
    <cfRule type="expression" dxfId="185" priority="45">
      <formula>AND($C13-TODAY()&lt;30,TODAY()&lt;$C13)</formula>
    </cfRule>
  </conditionalFormatting>
  <conditionalFormatting sqref="C13:D13">
    <cfRule type="cellIs" dxfId="184" priority="46" stopIfTrue="1" operator="lessThan">
      <formula>$B$2</formula>
    </cfRule>
  </conditionalFormatting>
  <conditionalFormatting sqref="D14">
    <cfRule type="expression" dxfId="183" priority="43">
      <formula>AND($C14-TODAY()&lt;30,TODAY()&lt;$C14)</formula>
    </cfRule>
  </conditionalFormatting>
  <conditionalFormatting sqref="D14">
    <cfRule type="cellIs" dxfId="182" priority="44" stopIfTrue="1" operator="lessThan">
      <formula>$B$2</formula>
    </cfRule>
  </conditionalFormatting>
  <conditionalFormatting sqref="G13">
    <cfRule type="cellIs" dxfId="181" priority="42" stopIfTrue="1" operator="lessThan">
      <formula>$B$2</formula>
    </cfRule>
  </conditionalFormatting>
  <conditionalFormatting sqref="B4:B11 F4:F11 B13 F13:F14">
    <cfRule type="cellIs" dxfId="180" priority="41" stopIfTrue="1" operator="equal">
      <formula>"已过期"</formula>
    </cfRule>
  </conditionalFormatting>
  <conditionalFormatting sqref="C7">
    <cfRule type="cellIs" dxfId="179" priority="38" stopIfTrue="1" operator="lessThan">
      <formula>$B$2</formula>
    </cfRule>
  </conditionalFormatting>
  <conditionalFormatting sqref="C7">
    <cfRule type="expression" dxfId="178" priority="37">
      <formula>AND($C7-TODAY()&lt;30,TODAY()&lt;$C7)</formula>
    </cfRule>
  </conditionalFormatting>
  <conditionalFormatting sqref="C8">
    <cfRule type="expression" dxfId="177" priority="35">
      <formula>AND($C8-TODAY()&lt;30,TODAY()&lt;$C8)</formula>
    </cfRule>
  </conditionalFormatting>
  <conditionalFormatting sqref="C8">
    <cfRule type="cellIs" dxfId="176" priority="36" stopIfTrue="1" operator="lessThan">
      <formula>$B$2</formula>
    </cfRule>
  </conditionalFormatting>
  <conditionalFormatting sqref="C11">
    <cfRule type="expression" dxfId="175" priority="33">
      <formula>AND($C11-TODAY()&lt;30,TODAY()&lt;$C11)</formula>
    </cfRule>
  </conditionalFormatting>
  <conditionalFormatting sqref="C11">
    <cfRule type="cellIs" dxfId="174" priority="34"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G11">
    <cfRule type="cellIs" dxfId="171" priority="30" stopIfTrue="1" operator="lessThan">
      <formula>$B$2</formula>
    </cfRule>
  </conditionalFormatting>
  <conditionalFormatting sqref="F12">
    <cfRule type="cellIs" dxfId="170" priority="29" stopIfTrue="1" operator="equal">
      <formula>"已过期"</formula>
    </cfRule>
  </conditionalFormatting>
  <conditionalFormatting sqref="G12">
    <cfRule type="cellIs" dxfId="169" priority="28" stopIfTrue="1" operator="lessThan">
      <formula>$B$2</formula>
    </cfRule>
  </conditionalFormatting>
  <conditionalFormatting sqref="C12">
    <cfRule type="cellIs" dxfId="168" priority="27" stopIfTrue="1" operator="lessThan">
      <formula>$B$2</formula>
    </cfRule>
  </conditionalFormatting>
  <conditionalFormatting sqref="C12">
    <cfRule type="expression" dxfId="167" priority="25">
      <formula>AND($C12-TODAY()&lt;30,TODAY()&lt;$C12)</formula>
    </cfRule>
  </conditionalFormatting>
  <conditionalFormatting sqref="C12">
    <cfRule type="cellIs" dxfId="166" priority="26" stopIfTrue="1" operator="lessThan">
      <formula>$B$2</formula>
    </cfRule>
  </conditionalFormatting>
  <conditionalFormatting sqref="B12">
    <cfRule type="cellIs" dxfId="165" priority="24" stopIfTrue="1" operator="equal">
      <formula>"已过期"</formula>
    </cfRule>
  </conditionalFormatting>
  <conditionalFormatting sqref="C9:C10">
    <cfRule type="expression" dxfId="164" priority="22">
      <formula>AND($C9-TODAY()&lt;30,TODAY()&lt;$C9)</formula>
    </cfRule>
  </conditionalFormatting>
  <conditionalFormatting sqref="C9:C10">
    <cfRule type="cellIs" dxfId="163" priority="23" stopIfTrue="1" operator="lessThan">
      <formula>$B$2</formula>
    </cfRule>
  </conditionalFormatting>
  <conditionalFormatting sqref="G21">
    <cfRule type="expression" dxfId="162" priority="20" stopIfTrue="1">
      <formula>AND(#REF!-TODAY()&lt;30,TODAY()&lt;#REF!)</formula>
    </cfRule>
  </conditionalFormatting>
  <conditionalFormatting sqref="G21">
    <cfRule type="cellIs" dxfId="161" priority="21" stopIfTrue="1" operator="lessThan">
      <formula>$B$2</formula>
    </cfRule>
  </conditionalFormatting>
  <conditionalFormatting sqref="C14">
    <cfRule type="expression" dxfId="160" priority="18">
      <formula>AND($C14-TODAY()&lt;30,TODAY()&lt;$C14)</formula>
    </cfRule>
  </conditionalFormatting>
  <conditionalFormatting sqref="C14">
    <cfRule type="cellIs" dxfId="159" priority="19" stopIfTrue="1" operator="lessThan">
      <formula>$B$2</formula>
    </cfRule>
  </conditionalFormatting>
  <conditionalFormatting sqref="C14">
    <cfRule type="expression" dxfId="158" priority="16">
      <formula>AND($C14-TODAY()&lt;30,TODAY()&lt;$C14)</formula>
    </cfRule>
  </conditionalFormatting>
  <conditionalFormatting sqref="C14">
    <cfRule type="cellIs" dxfId="157" priority="17" stopIfTrue="1" operator="lessThan">
      <formula>$B$2</formula>
    </cfRule>
  </conditionalFormatting>
  <conditionalFormatting sqref="B14">
    <cfRule type="cellIs" dxfId="156" priority="15" stopIfTrue="1" operator="equal">
      <formula>"已过期"</formula>
    </cfRule>
  </conditionalFormatting>
  <conditionalFormatting sqref="G14">
    <cfRule type="cellIs" dxfId="155" priority="14" stopIfTrue="1" operator="lessThan">
      <formula>$B$2</formula>
    </cfRule>
  </conditionalFormatting>
  <conditionalFormatting sqref="D15">
    <cfRule type="expression" dxfId="154" priority="12">
      <formula>AND($C15-TODAY()&lt;30,TODAY()&lt;$C15)</formula>
    </cfRule>
  </conditionalFormatting>
  <conditionalFormatting sqref="D15">
    <cfRule type="cellIs" dxfId="153" priority="13" stopIfTrue="1" operator="lessThan">
      <formula>$B$2</formula>
    </cfRule>
  </conditionalFormatting>
  <conditionalFormatting sqref="D15">
    <cfRule type="expression" dxfId="152" priority="10">
      <formula>AND($C15-TODAY()&lt;30,TODAY()&lt;$C15)</formula>
    </cfRule>
  </conditionalFormatting>
  <conditionalFormatting sqref="D15">
    <cfRule type="cellIs" dxfId="151" priority="11" stopIfTrue="1" operator="lessThan">
      <formula>$B$2</formula>
    </cfRule>
  </conditionalFormatting>
  <conditionalFormatting sqref="F15">
    <cfRule type="cellIs" dxfId="150" priority="9" stopIfTrue="1" operator="equal">
      <formula>"已过期"</formula>
    </cfRule>
  </conditionalFormatting>
  <conditionalFormatting sqref="C15">
    <cfRule type="expression" dxfId="149" priority="7">
      <formula>AND($C15-TODAY()&lt;30,TODAY()&lt;$C15)</formula>
    </cfRule>
  </conditionalFormatting>
  <conditionalFormatting sqref="C15">
    <cfRule type="cellIs" dxfId="148" priority="8" stopIfTrue="1" operator="lessThan">
      <formula>$B$2</formula>
    </cfRule>
  </conditionalFormatting>
  <conditionalFormatting sqref="C15">
    <cfRule type="expression" dxfId="147" priority="5">
      <formula>AND($C15-TODAY()&lt;30,TODAY()&lt;$C15)</formula>
    </cfRule>
  </conditionalFormatting>
  <conditionalFormatting sqref="C15">
    <cfRule type="cellIs" dxfId="146" priority="6" stopIfTrue="1" operator="lessThan">
      <formula>$B$2</formula>
    </cfRule>
  </conditionalFormatting>
  <conditionalFormatting sqref="B15">
    <cfRule type="cellIs" dxfId="145" priority="4" stopIfTrue="1" operator="equal">
      <formula>"已过期"</formula>
    </cfRule>
  </conditionalFormatting>
  <conditionalFormatting sqref="G15">
    <cfRule type="cellIs" dxfId="144" priority="3" stopIfTrue="1" operator="lessThan">
      <formula>$B$2</formula>
    </cfRule>
  </conditionalFormatting>
  <conditionalFormatting sqref="G20">
    <cfRule type="expression" dxfId="143" priority="1" stopIfTrue="1">
      <formula>AND(#REF!-TODAY()&lt;30,TODAY()&lt;#REF!)</formula>
    </cfRule>
  </conditionalFormatting>
  <conditionalFormatting sqref="G20">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清单</vt:lpstr>
      <vt:lpstr>定义</vt:lpstr>
      <vt:lpstr>常用公式</vt:lpstr>
      <vt:lpstr>项目基本情况</vt:lpstr>
      <vt:lpstr>数据-基础表</vt:lpstr>
      <vt:lpstr>Sheet1</vt:lpstr>
      <vt:lpstr>明细表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典型户型修正</vt:lpstr>
      <vt:lpstr>比较法-工业</vt:lpstr>
      <vt:lpstr>典型户型修正办</vt:lpstr>
      <vt:lpstr>比较法-仓储</vt:lpstr>
      <vt:lpstr>比较法-车位</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2023-11-16T09:39:15Z</dcterms:modified>
</cp:coreProperties>
</file>