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95" yWindow="135" windowWidth="14385" windowHeight="12225" tabRatio="899" firstSheet="11"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state="hidden" r:id="rId13"/>
    <sheet name="数据-汇总表" sheetId="6" state="hidden" r:id="rId14"/>
    <sheet name="数据-取费表" sheetId="1" state="hidden" r:id="rId15"/>
    <sheet name="估价对象房地状况" sheetId="20" state="hidden" r:id="rId16"/>
    <sheet name="系统读取表" sheetId="74" r:id="rId17"/>
    <sheet name="结果表" sheetId="9" state="hidden" r:id="rId18"/>
    <sheet name="成本法" sheetId="68" state="hidden" r:id="rId19"/>
    <sheet name="成本法 (元)" sheetId="69" state="hidden" r:id="rId20"/>
    <sheet name="假设开发法" sheetId="12" state="hidden" r:id="rId21"/>
    <sheet name="收益法" sheetId="15" state="hidden"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因素修正幅度" sheetId="65" state="hidden" r:id="rId40"/>
    <sheet name="区片价（范围）" sheetId="75" state="hidden" r:id="rId41"/>
    <sheet name="地价-分区" sheetId="79" state="hidden" r:id="rId42"/>
    <sheet name="地价" sheetId="71" state="hidden" r:id="rId43"/>
    <sheet name="区片价" sheetId="44" state="hidden" r:id="rId44"/>
    <sheet name="存贷款利率" sheetId="73" state="hidden" r:id="rId45"/>
    <sheet name="Sheet1" sheetId="80" r:id="rId46"/>
  </sheets>
  <externalReferences>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D14" i="74" l="1"/>
  <c r="G14" i="74" s="1"/>
  <c r="F6" i="74"/>
  <c r="F4" i="74"/>
  <c r="F7" i="74" s="1"/>
  <c r="E27" i="45" l="1"/>
  <c r="G14" i="73" l="1"/>
  <c r="F14" i="73"/>
  <c r="E14" i="73"/>
  <c r="I12" i="79" l="1"/>
  <c r="AK23" i="79" l="1"/>
  <c r="AJ23" i="79"/>
  <c r="AI23" i="79"/>
  <c r="AH23" i="79"/>
  <c r="AG23" i="79"/>
  <c r="AF23" i="79"/>
  <c r="AK22" i="79"/>
  <c r="AJ22" i="79"/>
  <c r="AI22" i="79"/>
  <c r="AH22" i="79"/>
  <c r="AG22" i="79"/>
  <c r="AF22" i="79"/>
  <c r="AK21" i="79"/>
  <c r="AJ21" i="79"/>
  <c r="AI21" i="79"/>
  <c r="AH21" i="79"/>
  <c r="AG21" i="79"/>
  <c r="AF21" i="79"/>
  <c r="AK20" i="79"/>
  <c r="AJ20" i="79"/>
  <c r="AI20" i="79"/>
  <c r="AH20" i="79"/>
  <c r="AG20" i="79"/>
  <c r="AF20" i="79"/>
  <c r="AK19" i="79"/>
  <c r="AJ19" i="79"/>
  <c r="AI19" i="79"/>
  <c r="AH19" i="79"/>
  <c r="AG19" i="79"/>
  <c r="AF19" i="79"/>
  <c r="AK18" i="79"/>
  <c r="AJ18" i="79"/>
  <c r="AI18" i="79"/>
  <c r="AH18" i="79"/>
  <c r="AG18" i="79"/>
  <c r="AF18" i="79"/>
  <c r="AK17" i="79"/>
  <c r="AJ17" i="79"/>
  <c r="AI17" i="79"/>
  <c r="AH17" i="79"/>
  <c r="AG17" i="79"/>
  <c r="AF17" i="79"/>
  <c r="AK16" i="79"/>
  <c r="AJ16" i="79"/>
  <c r="AI16" i="79"/>
  <c r="AH16" i="79"/>
  <c r="AG16" i="79"/>
  <c r="AF16" i="79"/>
  <c r="AK15" i="79"/>
  <c r="AJ15" i="79"/>
  <c r="AI15" i="79"/>
  <c r="AH15" i="79"/>
  <c r="AG15" i="79"/>
  <c r="AF15" i="79"/>
  <c r="AK14" i="79"/>
  <c r="AJ14" i="79"/>
  <c r="AI14" i="79"/>
  <c r="AH14" i="79"/>
  <c r="AG14" i="79"/>
  <c r="AF14" i="79"/>
  <c r="AK13" i="79"/>
  <c r="AJ13" i="79"/>
  <c r="AI13" i="79"/>
  <c r="AH13" i="79"/>
  <c r="AG13" i="79"/>
  <c r="AF13" i="79"/>
  <c r="AK12" i="79"/>
  <c r="AJ12" i="79"/>
  <c r="AI12" i="79"/>
  <c r="AH12" i="79"/>
  <c r="AG12" i="79"/>
  <c r="AF12" i="79"/>
  <c r="AK11" i="79"/>
  <c r="AJ11" i="79"/>
  <c r="AI11" i="79"/>
  <c r="AH11" i="79"/>
  <c r="AG11" i="79"/>
  <c r="AF11" i="79"/>
  <c r="AK10" i="79"/>
  <c r="AJ10" i="79"/>
  <c r="AI10" i="79"/>
  <c r="AH10" i="79"/>
  <c r="AG10" i="79"/>
  <c r="AF10" i="79"/>
  <c r="AR34" i="79"/>
  <c r="AP34" i="79"/>
  <c r="AO34" i="79"/>
  <c r="AR35" i="79"/>
  <c r="AP35" i="79"/>
  <c r="AO35" i="79"/>
  <c r="AO36" i="79" s="1"/>
  <c r="AO37" i="79" s="1"/>
  <c r="AO38" i="79" s="1"/>
  <c r="AO39" i="79" s="1"/>
  <c r="AO40" i="79" s="1"/>
  <c r="AO41" i="79" s="1"/>
  <c r="AO42" i="79" s="1"/>
  <c r="AO43" i="79" s="1"/>
  <c r="AO44" i="79" s="1"/>
  <c r="AO45" i="79" s="1"/>
  <c r="AO46" i="79" s="1"/>
  <c r="AO47" i="79" s="1"/>
  <c r="AO48" i="79" s="1"/>
  <c r="AO49" i="79" s="1"/>
  <c r="AO50" i="79" s="1"/>
  <c r="AO51" i="79" s="1"/>
  <c r="AO52" i="79" s="1"/>
  <c r="AP36" i="79"/>
  <c r="AP37" i="79" s="1"/>
  <c r="AP38" i="79" s="1"/>
  <c r="AP39" i="79" s="1"/>
  <c r="AP40" i="79" s="1"/>
  <c r="AP41" i="79" s="1"/>
  <c r="AP42" i="79" s="1"/>
  <c r="AP43" i="79" s="1"/>
  <c r="AP44" i="79" s="1"/>
  <c r="AP45" i="79" s="1"/>
  <c r="AP46" i="79" s="1"/>
  <c r="AP47" i="79" s="1"/>
  <c r="AP48" i="79" s="1"/>
  <c r="AP49" i="79" s="1"/>
  <c r="AP50" i="79" s="1"/>
  <c r="AP51" i="79" s="1"/>
  <c r="AP52" i="79" s="1"/>
  <c r="AN35" i="79"/>
  <c r="AN36" i="79" s="1"/>
  <c r="AN37" i="79" s="1"/>
  <c r="AN38" i="79" s="1"/>
  <c r="AN39" i="79" s="1"/>
  <c r="AN40" i="79" s="1"/>
  <c r="AN41" i="79" s="1"/>
  <c r="AN42" i="79" s="1"/>
  <c r="AN43" i="79" s="1"/>
  <c r="AN44" i="79" s="1"/>
  <c r="AN45" i="79" s="1"/>
  <c r="AN46" i="79" s="1"/>
  <c r="AN47" i="79" s="1"/>
  <c r="AN48" i="79" s="1"/>
  <c r="AN49" i="79" s="1"/>
  <c r="AN50" i="79" s="1"/>
  <c r="AN51" i="79" s="1"/>
  <c r="AN52" i="79" s="1"/>
  <c r="AN34" i="79"/>
  <c r="AR6" i="79"/>
  <c r="AQ6" i="79"/>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R7" i="79"/>
  <c r="AQ7" i="79"/>
  <c r="AQ8" i="79" s="1"/>
  <c r="AQ9" i="79" s="1"/>
  <c r="AQ10" i="79" s="1"/>
  <c r="AQ11" i="79" s="1"/>
  <c r="AQ12" i="79" s="1"/>
  <c r="AQ13" i="79" s="1"/>
  <c r="AQ14" i="79" s="1"/>
  <c r="AQ15" i="79" s="1"/>
  <c r="AQ16" i="79" s="1"/>
  <c r="AQ17" i="79" s="1"/>
  <c r="AQ18" i="79" s="1"/>
  <c r="AQ19" i="79" s="1"/>
  <c r="AQ20" i="79" s="1"/>
  <c r="AQ21" i="79" s="1"/>
  <c r="AQ22" i="79" s="1"/>
  <c r="AQ23" i="79" s="1"/>
  <c r="AQ24" i="79" s="1"/>
  <c r="AN7" i="79"/>
  <c r="AN8" i="79" s="1"/>
  <c r="AN9" i="79" s="1"/>
  <c r="AN10" i="79" s="1"/>
  <c r="AN11" i="79" s="1"/>
  <c r="AN12" i="79" s="1"/>
  <c r="AN13" i="79" s="1"/>
  <c r="AN14" i="79" s="1"/>
  <c r="AN15" i="79" s="1"/>
  <c r="AN16" i="79" s="1"/>
  <c r="AN17" i="79" s="1"/>
  <c r="AN18" i="79" s="1"/>
  <c r="AN19" i="79" s="1"/>
  <c r="AN20" i="79" s="1"/>
  <c r="AN21" i="79" s="1"/>
  <c r="AN22" i="79" s="1"/>
  <c r="AN23" i="79" s="1"/>
  <c r="AN24" i="79" s="1"/>
  <c r="AM7" i="79"/>
  <c r="AM8" i="79" s="1"/>
  <c r="AM9" i="79" s="1"/>
  <c r="AM10" i="79" s="1"/>
  <c r="AM11" i="79" s="1"/>
  <c r="AM12" i="79" s="1"/>
  <c r="AM13" i="79" s="1"/>
  <c r="AM14" i="79" s="1"/>
  <c r="AM15" i="79" s="1"/>
  <c r="AM16" i="79" s="1"/>
  <c r="AM17" i="79" s="1"/>
  <c r="AM18" i="79" s="1"/>
  <c r="AM19" i="79" s="1"/>
  <c r="AM20" i="79" s="1"/>
  <c r="AM21" i="79" s="1"/>
  <c r="AM22" i="79" s="1"/>
  <c r="AM23" i="79" s="1"/>
  <c r="AM24" i="79" s="1"/>
  <c r="AM6" i="79"/>
  <c r="AK50" i="79"/>
  <c r="AK49" i="79"/>
  <c r="AK48" i="79"/>
  <c r="AK47" i="79"/>
  <c r="AK46" i="79"/>
  <c r="AK45" i="79"/>
  <c r="AK44" i="79"/>
  <c r="AK43" i="79"/>
  <c r="AK42" i="79"/>
  <c r="AK41" i="79"/>
  <c r="AK40" i="79"/>
  <c r="AK39" i="79"/>
  <c r="AK38" i="79"/>
  <c r="AI50" i="79"/>
  <c r="AH50" i="79"/>
  <c r="AG50" i="79"/>
  <c r="AI49" i="79"/>
  <c r="AH49" i="79"/>
  <c r="AG49" i="79"/>
  <c r="AI48" i="79"/>
  <c r="AH48" i="79"/>
  <c r="AG48" i="79"/>
  <c r="AI47" i="79"/>
  <c r="AH47" i="79"/>
  <c r="AG47" i="79"/>
  <c r="AI46" i="79"/>
  <c r="AH46" i="79"/>
  <c r="AG46" i="79"/>
  <c r="AI45" i="79"/>
  <c r="AH45" i="79"/>
  <c r="AG45" i="79"/>
  <c r="AI44" i="79"/>
  <c r="AH44" i="79"/>
  <c r="AG44" i="79"/>
  <c r="AI43" i="79"/>
  <c r="AH43" i="79"/>
  <c r="AG43" i="79"/>
  <c r="AI42" i="79"/>
  <c r="AH42" i="79"/>
  <c r="AG42" i="79"/>
  <c r="AI41" i="79"/>
  <c r="AH41" i="79"/>
  <c r="AG41" i="79"/>
  <c r="AI40" i="79"/>
  <c r="AH40" i="79"/>
  <c r="AG40" i="79"/>
  <c r="AI39" i="79"/>
  <c r="AH39" i="79"/>
  <c r="AG39" i="79"/>
  <c r="AI38" i="79"/>
  <c r="AH38" i="79"/>
  <c r="AG38" i="79"/>
  <c r="AH51" i="79"/>
  <c r="AI51" i="79"/>
  <c r="AK51" i="79"/>
  <c r="AG51" i="79"/>
  <c r="AB33" i="79" l="1"/>
  <c r="AA33" i="79"/>
  <c r="Z33" i="79"/>
  <c r="N33" i="79"/>
  <c r="M33" i="79"/>
  <c r="P33" i="79" s="1"/>
  <c r="L33" i="79"/>
  <c r="I33" i="79"/>
  <c r="AD33" i="79" s="1"/>
  <c r="AB34" i="79"/>
  <c r="AA34" i="79"/>
  <c r="Z34" i="79"/>
  <c r="N34" i="79"/>
  <c r="M34" i="79"/>
  <c r="P34" i="79" s="1"/>
  <c r="L34" i="79"/>
  <c r="I34" i="79"/>
  <c r="AD34" i="79" s="1"/>
  <c r="AB35" i="79"/>
  <c r="AA35" i="79"/>
  <c r="Z35" i="79"/>
  <c r="N35" i="79"/>
  <c r="M35" i="79"/>
  <c r="P35" i="79" s="1"/>
  <c r="L35" i="79"/>
  <c r="I35" i="79"/>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C7" i="79"/>
  <c r="AB7" i="79"/>
  <c r="AA7" i="79"/>
  <c r="AD7" i="79" s="1"/>
  <c r="Z7" i="79"/>
  <c r="Y7" i="79"/>
  <c r="O7" i="79"/>
  <c r="N7" i="79"/>
  <c r="M7" i="79"/>
  <c r="P7" i="79" s="1"/>
  <c r="L7" i="79"/>
  <c r="K7" i="79"/>
  <c r="I7" i="79"/>
  <c r="AR8" i="79" s="1"/>
  <c r="AD35" i="79" l="1"/>
  <c r="AR36" i="79"/>
  <c r="D60" i="78"/>
  <c r="C60" i="78"/>
  <c r="B55" i="78"/>
  <c r="D55" i="78" s="1"/>
  <c r="D53" i="78"/>
  <c r="D52" i="78"/>
  <c r="D51" i="78" s="1"/>
  <c r="B51" i="78"/>
  <c r="B56" i="78" s="1"/>
  <c r="C51" i="78" l="1"/>
  <c r="C56" i="78" s="1"/>
  <c r="C58" i="78" s="1"/>
  <c r="B62" i="78"/>
  <c r="B54" i="78"/>
  <c r="D54" i="78" s="1"/>
  <c r="D56" i="78" s="1"/>
  <c r="D58" i="78" l="1"/>
  <c r="D62" i="78" s="1"/>
  <c r="C62" i="78" s="1"/>
  <c r="G15" i="73" l="1"/>
  <c r="F15" i="73"/>
  <c r="E15"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D37" i="79" s="1"/>
  <c r="S34" i="79" l="1"/>
  <c r="AG34" i="79" s="1"/>
  <c r="S35" i="79"/>
  <c r="AG35" i="79" s="1"/>
  <c r="S33" i="79"/>
  <c r="AG33" i="79" s="1"/>
  <c r="U35" i="79"/>
  <c r="AI35" i="79" s="1"/>
  <c r="U34" i="79"/>
  <c r="AI34" i="79" s="1"/>
  <c r="U33" i="79"/>
  <c r="AI33" i="79" s="1"/>
  <c r="AD36" i="79"/>
  <c r="AR37" i="79"/>
  <c r="AR38" i="79" s="1"/>
  <c r="AR39" i="79" s="1"/>
  <c r="AR40" i="79" s="1"/>
  <c r="AR41" i="79" s="1"/>
  <c r="AR42" i="79" s="1"/>
  <c r="AR43" i="79" s="1"/>
  <c r="AR44" i="79" s="1"/>
  <c r="AR45" i="79" s="1"/>
  <c r="AR46" i="79" s="1"/>
  <c r="AR47" i="79" s="1"/>
  <c r="AR48" i="79" s="1"/>
  <c r="AR49" i="79" s="1"/>
  <c r="AR50" i="79" s="1"/>
  <c r="AR51" i="79" s="1"/>
  <c r="AR52" i="79" s="1"/>
  <c r="P36" i="79"/>
  <c r="T34" i="79"/>
  <c r="T35" i="79"/>
  <c r="T33" i="79"/>
  <c r="AR10" i="79"/>
  <c r="AR11" i="79" s="1"/>
  <c r="AR12" i="79" s="1"/>
  <c r="AR13" i="79" s="1"/>
  <c r="AR14" i="79" s="1"/>
  <c r="AR15" i="79" s="1"/>
  <c r="AR16" i="79" s="1"/>
  <c r="AR17" i="79" s="1"/>
  <c r="AR18" i="79" s="1"/>
  <c r="AR19" i="79" s="1"/>
  <c r="AR20" i="79" s="1"/>
  <c r="AR21" i="79" s="1"/>
  <c r="AR22" i="79" s="1"/>
  <c r="AR23" i="79" s="1"/>
  <c r="AR24" i="79" s="1"/>
  <c r="G16" i="73"/>
  <c r="F16" i="73"/>
  <c r="E16" i="73"/>
  <c r="G17" i="73"/>
  <c r="F17" i="73"/>
  <c r="E17" i="73"/>
  <c r="W33" i="79" l="1"/>
  <c r="AK33" i="79" s="1"/>
  <c r="AH33" i="79"/>
  <c r="W35" i="79"/>
  <c r="AK35" i="79" s="1"/>
  <c r="AH35" i="79"/>
  <c r="W34" i="79"/>
  <c r="AK34" i="79" s="1"/>
  <c r="AH34" i="79"/>
  <c r="AB38" i="79"/>
  <c r="AA38" i="79"/>
  <c r="Z38" i="79"/>
  <c r="N38" i="79"/>
  <c r="M38" i="79"/>
  <c r="P38" i="79" s="1"/>
  <c r="L38" i="79"/>
  <c r="I38" i="79"/>
  <c r="AD38" i="79" s="1"/>
  <c r="AC10" i="79"/>
  <c r="AB10" i="79"/>
  <c r="AA10" i="79"/>
  <c r="AD10" i="79" s="1"/>
  <c r="Z10" i="79"/>
  <c r="Y10" i="79"/>
  <c r="O10" i="79"/>
  <c r="N10" i="79"/>
  <c r="M10" i="79"/>
  <c r="P10" i="79" s="1"/>
  <c r="L10" i="79"/>
  <c r="K10" i="79"/>
  <c r="I10" i="79"/>
  <c r="I13" i="79" l="1"/>
  <c r="I41" i="79" l="1"/>
  <c r="I40" i="79"/>
  <c r="N40" i="79"/>
  <c r="M40" i="79"/>
  <c r="P40" i="79" s="1"/>
  <c r="L40" i="79"/>
  <c r="N41" i="79"/>
  <c r="M41" i="79"/>
  <c r="L41" i="79"/>
  <c r="O12" i="79"/>
  <c r="N12" i="79"/>
  <c r="M12" i="79"/>
  <c r="P12" i="79" s="1"/>
  <c r="L12" i="79"/>
  <c r="K12" i="79"/>
  <c r="O13" i="79"/>
  <c r="N13" i="79"/>
  <c r="M13" i="79"/>
  <c r="P13" i="79" s="1"/>
  <c r="L13" i="79"/>
  <c r="K13" i="79"/>
  <c r="P41" i="79" l="1"/>
  <c r="G18" i="73" l="1"/>
  <c r="F18" i="73"/>
  <c r="E18"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52" i="79"/>
  <c r="AA52" i="79"/>
  <c r="Z52" i="79"/>
  <c r="W52" i="79"/>
  <c r="N52" i="79"/>
  <c r="M52" i="79"/>
  <c r="P52" i="79" s="1"/>
  <c r="L52" i="79"/>
  <c r="I52" i="79"/>
  <c r="AD52" i="79" s="1"/>
  <c r="AB51" i="79"/>
  <c r="AA51" i="79"/>
  <c r="Z51" i="79"/>
  <c r="N51" i="79"/>
  <c r="U51" i="79" s="1"/>
  <c r="M51" i="79"/>
  <c r="L51" i="79"/>
  <c r="S51" i="79" s="1"/>
  <c r="I51" i="79"/>
  <c r="AD51" i="79" s="1"/>
  <c r="AB50" i="79"/>
  <c r="AA50" i="79"/>
  <c r="Z50" i="79"/>
  <c r="N50" i="79"/>
  <c r="U50" i="79" s="1"/>
  <c r="M50" i="79"/>
  <c r="L50" i="79"/>
  <c r="I50" i="79"/>
  <c r="AB49" i="79"/>
  <c r="AA49" i="79"/>
  <c r="Z49" i="79"/>
  <c r="N49" i="79"/>
  <c r="M49" i="79"/>
  <c r="L49" i="79"/>
  <c r="I49" i="79"/>
  <c r="AB48" i="79"/>
  <c r="AA48" i="79"/>
  <c r="Z48" i="79"/>
  <c r="N48" i="79"/>
  <c r="M48" i="79"/>
  <c r="L48" i="79"/>
  <c r="S48" i="79" s="1"/>
  <c r="I48" i="79"/>
  <c r="AB47" i="79"/>
  <c r="AA47" i="79"/>
  <c r="Z47" i="79"/>
  <c r="N47" i="79"/>
  <c r="M47" i="79"/>
  <c r="L47" i="79"/>
  <c r="I47" i="79"/>
  <c r="AD47" i="79" s="1"/>
  <c r="AB46" i="79"/>
  <c r="AA46" i="79"/>
  <c r="Z46" i="79"/>
  <c r="N46" i="79"/>
  <c r="U46" i="79" s="1"/>
  <c r="M46" i="79"/>
  <c r="L46" i="79"/>
  <c r="I46" i="79"/>
  <c r="AB45" i="79"/>
  <c r="AA45" i="79"/>
  <c r="Z45" i="79"/>
  <c r="N45" i="79"/>
  <c r="M45" i="79"/>
  <c r="T40" i="79" s="1"/>
  <c r="W40" i="79" s="1"/>
  <c r="L45" i="79"/>
  <c r="I45" i="79"/>
  <c r="AB39" i="79"/>
  <c r="AA39" i="79"/>
  <c r="AA31" i="79" s="1"/>
  <c r="AD31" i="79" s="1"/>
  <c r="Z39" i="79"/>
  <c r="N39" i="79"/>
  <c r="M39" i="79"/>
  <c r="L39" i="79"/>
  <c r="I39" i="79"/>
  <c r="N31" i="79"/>
  <c r="G31" i="79"/>
  <c r="F31" i="79"/>
  <c r="I31" i="79" s="1"/>
  <c r="E31" i="79"/>
  <c r="AC24" i="79"/>
  <c r="AB24" i="79"/>
  <c r="AA24" i="79"/>
  <c r="AD24" i="79" s="1"/>
  <c r="Z24" i="79"/>
  <c r="Y24" i="79"/>
  <c r="W24" i="79"/>
  <c r="P24" i="79"/>
  <c r="O24" i="79"/>
  <c r="N24" i="79"/>
  <c r="M24" i="79"/>
  <c r="L24" i="79"/>
  <c r="K24" i="79"/>
  <c r="I24" i="79"/>
  <c r="AC23" i="79"/>
  <c r="AB23" i="79"/>
  <c r="AA23" i="79"/>
  <c r="AD23" i="79" s="1"/>
  <c r="Z23" i="79"/>
  <c r="Y23" i="79"/>
  <c r="O23" i="79"/>
  <c r="V23" i="79" s="1"/>
  <c r="N23" i="79"/>
  <c r="U23" i="79" s="1"/>
  <c r="M23" i="79"/>
  <c r="L23" i="79"/>
  <c r="S23" i="79" s="1"/>
  <c r="K23" i="79"/>
  <c r="R23" i="79" s="1"/>
  <c r="I23" i="79"/>
  <c r="AC22" i="79"/>
  <c r="AB22" i="79"/>
  <c r="AA22" i="79"/>
  <c r="AD22" i="79" s="1"/>
  <c r="Z22" i="79"/>
  <c r="Y22" i="79"/>
  <c r="O22" i="79"/>
  <c r="N22" i="79"/>
  <c r="M22" i="79"/>
  <c r="T22" i="79" s="1"/>
  <c r="W22" i="79" s="1"/>
  <c r="L22" i="79"/>
  <c r="K22" i="79"/>
  <c r="I22" i="79"/>
  <c r="AC21" i="79"/>
  <c r="AB21" i="79"/>
  <c r="AA21" i="79"/>
  <c r="AD21" i="79" s="1"/>
  <c r="Z21" i="79"/>
  <c r="Y21" i="79"/>
  <c r="O21" i="79"/>
  <c r="N21" i="79"/>
  <c r="M21" i="79"/>
  <c r="L21" i="79"/>
  <c r="K21" i="79"/>
  <c r="I21" i="79"/>
  <c r="AD20" i="79"/>
  <c r="AC20" i="79"/>
  <c r="AB20" i="79"/>
  <c r="AA20" i="79"/>
  <c r="Z20" i="79"/>
  <c r="Y20" i="79"/>
  <c r="O20" i="79"/>
  <c r="N20" i="79"/>
  <c r="M20" i="79"/>
  <c r="L20" i="79"/>
  <c r="S20" i="79" s="1"/>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Z3" i="79" s="1"/>
  <c r="Y11" i="79"/>
  <c r="O11" i="79"/>
  <c r="N11" i="79"/>
  <c r="M11" i="79"/>
  <c r="L11" i="79"/>
  <c r="K11" i="79"/>
  <c r="I11"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6" i="79" l="1"/>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S37" i="79"/>
  <c r="AG37" i="79" s="1"/>
  <c r="S36" i="79"/>
  <c r="AG36" i="79" s="1"/>
  <c r="M31" i="79"/>
  <c r="P31" i="79" s="1"/>
  <c r="T36" i="79"/>
  <c r="T37" i="79"/>
  <c r="U37" i="79"/>
  <c r="AI37" i="79" s="1"/>
  <c r="U36" i="79"/>
  <c r="AI36" i="79" s="1"/>
  <c r="R18" i="79"/>
  <c r="T20" i="79"/>
  <c r="W20" i="79" s="1"/>
  <c r="T9" i="79"/>
  <c r="T8" i="79"/>
  <c r="V18" i="79"/>
  <c r="U22" i="79"/>
  <c r="U9" i="79"/>
  <c r="AI9" i="79" s="1"/>
  <c r="U8" i="79"/>
  <c r="AI8" i="79" s="1"/>
  <c r="S9" i="79"/>
  <c r="AG9" i="79" s="1"/>
  <c r="S8" i="79"/>
  <c r="AG8" i="79" s="1"/>
  <c r="S19" i="79"/>
  <c r="R9" i="79"/>
  <c r="AF9" i="79" s="1"/>
  <c r="R8" i="79"/>
  <c r="AF8" i="79" s="1"/>
  <c r="V9" i="79"/>
  <c r="AJ9" i="79" s="1"/>
  <c r="V8" i="79"/>
  <c r="AJ8" i="79" s="1"/>
  <c r="R22" i="79"/>
  <c r="V22" i="79"/>
  <c r="S22" i="79"/>
  <c r="U10" i="79"/>
  <c r="S18" i="79"/>
  <c r="U20" i="79"/>
  <c r="U21" i="79"/>
  <c r="T31" i="79"/>
  <c r="W31" i="79" s="1"/>
  <c r="U40" i="79"/>
  <c r="AD46" i="79"/>
  <c r="S47" i="79"/>
  <c r="U49" i="79"/>
  <c r="AD50" i="79"/>
  <c r="AB3" i="79"/>
  <c r="U31" i="79"/>
  <c r="U38" i="79"/>
  <c r="U48" i="79"/>
  <c r="AD49" i="79"/>
  <c r="S50" i="79"/>
  <c r="L3" i="79"/>
  <c r="Y3" i="79"/>
  <c r="AC3" i="79"/>
  <c r="S21" i="79"/>
  <c r="AD39" i="79"/>
  <c r="S40" i="79"/>
  <c r="T46" i="79"/>
  <c r="W46" i="79" s="1"/>
  <c r="U47" i="79"/>
  <c r="AD48" i="79"/>
  <c r="S49" i="79"/>
  <c r="V3" i="79"/>
  <c r="L31" i="79"/>
  <c r="T39" i="79"/>
  <c r="T38" i="79"/>
  <c r="W38" i="79" s="1"/>
  <c r="N3" i="79"/>
  <c r="K3" i="79"/>
  <c r="R10" i="79"/>
  <c r="O3" i="79"/>
  <c r="V10" i="79"/>
  <c r="T18" i="79"/>
  <c r="W18" i="79" s="1"/>
  <c r="U19" i="79"/>
  <c r="R20" i="79"/>
  <c r="V20" i="79"/>
  <c r="R21" i="79"/>
  <c r="V21" i="79"/>
  <c r="S3" i="79"/>
  <c r="S10" i="79"/>
  <c r="U18" i="79"/>
  <c r="R19" i="79"/>
  <c r="V19" i="79"/>
  <c r="P11" i="79"/>
  <c r="T10" i="79"/>
  <c r="W10" i="79" s="1"/>
  <c r="U3" i="79"/>
  <c r="S39" i="79"/>
  <c r="M3" i="79"/>
  <c r="P3" i="79" s="1"/>
  <c r="T3" i="79"/>
  <c r="W3" i="79" s="1"/>
  <c r="U39" i="79"/>
  <c r="AD45" i="79"/>
  <c r="T44" i="79"/>
  <c r="W44" i="79" s="1"/>
  <c r="T42" i="79"/>
  <c r="T45" i="79"/>
  <c r="W45" i="79" s="1"/>
  <c r="T43" i="79"/>
  <c r="W43" i="79" s="1"/>
  <c r="T41" i="79"/>
  <c r="W41" i="79" s="1"/>
  <c r="S46" i="79"/>
  <c r="T47" i="79"/>
  <c r="W47" i="79" s="1"/>
  <c r="T49" i="79"/>
  <c r="W49" i="79" s="1"/>
  <c r="T51" i="79"/>
  <c r="W51" i="79" s="1"/>
  <c r="S45" i="79"/>
  <c r="S43" i="79"/>
  <c r="S44" i="79"/>
  <c r="S42" i="79"/>
  <c r="S41" i="79"/>
  <c r="U45" i="79"/>
  <c r="U43" i="79"/>
  <c r="U44" i="79"/>
  <c r="U42" i="79"/>
  <c r="U41" i="79"/>
  <c r="T48" i="79"/>
  <c r="W48" i="79" s="1"/>
  <c r="T50" i="79"/>
  <c r="W50" i="79" s="1"/>
  <c r="S13" i="79"/>
  <c r="S16" i="79"/>
  <c r="S17" i="79"/>
  <c r="S12" i="79"/>
  <c r="U13" i="79"/>
  <c r="U16" i="79"/>
  <c r="U17" i="79"/>
  <c r="U12" i="79"/>
  <c r="P21" i="79"/>
  <c r="T21" i="79"/>
  <c r="W21" i="79" s="1"/>
  <c r="R13" i="79"/>
  <c r="R16" i="79"/>
  <c r="R17" i="79"/>
  <c r="R12" i="79"/>
  <c r="T13" i="79"/>
  <c r="W13" i="79" s="1"/>
  <c r="T16" i="79"/>
  <c r="W16" i="79" s="1"/>
  <c r="T17" i="79"/>
  <c r="W17" i="79" s="1"/>
  <c r="T12" i="79"/>
  <c r="W12" i="79" s="1"/>
  <c r="V13" i="79"/>
  <c r="V16" i="79"/>
  <c r="V17" i="79"/>
  <c r="V12" i="79"/>
  <c r="P19" i="79"/>
  <c r="T19" i="79"/>
  <c r="W19" i="79" s="1"/>
  <c r="P23" i="79"/>
  <c r="T23" i="79"/>
  <c r="W23" i="79" s="1"/>
  <c r="AA3" i="79"/>
  <c r="AD3" i="79" s="1"/>
  <c r="W42" i="79"/>
  <c r="W39" i="79"/>
  <c r="AB31" i="79"/>
  <c r="R14" i="79"/>
  <c r="R11" i="79"/>
  <c r="R15" i="79"/>
  <c r="P17" i="79"/>
  <c r="T15" i="79"/>
  <c r="W15" i="79" s="1"/>
  <c r="T14" i="79"/>
  <c r="W14" i="79" s="1"/>
  <c r="T11" i="79"/>
  <c r="W11" i="79" s="1"/>
  <c r="V14" i="79"/>
  <c r="V11" i="79"/>
  <c r="V15" i="79"/>
  <c r="S15" i="79"/>
  <c r="S11" i="79"/>
  <c r="S14" i="79"/>
  <c r="U15" i="79"/>
  <c r="U11" i="79"/>
  <c r="U14" i="79"/>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C18" i="78" s="1"/>
  <c r="D7" i="78"/>
  <c r="D6" i="78"/>
  <c r="D5" i="78"/>
  <c r="W37" i="79" l="1"/>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20" i="73"/>
  <c r="F20" i="73"/>
  <c r="E20" i="73"/>
  <c r="G21" i="73" l="1"/>
  <c r="F21" i="73"/>
  <c r="E21" i="73"/>
  <c r="G22" i="73" l="1"/>
  <c r="F22" i="73"/>
  <c r="E22" i="73"/>
  <c r="G13" i="73" l="1"/>
  <c r="F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R11" i="77"/>
  <c r="R10" i="77"/>
  <c r="D10" i="77"/>
  <c r="R9" i="77"/>
  <c r="D9" i="77"/>
  <c r="R8" i="77"/>
  <c r="R7" i="77"/>
  <c r="R4" i="77"/>
  <c r="R3" i="77"/>
  <c r="E11" i="77" l="1"/>
  <c r="E7" i="77" s="1"/>
  <c r="C27" i="77" s="1"/>
  <c r="D7" i="77"/>
  <c r="C26" i="77" s="1"/>
  <c r="C32" i="77" s="1"/>
  <c r="C38" i="77" s="1"/>
  <c r="C39" i="77" s="1"/>
  <c r="R14" i="77"/>
  <c r="R24" i="77" s="1"/>
  <c r="R25" i="77"/>
  <c r="D29" i="77"/>
  <c r="D32" i="77"/>
  <c r="E23" i="77"/>
  <c r="D26" i="77"/>
  <c r="C29" i="77"/>
  <c r="R35" i="77"/>
  <c r="U34" i="77" s="1"/>
  <c r="AH9" i="71"/>
  <c r="AG9" i="71"/>
  <c r="AE9" i="71"/>
  <c r="AF9" i="71" s="1"/>
  <c r="AD9" i="71"/>
  <c r="Q9" i="71"/>
  <c r="P9" i="71"/>
  <c r="O9" i="71"/>
  <c r="N9" i="71"/>
  <c r="R19" i="77" l="1"/>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V24" i="71" s="1"/>
  <c r="E23" i="71"/>
  <c r="E22" i="71" s="1"/>
  <c r="O25" i="71"/>
  <c r="N25" i="71"/>
  <c r="B24" i="71"/>
  <c r="B23" i="71" s="1"/>
  <c r="B22" i="71" s="1"/>
  <c r="B21" i="71" s="1"/>
  <c r="B20" i="71" s="1"/>
  <c r="B19" i="71" s="1"/>
  <c r="B18" i="71" s="1"/>
  <c r="B17" i="71" s="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C8" i="68"/>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c r="B84" i="71"/>
  <c r="B83" i="71"/>
  <c r="B82" i="71" s="1"/>
  <c r="D81" i="71"/>
  <c r="Q80" i="71"/>
  <c r="P80" i="71"/>
  <c r="O80" i="71"/>
  <c r="N80" i="71"/>
  <c r="F80" i="71"/>
  <c r="V80" i="71"/>
  <c r="E80" i="71"/>
  <c r="U80" i="71" s="1"/>
  <c r="C80" i="71"/>
  <c r="T80" i="7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U76" i="71"/>
  <c r="C76" i="71"/>
  <c r="T76" i="71" s="1"/>
  <c r="B76" i="71"/>
  <c r="S76" i="71"/>
  <c r="Q75" i="71"/>
  <c r="P75" i="71"/>
  <c r="O75" i="71"/>
  <c r="N75" i="71"/>
  <c r="F75" i="71"/>
  <c r="F74" i="71" s="1"/>
  <c r="B75" i="71"/>
  <c r="B74" i="71"/>
  <c r="Q74" i="71"/>
  <c r="P74" i="71"/>
  <c r="O74" i="71"/>
  <c r="N74" i="71"/>
  <c r="Q73" i="71"/>
  <c r="P73" i="71"/>
  <c r="O73" i="71"/>
  <c r="N73" i="71"/>
  <c r="D73" i="71"/>
  <c r="Q72" i="71"/>
  <c r="P72" i="71"/>
  <c r="O72" i="71"/>
  <c r="N72" i="71"/>
  <c r="F72" i="71"/>
  <c r="V72" i="71" s="1"/>
  <c r="E72" i="71"/>
  <c r="U72" i="71"/>
  <c r="C72" i="71"/>
  <c r="T72" i="71" s="1"/>
  <c r="B72" i="71"/>
  <c r="S72" i="71"/>
  <c r="Q71" i="71"/>
  <c r="P71" i="71"/>
  <c r="O71" i="71"/>
  <c r="N71" i="71"/>
  <c r="F71" i="71"/>
  <c r="F70" i="71" s="1"/>
  <c r="B71" i="71"/>
  <c r="B70" i="71"/>
  <c r="Q70" i="71"/>
  <c r="P70" i="71"/>
  <c r="O70" i="71"/>
  <c r="N70" i="71"/>
  <c r="Q69" i="71"/>
  <c r="P69" i="71"/>
  <c r="O69" i="71"/>
  <c r="N69" i="71"/>
  <c r="D69" i="71"/>
  <c r="F68" i="71"/>
  <c r="V68" i="71"/>
  <c r="E68" i="71"/>
  <c r="P68" i="71" s="1"/>
  <c r="C68" i="71"/>
  <c r="B68" i="71"/>
  <c r="S68" i="71"/>
  <c r="F67" i="71"/>
  <c r="F66" i="71" s="1"/>
  <c r="B67" i="71"/>
  <c r="D65" i="71"/>
  <c r="Q64" i="71"/>
  <c r="P64" i="71"/>
  <c r="O64" i="71"/>
  <c r="N64" i="71"/>
  <c r="Q63" i="71"/>
  <c r="P63" i="71"/>
  <c r="O63" i="71"/>
  <c r="N63" i="71"/>
  <c r="Q62" i="71"/>
  <c r="P62" i="71"/>
  <c r="O62" i="71"/>
  <c r="N62" i="71"/>
  <c r="Q61" i="71"/>
  <c r="F62" i="71"/>
  <c r="F63" i="71"/>
  <c r="F64" i="71" s="1"/>
  <c r="V64" i="71" s="1"/>
  <c r="P61" i="71"/>
  <c r="E62" i="71"/>
  <c r="O61" i="71"/>
  <c r="C62" i="71" s="1"/>
  <c r="N61" i="71"/>
  <c r="B62" i="71"/>
  <c r="B63" i="71" s="1"/>
  <c r="B64" i="71" s="1"/>
  <c r="S64" i="71" s="1"/>
  <c r="D61" i="71"/>
  <c r="Q60" i="71"/>
  <c r="P60" i="71"/>
  <c r="O60" i="71"/>
  <c r="N60" i="71"/>
  <c r="Q59" i="71"/>
  <c r="P59" i="71"/>
  <c r="O59" i="71"/>
  <c r="N59" i="71"/>
  <c r="Q58" i="71"/>
  <c r="P58" i="71"/>
  <c r="O58" i="71"/>
  <c r="N58" i="71"/>
  <c r="Q57" i="71"/>
  <c r="F58" i="71" s="1"/>
  <c r="F59" i="71" s="1"/>
  <c r="F60" i="71"/>
  <c r="V60" i="71" s="1"/>
  <c r="P57" i="71"/>
  <c r="E58" i="71"/>
  <c r="O57" i="71"/>
  <c r="C58" i="71" s="1"/>
  <c r="N57" i="71"/>
  <c r="B58" i="71"/>
  <c r="B59" i="71"/>
  <c r="B60" i="71" s="1"/>
  <c r="S60" i="71" s="1"/>
  <c r="D57" i="71"/>
  <c r="Q56" i="71"/>
  <c r="P56" i="71"/>
  <c r="O56" i="71"/>
  <c r="N56" i="71"/>
  <c r="Q55" i="71"/>
  <c r="P55" i="71"/>
  <c r="O55" i="71"/>
  <c r="N55" i="71"/>
  <c r="Q54" i="71"/>
  <c r="P54" i="71"/>
  <c r="O54" i="71"/>
  <c r="N54" i="71"/>
  <c r="C54" i="71"/>
  <c r="Q53" i="71"/>
  <c r="F54" i="71" s="1"/>
  <c r="P53" i="71"/>
  <c r="E54" i="71"/>
  <c r="O53" i="71"/>
  <c r="N53" i="71"/>
  <c r="B54" i="71" s="1"/>
  <c r="B55" i="71" s="1"/>
  <c r="B56" i="71"/>
  <c r="S56" i="71" s="1"/>
  <c r="D53" i="71"/>
  <c r="Q52" i="71"/>
  <c r="P52" i="71"/>
  <c r="O52" i="71"/>
  <c r="N52" i="71"/>
  <c r="Q51" i="71"/>
  <c r="P51" i="71"/>
  <c r="O51" i="71"/>
  <c r="N51" i="71"/>
  <c r="Q50" i="71"/>
  <c r="P50" i="71"/>
  <c r="O50" i="71"/>
  <c r="N50" i="71"/>
  <c r="Q49" i="71"/>
  <c r="F50" i="71"/>
  <c r="P49" i="71"/>
  <c r="E50" i="71" s="1"/>
  <c r="E51" i="71" s="1"/>
  <c r="E52" i="71"/>
  <c r="U52" i="71" s="1"/>
  <c r="O49" i="71"/>
  <c r="C50" i="71"/>
  <c r="N49" i="71"/>
  <c r="B50" i="71" s="1"/>
  <c r="B51" i="71" s="1"/>
  <c r="B52" i="71" s="1"/>
  <c r="S52" i="7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c r="U48" i="71" s="1"/>
  <c r="O45" i="71"/>
  <c r="C46" i="71"/>
  <c r="N45" i="71"/>
  <c r="B46" i="71" s="1"/>
  <c r="B47" i="71" s="1"/>
  <c r="B48" i="71" s="1"/>
  <c r="S48" i="7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AB39" i="71"/>
  <c r="Q39" i="71"/>
  <c r="P39" i="71"/>
  <c r="AA39" i="71"/>
  <c r="O39" i="71"/>
  <c r="N39" i="71"/>
  <c r="X39" i="71"/>
  <c r="Q38" i="71"/>
  <c r="AB38" i="71" s="1"/>
  <c r="P38" i="71"/>
  <c r="O38" i="71"/>
  <c r="Y38" i="71" s="1"/>
  <c r="Z38" i="71" s="1"/>
  <c r="N38" i="71"/>
  <c r="F38" i="71"/>
  <c r="F39" i="71" s="1"/>
  <c r="F40" i="71" s="1"/>
  <c r="V40" i="71" s="1"/>
  <c r="Q37" i="71"/>
  <c r="AB37" i="71" s="1"/>
  <c r="P37" i="71"/>
  <c r="AA36" i="71" s="1"/>
  <c r="O37" i="71"/>
  <c r="N37" i="71"/>
  <c r="B38" i="71" s="1"/>
  <c r="D37" i="71"/>
  <c r="Q36" i="71"/>
  <c r="AB36" i="71" s="1"/>
  <c r="P36" i="71"/>
  <c r="O36" i="71"/>
  <c r="N36" i="71"/>
  <c r="Q35" i="71"/>
  <c r="AB31" i="71" s="1"/>
  <c r="AB35" i="71"/>
  <c r="P35" i="71"/>
  <c r="O35" i="71"/>
  <c r="Y35" i="71"/>
  <c r="Z35" i="71"/>
  <c r="N35" i="71"/>
  <c r="Q34" i="71"/>
  <c r="AB34" i="71"/>
  <c r="P34" i="71"/>
  <c r="AA34" i="71" s="1"/>
  <c r="O34" i="71"/>
  <c r="N34" i="71"/>
  <c r="X33" i="71" s="1"/>
  <c r="F36" i="71"/>
  <c r="V36" i="71" s="1"/>
  <c r="Q33" i="71"/>
  <c r="F34" i="71" s="1"/>
  <c r="F35" i="71" s="1"/>
  <c r="P33" i="71"/>
  <c r="O33" i="71"/>
  <c r="N33" i="71"/>
  <c r="D33" i="71"/>
  <c r="Q32" i="71"/>
  <c r="AB32" i="71"/>
  <c r="P32" i="71"/>
  <c r="O32" i="71"/>
  <c r="N32" i="71"/>
  <c r="X32" i="71" s="1"/>
  <c r="Q31" i="71"/>
  <c r="P31" i="71"/>
  <c r="O31" i="71"/>
  <c r="N31" i="71"/>
  <c r="X28" i="71" s="1"/>
  <c r="Q30" i="71"/>
  <c r="P30" i="71"/>
  <c r="O30" i="71"/>
  <c r="Y30" i="71"/>
  <c r="Z30" i="71" s="1"/>
  <c r="N30" i="71"/>
  <c r="Q29" i="71"/>
  <c r="F30" i="71" s="1"/>
  <c r="F31" i="71" s="1"/>
  <c r="F32" i="71" s="1"/>
  <c r="V32" i="71" s="1"/>
  <c r="P29" i="71"/>
  <c r="O29" i="71"/>
  <c r="N29" i="71"/>
  <c r="D29" i="71"/>
  <c r="O28" i="71"/>
  <c r="N28" i="71"/>
  <c r="B30" i="71"/>
  <c r="B31" i="71"/>
  <c r="B32" i="71" s="1"/>
  <c r="S32" i="71" s="1"/>
  <c r="E30" i="71"/>
  <c r="E31" i="71"/>
  <c r="E32" i="71" s="1"/>
  <c r="U32" i="71" s="1"/>
  <c r="B34" i="71"/>
  <c r="B35" i="71" s="1"/>
  <c r="B36" i="71"/>
  <c r="S36" i="71" s="1"/>
  <c r="B39" i="71"/>
  <c r="B40" i="71"/>
  <c r="S40" i="71" s="1"/>
  <c r="E38" i="71"/>
  <c r="E39" i="71"/>
  <c r="E40" i="71"/>
  <c r="U40" i="71" s="1"/>
  <c r="AA37" i="71"/>
  <c r="N68" i="71"/>
  <c r="E34" i="71"/>
  <c r="E35" i="71" s="1"/>
  <c r="E36" i="71"/>
  <c r="U36" i="71" s="1"/>
  <c r="C30" i="71"/>
  <c r="Y29" i="71"/>
  <c r="Z29" i="71" s="1"/>
  <c r="AA30" i="71"/>
  <c r="X31" i="71"/>
  <c r="C34" i="71"/>
  <c r="D34" i="71" s="1"/>
  <c r="C35" i="71"/>
  <c r="C36" i="71" s="1"/>
  <c r="AB33" i="71"/>
  <c r="X34" i="71"/>
  <c r="X35" i="71"/>
  <c r="AA35" i="71"/>
  <c r="X36" i="71"/>
  <c r="C38" i="71"/>
  <c r="D38" i="71" s="1"/>
  <c r="Y37" i="71"/>
  <c r="Z37" i="71" s="1"/>
  <c r="X38" i="71"/>
  <c r="AA38" i="71"/>
  <c r="F51" i="71"/>
  <c r="F52" i="71" s="1"/>
  <c r="V52" i="71" s="1"/>
  <c r="C28" i="71"/>
  <c r="Y25" i="71"/>
  <c r="Z25" i="71" s="1"/>
  <c r="Y26" i="71"/>
  <c r="Z26" i="71" s="1"/>
  <c r="Y27" i="71"/>
  <c r="Z27" i="71" s="1"/>
  <c r="Y28" i="71"/>
  <c r="Z28" i="71"/>
  <c r="B28" i="71"/>
  <c r="B27" i="71" s="1"/>
  <c r="B26" i="71"/>
  <c r="X25" i="71"/>
  <c r="X26" i="71"/>
  <c r="C31" i="71"/>
  <c r="D30" i="71"/>
  <c r="C39" i="71"/>
  <c r="C43" i="71"/>
  <c r="C47" i="71"/>
  <c r="D47" i="71"/>
  <c r="D46" i="71"/>
  <c r="C51" i="71"/>
  <c r="D50" i="71"/>
  <c r="P28" i="71"/>
  <c r="E28" i="71" s="1"/>
  <c r="E55" i="71"/>
  <c r="E56" i="71" s="1"/>
  <c r="U56" i="71"/>
  <c r="E59" i="71"/>
  <c r="E60" i="71"/>
  <c r="U60" i="71" s="1"/>
  <c r="E63" i="71"/>
  <c r="E64" i="71"/>
  <c r="U64" i="71"/>
  <c r="U68" i="71"/>
  <c r="E67" i="71"/>
  <c r="Q28" i="71"/>
  <c r="AB25" i="71" s="1"/>
  <c r="C55" i="71"/>
  <c r="D54" i="71"/>
  <c r="C59" i="71"/>
  <c r="D58" i="71"/>
  <c r="C63" i="71"/>
  <c r="C64" i="71" s="1"/>
  <c r="D62" i="71"/>
  <c r="N67" i="71"/>
  <c r="B66" i="71"/>
  <c r="Q67" i="71"/>
  <c r="T68" i="71"/>
  <c r="O68" i="71"/>
  <c r="D68" i="71"/>
  <c r="C67" i="71"/>
  <c r="D67" i="71" s="1"/>
  <c r="Q68" i="71"/>
  <c r="C71" i="71"/>
  <c r="E71" i="71"/>
  <c r="E70" i="71"/>
  <c r="D72" i="71"/>
  <c r="C75" i="71"/>
  <c r="E75" i="71"/>
  <c r="E74" i="71"/>
  <c r="D76" i="71"/>
  <c r="C79" i="71"/>
  <c r="E79" i="71"/>
  <c r="E78" i="71"/>
  <c r="D80" i="71"/>
  <c r="C83" i="71"/>
  <c r="C87" i="71"/>
  <c r="C86" i="71" s="1"/>
  <c r="D86" i="71" s="1"/>
  <c r="T28" i="71"/>
  <c r="C27" i="71"/>
  <c r="C26" i="71" s="1"/>
  <c r="D26" i="71" s="1"/>
  <c r="S28" i="71"/>
  <c r="F28" i="71"/>
  <c r="F27" i="71"/>
  <c r="F26" i="71"/>
  <c r="AB26" i="71"/>
  <c r="AB27" i="71"/>
  <c r="AB28" i="71"/>
  <c r="AA3" i="71"/>
  <c r="AA27" i="71"/>
  <c r="AA28" i="71"/>
  <c r="D28" i="71"/>
  <c r="U28" i="71"/>
  <c r="C66" i="71"/>
  <c r="O65" i="71" s="1"/>
  <c r="O67" i="71"/>
  <c r="D63" i="71"/>
  <c r="D83" i="71"/>
  <c r="C82" i="71"/>
  <c r="D82" i="71"/>
  <c r="D75" i="71"/>
  <c r="C74" i="71"/>
  <c r="D74" i="71" s="1"/>
  <c r="N65" i="71"/>
  <c r="N66" i="71"/>
  <c r="D87" i="71"/>
  <c r="D79" i="71"/>
  <c r="C78" i="71"/>
  <c r="D78" i="71" s="1"/>
  <c r="D71" i="71"/>
  <c r="C70" i="71"/>
  <c r="D70" i="71"/>
  <c r="C60" i="71"/>
  <c r="D59" i="71"/>
  <c r="C56" i="71"/>
  <c r="D56" i="71" s="1"/>
  <c r="D55" i="71"/>
  <c r="P67" i="71"/>
  <c r="E66" i="71"/>
  <c r="P65" i="71" s="1"/>
  <c r="C52" i="71"/>
  <c r="T52" i="71" s="1"/>
  <c r="D51" i="71"/>
  <c r="C44" i="71"/>
  <c r="D43" i="71"/>
  <c r="C40" i="71"/>
  <c r="T40" i="71" s="1"/>
  <c r="D39" i="71"/>
  <c r="D35" i="71"/>
  <c r="C32" i="71"/>
  <c r="T32" i="71" s="1"/>
  <c r="D31" i="71"/>
  <c r="D27" i="71"/>
  <c r="P66" i="71"/>
  <c r="O66" i="71"/>
  <c r="D66" i="71"/>
  <c r="D32" i="71"/>
  <c r="D40" i="71"/>
  <c r="T44" i="71"/>
  <c r="D44" i="71"/>
  <c r="D52" i="71"/>
  <c r="T56" i="71"/>
  <c r="T60" i="71"/>
  <c r="D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18" i="35"/>
  <c r="S18" i="35" s="1"/>
  <c r="AA18" i="35"/>
  <c r="C18" i="35"/>
  <c r="Z21" i="37"/>
  <c r="Q21" i="37"/>
  <c r="D77" i="37"/>
  <c r="E77" i="37" s="1"/>
  <c r="F77" i="37" s="1"/>
  <c r="G77" i="37" s="1"/>
  <c r="C21" i="37"/>
  <c r="Q21" i="34"/>
  <c r="Z21" i="34" s="1"/>
  <c r="D84" i="34"/>
  <c r="E84" i="34"/>
  <c r="F21" i="34"/>
  <c r="AA21" i="34"/>
  <c r="C21" i="34"/>
  <c r="Q21" i="33"/>
  <c r="Z21" i="33" s="1"/>
  <c r="D83" i="33"/>
  <c r="E83" i="33" s="1"/>
  <c r="F83" i="33" s="1"/>
  <c r="G83" i="33" s="1"/>
  <c r="C21" i="33"/>
  <c r="C21" i="21"/>
  <c r="Q21" i="21"/>
  <c r="Z21" i="21" s="1"/>
  <c r="H19" i="21"/>
  <c r="D83" i="21"/>
  <c r="F21" i="21"/>
  <c r="AA21" i="21" s="1"/>
  <c r="D81" i="21"/>
  <c r="G20" i="20"/>
  <c r="C25" i="40" s="1"/>
  <c r="B88" i="43"/>
  <c r="C22" i="20"/>
  <c r="B100" i="43" s="1"/>
  <c r="B77" i="43"/>
  <c r="B57" i="43"/>
  <c r="B68" i="43"/>
  <c r="C29" i="39"/>
  <c r="S25" i="40"/>
  <c r="S18" i="36"/>
  <c r="S21" i="34"/>
  <c r="H25" i="40"/>
  <c r="AB25" i="40" s="1"/>
  <c r="J25" i="40"/>
  <c r="H29" i="39"/>
  <c r="AB29" i="39" s="1"/>
  <c r="J29" i="39"/>
  <c r="AC29" i="39" s="1"/>
  <c r="J18" i="36"/>
  <c r="AC18" i="36" s="1"/>
  <c r="F68" i="35"/>
  <c r="H18" i="35"/>
  <c r="AB18" i="35" s="1"/>
  <c r="G68" i="35"/>
  <c r="J18" i="35"/>
  <c r="H21" i="37"/>
  <c r="F21" i="37"/>
  <c r="AA21" i="37" s="1"/>
  <c r="F84" i="34"/>
  <c r="H21" i="34"/>
  <c r="AB21" i="34" s="1"/>
  <c r="H21" i="33"/>
  <c r="U21" i="33" s="1"/>
  <c r="F21" i="33"/>
  <c r="E83" i="21"/>
  <c r="F83" i="21" s="1"/>
  <c r="H1" i="69"/>
  <c r="AC25" i="40"/>
  <c r="W25" i="40"/>
  <c r="U25" i="40"/>
  <c r="U29" i="39"/>
  <c r="W29" i="39"/>
  <c r="W18" i="36"/>
  <c r="AB21" i="37"/>
  <c r="U21" i="37"/>
  <c r="S21" i="37"/>
  <c r="U21" i="34"/>
  <c r="AB21" i="33"/>
  <c r="AA21" i="33"/>
  <c r="S21" i="33"/>
  <c r="AC18" i="35"/>
  <c r="W18" i="35"/>
  <c r="J21" i="37"/>
  <c r="W21" i="37" s="1"/>
  <c r="G84" i="34"/>
  <c r="J21" i="34"/>
  <c r="W21" i="34" s="1"/>
  <c r="J21" i="33"/>
  <c r="W21" i="33" s="1"/>
  <c r="H21" i="21"/>
  <c r="U21" i="21" s="1"/>
  <c r="F38" i="69"/>
  <c r="E37" i="69"/>
  <c r="F36" i="69"/>
  <c r="F35" i="69"/>
  <c r="F21" i="69"/>
  <c r="F40" i="69" s="1"/>
  <c r="F20" i="69"/>
  <c r="F39" i="69" s="1"/>
  <c r="E10" i="69"/>
  <c r="E9" i="69"/>
  <c r="C7" i="69"/>
  <c r="AC21" i="37"/>
  <c r="AC21" i="33"/>
  <c r="G83" i="21"/>
  <c r="J21" i="21"/>
  <c r="C40" i="69"/>
  <c r="F38" i="68"/>
  <c r="E37" i="68"/>
  <c r="F36" i="68"/>
  <c r="F35" i="68"/>
  <c r="F21" i="68"/>
  <c r="F40" i="68" s="1"/>
  <c r="C21" i="68"/>
  <c r="F20" i="68"/>
  <c r="F39" i="68" s="1"/>
  <c r="E10" i="68"/>
  <c r="E9" i="68"/>
  <c r="C7" i="68"/>
  <c r="C5" i="68" s="1"/>
  <c r="W21" i="21"/>
  <c r="AC21" i="21"/>
  <c r="C40" i="68"/>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B13" i="1" s="1"/>
  <c r="E13" i="1" s="1"/>
  <c r="A6" i="1"/>
  <c r="F3" i="35"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L112" i="3" s="1"/>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c r="BT110" i="3"/>
  <c r="BS110" i="3"/>
  <c r="BR110" i="3"/>
  <c r="BQ110" i="3"/>
  <c r="BP110" i="3"/>
  <c r="BO110" i="3"/>
  <c r="BN110" i="3"/>
  <c r="BM110" i="3"/>
  <c r="BL110" i="3"/>
  <c r="BK110" i="3"/>
  <c r="BJ110" i="3"/>
  <c r="BI110" i="3"/>
  <c r="BH110" i="3"/>
  <c r="BG110" i="3"/>
  <c r="BF110" i="3"/>
  <c r="BE110" i="3"/>
  <c r="BD110" i="3"/>
  <c r="BA110" i="3" s="1"/>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G109" i="3" s="1"/>
  <c r="H109" i="3"/>
  <c r="BT108" i="3"/>
  <c r="BS108" i="3"/>
  <c r="BR108" i="3"/>
  <c r="BQ108" i="3"/>
  <c r="BP108" i="3"/>
  <c r="BO108" i="3"/>
  <c r="BN108" i="3"/>
  <c r="BM108" i="3"/>
  <c r="BL108" i="3" s="1"/>
  <c r="BK108" i="3"/>
  <c r="BJ108" i="3"/>
  <c r="BI108" i="3"/>
  <c r="BH108" i="3"/>
  <c r="BG108" i="3"/>
  <c r="BF108" i="3"/>
  <c r="BE108" i="3"/>
  <c r="BD108" i="3"/>
  <c r="BC108" i="3"/>
  <c r="BA108" i="3" s="1"/>
  <c r="AZ108" i="3" s="1"/>
  <c r="BB108" i="3"/>
  <c r="AX108" i="3"/>
  <c r="AW108" i="3"/>
  <c r="AV108" i="3"/>
  <c r="AC108" i="3"/>
  <c r="H108" i="3"/>
  <c r="G108" i="3" s="1"/>
  <c r="BT107" i="3"/>
  <c r="BS107" i="3"/>
  <c r="BR107" i="3"/>
  <c r="BQ107" i="3"/>
  <c r="BP107" i="3"/>
  <c r="BO107" i="3"/>
  <c r="BN107" i="3"/>
  <c r="BL107" i="3" s="1"/>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L106" i="3" s="1"/>
  <c r="BM106" i="3"/>
  <c r="BK106" i="3"/>
  <c r="BJ106" i="3"/>
  <c r="BI106" i="3"/>
  <c r="BH106" i="3"/>
  <c r="BG106" i="3"/>
  <c r="BF106" i="3"/>
  <c r="BE106" i="3"/>
  <c r="BD106" i="3"/>
  <c r="BC106" i="3"/>
  <c r="BB106" i="3"/>
  <c r="BA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G103" i="3" s="1"/>
  <c r="H103" i="3"/>
  <c r="BT102" i="3"/>
  <c r="BS102" i="3"/>
  <c r="BR102" i="3"/>
  <c r="BQ102" i="3"/>
  <c r="BP102" i="3"/>
  <c r="BO102" i="3"/>
  <c r="BN102" i="3"/>
  <c r="BM102" i="3"/>
  <c r="BL102" i="3" s="1"/>
  <c r="BK102" i="3"/>
  <c r="BJ102" i="3"/>
  <c r="BI102" i="3"/>
  <c r="BH102" i="3"/>
  <c r="BG102" i="3"/>
  <c r="BF102" i="3"/>
  <c r="BE102" i="3"/>
  <c r="BD102" i="3"/>
  <c r="BC102" i="3"/>
  <c r="BA102" i="3" s="1"/>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M100" i="3"/>
  <c r="BL100" i="3"/>
  <c r="BK100" i="3"/>
  <c r="BJ100" i="3"/>
  <c r="BI100" i="3"/>
  <c r="BH100" i="3"/>
  <c r="BG100" i="3"/>
  <c r="BF100" i="3"/>
  <c r="BE100" i="3"/>
  <c r="BD100" i="3"/>
  <c r="BC100" i="3"/>
  <c r="BA100" i="3" s="1"/>
  <c r="AZ100" i="3" s="1"/>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BT96" i="3"/>
  <c r="BS96" i="3"/>
  <c r="BR96" i="3"/>
  <c r="BQ96" i="3"/>
  <c r="BP96" i="3"/>
  <c r="BO96" i="3"/>
  <c r="BN96" i="3"/>
  <c r="BM96" i="3"/>
  <c r="BL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X92" i="3"/>
  <c r="AW92" i="3"/>
  <c r="AV92" i="3"/>
  <c r="AC92" i="3"/>
  <c r="H92" i="3"/>
  <c r="G92" i="3"/>
  <c r="BT91" i="3"/>
  <c r="BS91" i="3"/>
  <c r="BR91" i="3"/>
  <c r="BQ91" i="3"/>
  <c r="BP91" i="3"/>
  <c r="BO91" i="3"/>
  <c r="BN91" i="3"/>
  <c r="BM91" i="3"/>
  <c r="BL91" i="3"/>
  <c r="BK91" i="3"/>
  <c r="BJ91" i="3"/>
  <c r="BI91" i="3"/>
  <c r="BH91" i="3"/>
  <c r="BG91" i="3"/>
  <c r="BF91" i="3"/>
  <c r="BE91" i="3"/>
  <c r="BD91" i="3"/>
  <c r="BA91" i="3" s="1"/>
  <c r="AZ91" i="3" s="1"/>
  <c r="BC91" i="3"/>
  <c r="BB91" i="3"/>
  <c r="AX91" i="3"/>
  <c r="AW91" i="3"/>
  <c r="AV91" i="3"/>
  <c r="AC91" i="3"/>
  <c r="H91" i="3"/>
  <c r="BT90" i="3"/>
  <c r="BS90" i="3"/>
  <c r="BR90" i="3"/>
  <c r="BQ90" i="3"/>
  <c r="BP90" i="3"/>
  <c r="BO90" i="3"/>
  <c r="BN90" i="3"/>
  <c r="BL90" i="3" s="1"/>
  <c r="BM90" i="3"/>
  <c r="BK90" i="3"/>
  <c r="BJ90" i="3"/>
  <c r="BI90" i="3"/>
  <c r="BH90" i="3"/>
  <c r="BG90" i="3"/>
  <c r="BF90" i="3"/>
  <c r="BE90" i="3"/>
  <c r="BD90" i="3"/>
  <c r="BC90" i="3"/>
  <c r="BB90" i="3"/>
  <c r="BA90" i="3" s="1"/>
  <c r="AX90" i="3"/>
  <c r="AW90" i="3"/>
  <c r="AV90" i="3"/>
  <c r="AC90" i="3"/>
  <c r="H90" i="3"/>
  <c r="G90" i="3" s="1"/>
  <c r="BT89" i="3"/>
  <c r="BS89" i="3"/>
  <c r="BR89" i="3"/>
  <c r="BQ89" i="3"/>
  <c r="BP89" i="3"/>
  <c r="BO89" i="3"/>
  <c r="BN89" i="3"/>
  <c r="BM89" i="3"/>
  <c r="BK89" i="3"/>
  <c r="BJ89" i="3"/>
  <c r="BI89" i="3"/>
  <c r="BH89" i="3"/>
  <c r="BG89" i="3"/>
  <c r="BF89" i="3"/>
  <c r="BE89" i="3"/>
  <c r="BD89" i="3"/>
  <c r="BC89" i="3"/>
  <c r="BA89" i="3" s="1"/>
  <c r="BB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G88" i="3" s="1"/>
  <c r="H88" i="3"/>
  <c r="BT87" i="3"/>
  <c r="BS87" i="3"/>
  <c r="BR87" i="3"/>
  <c r="BQ87" i="3"/>
  <c r="BP87" i="3"/>
  <c r="BO87" i="3"/>
  <c r="BN87" i="3"/>
  <c r="BM87" i="3"/>
  <c r="BK87" i="3"/>
  <c r="BJ87" i="3"/>
  <c r="BI87" i="3"/>
  <c r="BH87" i="3"/>
  <c r="BG87" i="3"/>
  <c r="BF87" i="3"/>
  <c r="BE87" i="3"/>
  <c r="BD87" i="3"/>
  <c r="BC87" i="3"/>
  <c r="BB87" i="3"/>
  <c r="BA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L85" i="3" s="1"/>
  <c r="BM85" i="3"/>
  <c r="BK85" i="3"/>
  <c r="BJ85" i="3"/>
  <c r="BI85" i="3"/>
  <c r="BH85" i="3"/>
  <c r="BG85" i="3"/>
  <c r="BF85" i="3"/>
  <c r="BE85" i="3"/>
  <c r="BD85" i="3"/>
  <c r="BC85" i="3"/>
  <c r="BB85" i="3"/>
  <c r="AX85" i="3"/>
  <c r="AW85" i="3"/>
  <c r="AV85" i="3"/>
  <c r="AC85" i="3"/>
  <c r="H85" i="3"/>
  <c r="G85" i="3" s="1"/>
  <c r="BT84" i="3"/>
  <c r="BS84" i="3"/>
  <c r="BR84" i="3"/>
  <c r="BQ84" i="3"/>
  <c r="BP84" i="3"/>
  <c r="BO84" i="3"/>
  <c r="BN84" i="3"/>
  <c r="BL84" i="3" s="1"/>
  <c r="BM84" i="3"/>
  <c r="BK84" i="3"/>
  <c r="BJ84" i="3"/>
  <c r="BI84" i="3"/>
  <c r="BH84" i="3"/>
  <c r="BG84" i="3"/>
  <c r="BF84" i="3"/>
  <c r="BE84" i="3"/>
  <c r="BD84" i="3"/>
  <c r="BC84" i="3"/>
  <c r="BB84" i="3"/>
  <c r="BA84" i="3" s="1"/>
  <c r="AX84" i="3"/>
  <c r="AW84" i="3"/>
  <c r="AV84" i="3"/>
  <c r="AC84" i="3"/>
  <c r="H84" i="3"/>
  <c r="G84" i="3" s="1"/>
  <c r="BT83" i="3"/>
  <c r="BS83" i="3"/>
  <c r="BR83" i="3"/>
  <c r="BQ83" i="3"/>
  <c r="BP83" i="3"/>
  <c r="BO83" i="3"/>
  <c r="BL83" i="3" s="1"/>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L81" i="3" s="1"/>
  <c r="BM81" i="3"/>
  <c r="BK81" i="3"/>
  <c r="BJ81" i="3"/>
  <c r="BI81" i="3"/>
  <c r="BH81" i="3"/>
  <c r="BG81" i="3"/>
  <c r="BF81" i="3"/>
  <c r="BE81" i="3"/>
  <c r="BD81" i="3"/>
  <c r="BC81" i="3"/>
  <c r="BB81" i="3"/>
  <c r="AX81" i="3"/>
  <c r="AW81" i="3"/>
  <c r="AV81" i="3"/>
  <c r="AC81" i="3"/>
  <c r="G81" i="3" s="1"/>
  <c r="H81" i="3"/>
  <c r="BT80" i="3"/>
  <c r="BS80" i="3"/>
  <c r="BR80" i="3"/>
  <c r="BQ80" i="3"/>
  <c r="BP80" i="3"/>
  <c r="BO80" i="3"/>
  <c r="BN80" i="3"/>
  <c r="BM80" i="3"/>
  <c r="BK80" i="3"/>
  <c r="BJ80" i="3"/>
  <c r="BI80" i="3"/>
  <c r="BH80" i="3"/>
  <c r="BG80" i="3"/>
  <c r="BF80" i="3"/>
  <c r="BE80" i="3"/>
  <c r="BD80" i="3"/>
  <c r="BC80" i="3"/>
  <c r="BB80" i="3"/>
  <c r="BA80" i="3" s="1"/>
  <c r="AX80" i="3"/>
  <c r="AW80" i="3"/>
  <c r="AV80" i="3"/>
  <c r="AC80" i="3"/>
  <c r="H80" i="3"/>
  <c r="G80" i="3"/>
  <c r="BT79" i="3"/>
  <c r="BS79" i="3"/>
  <c r="BR79" i="3"/>
  <c r="BQ79" i="3"/>
  <c r="BP79" i="3"/>
  <c r="BO79" i="3"/>
  <c r="BN79" i="3"/>
  <c r="BM79" i="3"/>
  <c r="BL79" i="3"/>
  <c r="BK79" i="3"/>
  <c r="BJ79" i="3"/>
  <c r="BI79" i="3"/>
  <c r="BH79" i="3"/>
  <c r="BG79" i="3"/>
  <c r="BF79" i="3"/>
  <c r="BE79" i="3"/>
  <c r="BD79" i="3"/>
  <c r="BA79" i="3" s="1"/>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BT76" i="3"/>
  <c r="BS76" i="3"/>
  <c r="BR76" i="3"/>
  <c r="BQ76" i="3"/>
  <c r="BP76" i="3"/>
  <c r="BO76" i="3"/>
  <c r="BN76" i="3"/>
  <c r="BM76" i="3"/>
  <c r="BL76" i="3"/>
  <c r="BK76" i="3"/>
  <c r="BJ76" i="3"/>
  <c r="BI76" i="3"/>
  <c r="BH76" i="3"/>
  <c r="BG76" i="3"/>
  <c r="BF76" i="3"/>
  <c r="BE76" i="3"/>
  <c r="BD76" i="3"/>
  <c r="BC76" i="3"/>
  <c r="BB76" i="3"/>
  <c r="AX76" i="3"/>
  <c r="AW76" i="3"/>
  <c r="AV76" i="3"/>
  <c r="AC76" i="3"/>
  <c r="H76" i="3"/>
  <c r="G76" i="3" s="1"/>
  <c r="BT75" i="3"/>
  <c r="BS75" i="3"/>
  <c r="BR75" i="3"/>
  <c r="BQ75" i="3"/>
  <c r="BP75" i="3"/>
  <c r="BO75" i="3"/>
  <c r="BN75" i="3"/>
  <c r="BL75" i="3" s="1"/>
  <c r="BM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L73" i="3" s="1"/>
  <c r="BM73" i="3"/>
  <c r="BK73" i="3"/>
  <c r="BJ73" i="3"/>
  <c r="BI73" i="3"/>
  <c r="BH73" i="3"/>
  <c r="BG73" i="3"/>
  <c r="BF73" i="3"/>
  <c r="BE73" i="3"/>
  <c r="BD73" i="3"/>
  <c r="BC73" i="3"/>
  <c r="BB73" i="3"/>
  <c r="BA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G72" i="3" s="1"/>
  <c r="H72" i="3"/>
  <c r="BT71" i="3"/>
  <c r="BS71" i="3"/>
  <c r="BR71" i="3"/>
  <c r="BQ71" i="3"/>
  <c r="BP71" i="3"/>
  <c r="BO71" i="3"/>
  <c r="BN71" i="3"/>
  <c r="BM71" i="3"/>
  <c r="BL71" i="3" s="1"/>
  <c r="BK71" i="3"/>
  <c r="BJ71" i="3"/>
  <c r="BI71" i="3"/>
  <c r="BH71" i="3"/>
  <c r="BG71" i="3"/>
  <c r="BF71" i="3"/>
  <c r="BE71" i="3"/>
  <c r="BD71" i="3"/>
  <c r="BC71" i="3"/>
  <c r="BA71" i="3" s="1"/>
  <c r="BB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L68" i="3" s="1"/>
  <c r="BM68" i="3"/>
  <c r="BK68" i="3"/>
  <c r="BJ68" i="3"/>
  <c r="BI68" i="3"/>
  <c r="BH68" i="3"/>
  <c r="BG68" i="3"/>
  <c r="BF68" i="3"/>
  <c r="BE68" i="3"/>
  <c r="BD68" i="3"/>
  <c r="BC68" i="3"/>
  <c r="BB68" i="3"/>
  <c r="BA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G67" i="3" s="1"/>
  <c r="H67" i="3"/>
  <c r="BT66" i="3"/>
  <c r="BS66" i="3"/>
  <c r="BR66" i="3"/>
  <c r="BQ66" i="3"/>
  <c r="BP66" i="3"/>
  <c r="BO66" i="3"/>
  <c r="BN66" i="3"/>
  <c r="BM66" i="3"/>
  <c r="BL66" i="3" s="1"/>
  <c r="BK66" i="3"/>
  <c r="BJ66" i="3"/>
  <c r="BI66" i="3"/>
  <c r="BH66" i="3"/>
  <c r="BG66" i="3"/>
  <c r="BF66" i="3"/>
  <c r="BE66" i="3"/>
  <c r="BD66" i="3"/>
  <c r="BC66" i="3"/>
  <c r="BA66" i="3" s="1"/>
  <c r="BB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G64" i="3" s="1"/>
  <c r="H64" i="3"/>
  <c r="BT63" i="3"/>
  <c r="BS63" i="3"/>
  <c r="BR63" i="3"/>
  <c r="BQ63" i="3"/>
  <c r="BP63" i="3"/>
  <c r="BO63" i="3"/>
  <c r="BN63" i="3"/>
  <c r="BM63" i="3"/>
  <c r="BL63" i="3" s="1"/>
  <c r="BK63" i="3"/>
  <c r="BJ63" i="3"/>
  <c r="BI63" i="3"/>
  <c r="BH63" i="3"/>
  <c r="BG63" i="3"/>
  <c r="BF63" i="3"/>
  <c r="BE63" i="3"/>
  <c r="BD63" i="3"/>
  <c r="BC63" i="3"/>
  <c r="BA63" i="3" s="1"/>
  <c r="BB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L61" i="3" s="1"/>
  <c r="BM61" i="3"/>
  <c r="BK61" i="3"/>
  <c r="BJ61" i="3"/>
  <c r="BI61" i="3"/>
  <c r="BH61" i="3"/>
  <c r="BG61" i="3"/>
  <c r="BF61" i="3"/>
  <c r="BE61" i="3"/>
  <c r="BD61" i="3"/>
  <c r="BC61" i="3"/>
  <c r="BB61" i="3"/>
  <c r="BA61" i="3" s="1"/>
  <c r="AX61" i="3"/>
  <c r="AW61" i="3"/>
  <c r="AV61" i="3"/>
  <c r="AC61" i="3"/>
  <c r="H61" i="3"/>
  <c r="G61" i="3" s="1"/>
  <c r="BT60" i="3"/>
  <c r="BS60" i="3"/>
  <c r="BR60" i="3"/>
  <c r="BQ60" i="3"/>
  <c r="BP60" i="3"/>
  <c r="BO60" i="3"/>
  <c r="BN60" i="3"/>
  <c r="BL60" i="3" s="1"/>
  <c r="BM60" i="3"/>
  <c r="BK60" i="3"/>
  <c r="BJ60" i="3"/>
  <c r="BI60" i="3"/>
  <c r="BH60" i="3"/>
  <c r="BG60" i="3"/>
  <c r="BF60" i="3"/>
  <c r="BE60" i="3"/>
  <c r="BD60" i="3"/>
  <c r="BC60" i="3"/>
  <c r="BB60" i="3"/>
  <c r="BA60" i="3" s="1"/>
  <c r="AX60" i="3"/>
  <c r="AW60" i="3"/>
  <c r="AV60" i="3"/>
  <c r="AC60" i="3"/>
  <c r="G60" i="3" s="1"/>
  <c r="H60" i="3"/>
  <c r="BT59" i="3"/>
  <c r="BS59" i="3"/>
  <c r="BR59" i="3"/>
  <c r="BQ59" i="3"/>
  <c r="BP59" i="3"/>
  <c r="BO59" i="3"/>
  <c r="BN59" i="3"/>
  <c r="BM59" i="3"/>
  <c r="BL59" i="3" s="1"/>
  <c r="BK59" i="3"/>
  <c r="BJ59" i="3"/>
  <c r="BI59" i="3"/>
  <c r="BH59" i="3"/>
  <c r="BG59" i="3"/>
  <c r="BF59" i="3"/>
  <c r="BE59" i="3"/>
  <c r="BD59" i="3"/>
  <c r="BC59" i="3"/>
  <c r="BA59" i="3" s="1"/>
  <c r="BB59" i="3"/>
  <c r="AX59" i="3"/>
  <c r="AW59" i="3"/>
  <c r="AV59" i="3"/>
  <c r="AC59" i="3"/>
  <c r="G59" i="3" s="1"/>
  <c r="H59" i="3"/>
  <c r="BT58" i="3"/>
  <c r="BS58" i="3"/>
  <c r="BR58" i="3"/>
  <c r="BQ58" i="3"/>
  <c r="BP58" i="3"/>
  <c r="BO58" i="3"/>
  <c r="BN58" i="3"/>
  <c r="BM58" i="3"/>
  <c r="BL58" i="3" s="1"/>
  <c r="BK58" i="3"/>
  <c r="BJ58" i="3"/>
  <c r="BI58" i="3"/>
  <c r="BH58" i="3"/>
  <c r="BG58" i="3"/>
  <c r="BF58" i="3"/>
  <c r="BE58" i="3"/>
  <c r="BD58" i="3"/>
  <c r="BC58" i="3"/>
  <c r="BA58" i="3" s="1"/>
  <c r="BB58" i="3"/>
  <c r="AX58" i="3"/>
  <c r="AW58" i="3"/>
  <c r="AV58" i="3"/>
  <c r="AC58" i="3"/>
  <c r="G58" i="3" s="1"/>
  <c r="H58" i="3"/>
  <c r="BT57" i="3"/>
  <c r="BS57" i="3"/>
  <c r="BR57" i="3"/>
  <c r="BQ57" i="3"/>
  <c r="BP57" i="3"/>
  <c r="BO57" i="3"/>
  <c r="BN57" i="3"/>
  <c r="BM57" i="3"/>
  <c r="BL57" i="3" s="1"/>
  <c r="BK57" i="3"/>
  <c r="BJ57" i="3"/>
  <c r="BI57" i="3"/>
  <c r="BH57" i="3"/>
  <c r="BG57" i="3"/>
  <c r="BF57" i="3"/>
  <c r="BE57" i="3"/>
  <c r="BD57" i="3"/>
  <c r="BC57" i="3"/>
  <c r="BA57" i="3" s="1"/>
  <c r="AZ57" i="3" s="1"/>
  <c r="BB57" i="3"/>
  <c r="AX57" i="3"/>
  <c r="AW57" i="3"/>
  <c r="AV57" i="3"/>
  <c r="AC57" i="3"/>
  <c r="H57" i="3"/>
  <c r="G57" i="3" s="1"/>
  <c r="BT56" i="3"/>
  <c r="BS56" i="3"/>
  <c r="BR56" i="3"/>
  <c r="BQ56" i="3"/>
  <c r="BP56" i="3"/>
  <c r="BO56" i="3"/>
  <c r="BN56" i="3"/>
  <c r="BL56" i="3" s="1"/>
  <c r="BM56" i="3"/>
  <c r="BK56" i="3"/>
  <c r="BJ56" i="3"/>
  <c r="BI56" i="3"/>
  <c r="BH56" i="3"/>
  <c r="BG56" i="3"/>
  <c r="BF56" i="3"/>
  <c r="BE56" i="3"/>
  <c r="BD56" i="3"/>
  <c r="BC56" i="3"/>
  <c r="BB56" i="3"/>
  <c r="BA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G55" i="3" s="1"/>
  <c r="H55" i="3"/>
  <c r="BT54" i="3"/>
  <c r="BS54" i="3"/>
  <c r="BR54" i="3"/>
  <c r="BQ54" i="3"/>
  <c r="BP54" i="3"/>
  <c r="BO54" i="3"/>
  <c r="BN54" i="3"/>
  <c r="BM54" i="3"/>
  <c r="BL54" i="3" s="1"/>
  <c r="BK54" i="3"/>
  <c r="BJ54" i="3"/>
  <c r="BI54" i="3"/>
  <c r="BH54" i="3"/>
  <c r="BG54" i="3"/>
  <c r="BF54" i="3"/>
  <c r="BE54" i="3"/>
  <c r="BD54" i="3"/>
  <c r="BC54" i="3"/>
  <c r="BA54" i="3" s="1"/>
  <c r="BB54" i="3"/>
  <c r="AX54" i="3"/>
  <c r="AW54" i="3"/>
  <c r="AV54" i="3"/>
  <c r="AC54" i="3"/>
  <c r="H54" i="3"/>
  <c r="G54" i="3" s="1"/>
  <c r="BT53" i="3"/>
  <c r="BS53" i="3"/>
  <c r="BR53" i="3"/>
  <c r="BQ53" i="3"/>
  <c r="BP53" i="3"/>
  <c r="BO53" i="3"/>
  <c r="BN53" i="3"/>
  <c r="BL53" i="3" s="1"/>
  <c r="BM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G52" i="3" s="1"/>
  <c r="H52" i="3"/>
  <c r="BT51" i="3"/>
  <c r="BS51" i="3"/>
  <c r="BR51" i="3"/>
  <c r="BQ51" i="3"/>
  <c r="BP51" i="3"/>
  <c r="BO51" i="3"/>
  <c r="BN51" i="3"/>
  <c r="BM51" i="3"/>
  <c r="BL51" i="3" s="1"/>
  <c r="BK51" i="3"/>
  <c r="BJ51" i="3"/>
  <c r="BI51" i="3"/>
  <c r="BH51" i="3"/>
  <c r="BG51" i="3"/>
  <c r="BF51" i="3"/>
  <c r="BE51" i="3"/>
  <c r="BD51" i="3"/>
  <c r="BC51" i="3"/>
  <c r="BA51" i="3" s="1"/>
  <c r="BB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G50" i="3" s="1"/>
  <c r="H50" i="3"/>
  <c r="BT49" i="3"/>
  <c r="BS49" i="3"/>
  <c r="BR49" i="3"/>
  <c r="BQ49" i="3"/>
  <c r="BP49" i="3"/>
  <c r="BO49" i="3"/>
  <c r="BN49" i="3"/>
  <c r="BM49" i="3"/>
  <c r="BL49" i="3" s="1"/>
  <c r="BK49" i="3"/>
  <c r="BJ49" i="3"/>
  <c r="BI49" i="3"/>
  <c r="BH49" i="3"/>
  <c r="BG49" i="3"/>
  <c r="BF49" i="3"/>
  <c r="BE49" i="3"/>
  <c r="BD49" i="3"/>
  <c r="BC49" i="3"/>
  <c r="BA49" i="3" s="1"/>
  <c r="AZ49" i="3" s="1"/>
  <c r="BB49" i="3"/>
  <c r="AX49" i="3"/>
  <c r="AW49" i="3"/>
  <c r="AV49" i="3"/>
  <c r="AC49" i="3"/>
  <c r="H49" i="3"/>
  <c r="G49" i="3" s="1"/>
  <c r="BT48" i="3"/>
  <c r="BS48" i="3"/>
  <c r="BR48" i="3"/>
  <c r="BQ48" i="3"/>
  <c r="BP48" i="3"/>
  <c r="BO48" i="3"/>
  <c r="BN48" i="3"/>
  <c r="BL48" i="3" s="1"/>
  <c r="BM48" i="3"/>
  <c r="BK48" i="3"/>
  <c r="BJ48" i="3"/>
  <c r="BI48" i="3"/>
  <c r="BH48" i="3"/>
  <c r="BG48" i="3"/>
  <c r="BF48" i="3"/>
  <c r="BE48" i="3"/>
  <c r="BD48" i="3"/>
  <c r="BC48" i="3"/>
  <c r="BB48" i="3"/>
  <c r="BA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A46" i="3" s="1"/>
  <c r="BB46" i="3"/>
  <c r="AX46" i="3"/>
  <c r="AW46" i="3"/>
  <c r="AV46" i="3"/>
  <c r="AC46" i="3"/>
  <c r="H46" i="3"/>
  <c r="G46" i="3" s="1"/>
  <c r="BT45" i="3"/>
  <c r="BS45" i="3"/>
  <c r="BR45" i="3"/>
  <c r="BQ45" i="3"/>
  <c r="BP45" i="3"/>
  <c r="BO45" i="3"/>
  <c r="BN45" i="3"/>
  <c r="BL45" i="3" s="1"/>
  <c r="BM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c r="AX43" i="3"/>
  <c r="AW43" i="3"/>
  <c r="AV43" i="3"/>
  <c r="AC43" i="3"/>
  <c r="G43" i="3" s="1"/>
  <c r="H43" i="3"/>
  <c r="BT42" i="3"/>
  <c r="BS42" i="3"/>
  <c r="BR42" i="3"/>
  <c r="BQ42" i="3"/>
  <c r="BP42" i="3"/>
  <c r="BO42" i="3"/>
  <c r="BN42" i="3"/>
  <c r="BM42" i="3"/>
  <c r="BK42" i="3"/>
  <c r="BJ42" i="3"/>
  <c r="BI42" i="3"/>
  <c r="BH42" i="3"/>
  <c r="BG42" i="3"/>
  <c r="BF42" i="3"/>
  <c r="BE42" i="3"/>
  <c r="BD42" i="3"/>
  <c r="BC42" i="3"/>
  <c r="BA42" i="3" s="1"/>
  <c r="BB42" i="3"/>
  <c r="AX42" i="3"/>
  <c r="AW42" i="3"/>
  <c r="AV42" i="3"/>
  <c r="AC42" i="3"/>
  <c r="H42" i="3"/>
  <c r="G42" i="3"/>
  <c r="BT41" i="3"/>
  <c r="BS41" i="3"/>
  <c r="BR41" i="3"/>
  <c r="BQ41" i="3"/>
  <c r="BP41" i="3"/>
  <c r="BO41" i="3"/>
  <c r="BN41" i="3"/>
  <c r="BM41" i="3"/>
  <c r="BL41" i="3" s="1"/>
  <c r="BK41" i="3"/>
  <c r="BJ41" i="3"/>
  <c r="BI41" i="3"/>
  <c r="BH41" i="3"/>
  <c r="BG41" i="3"/>
  <c r="BF41" i="3"/>
  <c r="BE41" i="3"/>
  <c r="BD41" i="3"/>
  <c r="BC41" i="3"/>
  <c r="BA41" i="3" s="1"/>
  <c r="BB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L39" i="3" s="1"/>
  <c r="BM39" i="3"/>
  <c r="BK39" i="3"/>
  <c r="BJ39" i="3"/>
  <c r="BI39" i="3"/>
  <c r="BH39" i="3"/>
  <c r="BG39" i="3"/>
  <c r="BF39" i="3"/>
  <c r="BE39" i="3"/>
  <c r="BD39" i="3"/>
  <c r="BC39" i="3"/>
  <c r="BB39" i="3"/>
  <c r="BA39" i="3" s="1"/>
  <c r="AX39" i="3"/>
  <c r="AW39" i="3"/>
  <c r="AV39" i="3"/>
  <c r="AC39" i="3"/>
  <c r="H39" i="3"/>
  <c r="G39" i="3" s="1"/>
  <c r="BT38" i="3"/>
  <c r="BS38" i="3"/>
  <c r="BR38" i="3"/>
  <c r="BQ38" i="3"/>
  <c r="BP38" i="3"/>
  <c r="BO38" i="3"/>
  <c r="BN38" i="3"/>
  <c r="BL38" i="3" s="1"/>
  <c r="AZ38" i="3" s="1"/>
  <c r="BM38" i="3"/>
  <c r="BK38" i="3"/>
  <c r="BJ38" i="3"/>
  <c r="BI38" i="3"/>
  <c r="BH38" i="3"/>
  <c r="BG38" i="3"/>
  <c r="BF38" i="3"/>
  <c r="BE38" i="3"/>
  <c r="BD38" i="3"/>
  <c r="BC38" i="3"/>
  <c r="BB38" i="3"/>
  <c r="BA38" i="3" s="1"/>
  <c r="AX38" i="3"/>
  <c r="AW38" i="3"/>
  <c r="AV38" i="3"/>
  <c r="AC38" i="3"/>
  <c r="G38" i="3" s="1"/>
  <c r="H38" i="3"/>
  <c r="BT37" i="3"/>
  <c r="BS37" i="3"/>
  <c r="BR37" i="3"/>
  <c r="BQ37" i="3"/>
  <c r="BP37" i="3"/>
  <c r="BO37" i="3"/>
  <c r="BN37" i="3"/>
  <c r="BM37" i="3"/>
  <c r="BK37" i="3"/>
  <c r="BJ37" i="3"/>
  <c r="BI37" i="3"/>
  <c r="BH37" i="3"/>
  <c r="BG37" i="3"/>
  <c r="BF37" i="3"/>
  <c r="BE37" i="3"/>
  <c r="BD37" i="3"/>
  <c r="BC37" i="3"/>
  <c r="BA37" i="3" s="1"/>
  <c r="BB37" i="3"/>
  <c r="AX37" i="3"/>
  <c r="AW37" i="3"/>
  <c r="AV37" i="3"/>
  <c r="AC37" i="3"/>
  <c r="G37" i="3" s="1"/>
  <c r="H37" i="3"/>
  <c r="BT36" i="3"/>
  <c r="BS36" i="3"/>
  <c r="BR36" i="3"/>
  <c r="BQ36" i="3"/>
  <c r="BP36" i="3"/>
  <c r="BO36" i="3"/>
  <c r="BN36" i="3"/>
  <c r="BM36" i="3"/>
  <c r="BK36" i="3"/>
  <c r="BJ36" i="3"/>
  <c r="BI36" i="3"/>
  <c r="BH36" i="3"/>
  <c r="BG36" i="3"/>
  <c r="BF36" i="3"/>
  <c r="BE36" i="3"/>
  <c r="BD36" i="3"/>
  <c r="BC36" i="3"/>
  <c r="BA36" i="3" s="1"/>
  <c r="BB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A32" i="3" s="1"/>
  <c r="BB32" i="3"/>
  <c r="AX32" i="3"/>
  <c r="AW32" i="3"/>
  <c r="AV32" i="3"/>
  <c r="AC32" i="3"/>
  <c r="H32" i="3"/>
  <c r="G32" i="3"/>
  <c r="BT31" i="3"/>
  <c r="BS31" i="3"/>
  <c r="BR31" i="3"/>
  <c r="BQ31" i="3"/>
  <c r="BP31" i="3"/>
  <c r="BO31" i="3"/>
  <c r="BN31" i="3"/>
  <c r="BM31" i="3"/>
  <c r="BL31" i="3" s="1"/>
  <c r="BK31" i="3"/>
  <c r="BJ31" i="3"/>
  <c r="BI31" i="3"/>
  <c r="BH31" i="3"/>
  <c r="BG31" i="3"/>
  <c r="BF31" i="3"/>
  <c r="BE31" i="3"/>
  <c r="BD31" i="3"/>
  <c r="BC31" i="3"/>
  <c r="BA31" i="3" s="1"/>
  <c r="BB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L29" i="3" s="1"/>
  <c r="BM29" i="3"/>
  <c r="BK29" i="3"/>
  <c r="BJ29" i="3"/>
  <c r="BI29" i="3"/>
  <c r="BH29" i="3"/>
  <c r="BG29" i="3"/>
  <c r="BF29" i="3"/>
  <c r="BE29" i="3"/>
  <c r="BD29" i="3"/>
  <c r="BC29" i="3"/>
  <c r="BB29" i="3"/>
  <c r="BA29" i="3" s="1"/>
  <c r="AX29" i="3"/>
  <c r="AW29" i="3"/>
  <c r="AV29" i="3"/>
  <c r="AC29" i="3"/>
  <c r="H29" i="3"/>
  <c r="G29" i="3" s="1"/>
  <c r="BT28" i="3"/>
  <c r="BS28" i="3"/>
  <c r="BR28" i="3"/>
  <c r="BQ28" i="3"/>
  <c r="BP28" i="3"/>
  <c r="BO28" i="3"/>
  <c r="BN28" i="3"/>
  <c r="BL28" i="3" s="1"/>
  <c r="BM28" i="3"/>
  <c r="BK28" i="3"/>
  <c r="BJ28" i="3"/>
  <c r="BI28" i="3"/>
  <c r="BH28" i="3"/>
  <c r="BG28" i="3"/>
  <c r="BF28" i="3"/>
  <c r="BE28" i="3"/>
  <c r="BD28" i="3"/>
  <c r="BC28" i="3"/>
  <c r="BB28" i="3"/>
  <c r="BA28" i="3" s="1"/>
  <c r="AX28" i="3"/>
  <c r="AW28" i="3"/>
  <c r="AV28" i="3"/>
  <c r="AC28" i="3"/>
  <c r="H28" i="3"/>
  <c r="G28" i="3" s="1"/>
  <c r="BT27" i="3"/>
  <c r="BS27" i="3"/>
  <c r="BR27" i="3"/>
  <c r="BQ27" i="3"/>
  <c r="BP27" i="3"/>
  <c r="BO27" i="3"/>
  <c r="BN27" i="3"/>
  <c r="BL27" i="3" s="1"/>
  <c r="AZ27" i="3" s="1"/>
  <c r="BM27" i="3"/>
  <c r="BK27" i="3"/>
  <c r="BJ27" i="3"/>
  <c r="BI27" i="3"/>
  <c r="BH27" i="3"/>
  <c r="BG27" i="3"/>
  <c r="BF27" i="3"/>
  <c r="BE27" i="3"/>
  <c r="BD27" i="3"/>
  <c r="BC27" i="3"/>
  <c r="BB27" i="3"/>
  <c r="BA27" i="3" s="1"/>
  <c r="AX27" i="3"/>
  <c r="AW27" i="3"/>
  <c r="AV27" i="3"/>
  <c r="AC27" i="3"/>
  <c r="G27" i="3" s="1"/>
  <c r="H27" i="3"/>
  <c r="BT26" i="3"/>
  <c r="BS26" i="3"/>
  <c r="BR26" i="3"/>
  <c r="BQ26" i="3"/>
  <c r="BP26" i="3"/>
  <c r="BO26" i="3"/>
  <c r="BN26" i="3"/>
  <c r="BM26" i="3"/>
  <c r="BK26" i="3"/>
  <c r="BJ26" i="3"/>
  <c r="BI26" i="3"/>
  <c r="BH26" i="3"/>
  <c r="BG26" i="3"/>
  <c r="BF26" i="3"/>
  <c r="BE26" i="3"/>
  <c r="BD26" i="3"/>
  <c r="BC26" i="3"/>
  <c r="BA26" i="3" s="1"/>
  <c r="BB26" i="3"/>
  <c r="AX26" i="3"/>
  <c r="AW26" i="3"/>
  <c r="AV26" i="3"/>
  <c r="AC26" i="3"/>
  <c r="H26" i="3"/>
  <c r="G26" i="3"/>
  <c r="BT25" i="3"/>
  <c r="BS25" i="3"/>
  <c r="BR25" i="3"/>
  <c r="BQ25" i="3"/>
  <c r="BP25" i="3"/>
  <c r="BO25" i="3"/>
  <c r="BN25" i="3"/>
  <c r="BM25" i="3"/>
  <c r="BL25" i="3" s="1"/>
  <c r="BK25" i="3"/>
  <c r="BJ25" i="3"/>
  <c r="BI25" i="3"/>
  <c r="BH25" i="3"/>
  <c r="BG25" i="3"/>
  <c r="BF25" i="3"/>
  <c r="BE25" i="3"/>
  <c r="BD25" i="3"/>
  <c r="BC25" i="3"/>
  <c r="BA25" i="3" s="1"/>
  <c r="AZ25" i="3" s="1"/>
  <c r="BB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c r="AX22" i="3"/>
  <c r="AW22" i="3"/>
  <c r="AV22" i="3"/>
  <c r="AC22" i="3"/>
  <c r="H22" i="3"/>
  <c r="G22" i="3" s="1"/>
  <c r="BT21" i="3"/>
  <c r="BS21" i="3"/>
  <c r="BR21" i="3"/>
  <c r="BQ21" i="3"/>
  <c r="BP21" i="3"/>
  <c r="BO21" i="3"/>
  <c r="BN21" i="3"/>
  <c r="BL21" i="3" s="1"/>
  <c r="BM21" i="3"/>
  <c r="BK21" i="3"/>
  <c r="BJ21" i="3"/>
  <c r="BI21" i="3"/>
  <c r="BH21" i="3"/>
  <c r="BG21" i="3"/>
  <c r="BF21" i="3"/>
  <c r="BE21" i="3"/>
  <c r="BD21" i="3"/>
  <c r="BC21" i="3"/>
  <c r="BB21" i="3"/>
  <c r="BA21" i="3" s="1"/>
  <c r="AX21" i="3"/>
  <c r="AW21" i="3"/>
  <c r="AV21" i="3"/>
  <c r="AC21" i="3"/>
  <c r="H21" i="3"/>
  <c r="G21" i="3" s="1"/>
  <c r="BT20" i="3"/>
  <c r="BS20" i="3"/>
  <c r="BR20" i="3"/>
  <c r="BQ20" i="3"/>
  <c r="BP20" i="3"/>
  <c r="BO20" i="3"/>
  <c r="BN20" i="3"/>
  <c r="BL20" i="3" s="1"/>
  <c r="BM20" i="3"/>
  <c r="BK20" i="3"/>
  <c r="BJ20" i="3"/>
  <c r="BI20" i="3"/>
  <c r="BH20" i="3"/>
  <c r="BG20" i="3"/>
  <c r="BF20" i="3"/>
  <c r="BE20" i="3"/>
  <c r="BD20" i="3"/>
  <c r="BC20" i="3"/>
  <c r="BB20" i="3"/>
  <c r="BA20" i="3" s="1"/>
  <c r="AX20" i="3"/>
  <c r="AW20" i="3"/>
  <c r="AV20" i="3"/>
  <c r="AC20" i="3"/>
  <c r="H20" i="3"/>
  <c r="G20" i="3" s="1"/>
  <c r="BT19" i="3"/>
  <c r="BS19" i="3"/>
  <c r="BR19" i="3"/>
  <c r="BQ19" i="3"/>
  <c r="BP19" i="3"/>
  <c r="BO19" i="3"/>
  <c r="BN19" i="3"/>
  <c r="BL19" i="3" s="1"/>
  <c r="BM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BA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L206" i="3" s="1"/>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A205" i="3" s="1"/>
  <c r="AZ205" i="3" s="1"/>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A180" i="3" s="1"/>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L178" i="3" s="1"/>
  <c r="BM178" i="3"/>
  <c r="BK178" i="3"/>
  <c r="BJ178" i="3"/>
  <c r="BI178" i="3"/>
  <c r="BH178" i="3"/>
  <c r="BG178" i="3"/>
  <c r="BF178" i="3"/>
  <c r="BE178" i="3"/>
  <c r="BD178" i="3"/>
  <c r="BC178" i="3"/>
  <c r="BB178" i="3"/>
  <c r="BA178" i="3" s="1"/>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A169" i="3" s="1"/>
  <c r="AZ169" i="3" s="1"/>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L167" i="3" s="1"/>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s="1"/>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s="1"/>
  <c r="BT155" i="3"/>
  <c r="BS155" i="3"/>
  <c r="BR155" i="3"/>
  <c r="BQ155" i="3"/>
  <c r="BP155" i="3"/>
  <c r="BO155" i="3"/>
  <c r="BL155" i="3" s="1"/>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A154" i="3" s="1"/>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s="1"/>
  <c r="AX142" i="3"/>
  <c r="AW142" i="3"/>
  <c r="AV142" i="3"/>
  <c r="AC142" i="3"/>
  <c r="H142" i="3"/>
  <c r="BT141" i="3"/>
  <c r="BS141" i="3"/>
  <c r="BR141" i="3"/>
  <c r="BQ141" i="3"/>
  <c r="BP141" i="3"/>
  <c r="BO141" i="3"/>
  <c r="BL141" i="3" s="1"/>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A140" i="3" s="1"/>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L138" i="3" s="1"/>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s="1"/>
  <c r="BN130" i="3"/>
  <c r="BM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L123" i="3" s="1"/>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s="1"/>
  <c r="BC122" i="3"/>
  <c r="BB122" i="3"/>
  <c r="AZ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s="1"/>
  <c r="BN118" i="3"/>
  <c r="BM118" i="3"/>
  <c r="BK118" i="3"/>
  <c r="BJ118" i="3"/>
  <c r="BI118" i="3"/>
  <c r="BH118" i="3"/>
  <c r="BG118" i="3"/>
  <c r="BF118" i="3"/>
  <c r="BE118" i="3"/>
  <c r="BD118" i="3"/>
  <c r="BC118" i="3"/>
  <c r="BB118" i="3"/>
  <c r="BA118" i="3" s="1"/>
  <c r="AZ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BA114" i="3" s="1"/>
  <c r="AX114" i="3"/>
  <c r="AW114" i="3"/>
  <c r="AV114" i="3"/>
  <c r="AC114" i="3"/>
  <c r="H114" i="3"/>
  <c r="BT113" i="3"/>
  <c r="BS113" i="3"/>
  <c r="BR113" i="3"/>
  <c r="BQ113" i="3"/>
  <c r="BP113" i="3"/>
  <c r="BO113" i="3"/>
  <c r="BL113" i="3" s="1"/>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BT300" i="3"/>
  <c r="BS300" i="3"/>
  <c r="BR300" i="3"/>
  <c r="BQ300" i="3"/>
  <c r="BP300" i="3"/>
  <c r="BO300" i="3"/>
  <c r="BL300" i="3" s="1"/>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A298" i="3" s="1"/>
  <c r="BC298" i="3"/>
  <c r="BB298" i="3"/>
  <c r="AZ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L295" i="3" s="1"/>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BT292" i="3"/>
  <c r="BS292" i="3"/>
  <c r="BR292" i="3"/>
  <c r="BQ292" i="3"/>
  <c r="BP292" i="3"/>
  <c r="BO292" i="3"/>
  <c r="BL292" i="3" s="1"/>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L290" i="3" s="1"/>
  <c r="BK290" i="3"/>
  <c r="BJ290" i="3"/>
  <c r="BI290" i="3"/>
  <c r="BH290" i="3"/>
  <c r="BG290" i="3"/>
  <c r="BF290" i="3"/>
  <c r="BE290" i="3"/>
  <c r="BD290" i="3"/>
  <c r="BC290" i="3"/>
  <c r="BA290" i="3" s="1"/>
  <c r="BB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G288" i="3" s="1"/>
  <c r="H288" i="3"/>
  <c r="BT287" i="3"/>
  <c r="BS287" i="3"/>
  <c r="BR287" i="3"/>
  <c r="BQ287" i="3"/>
  <c r="BP287" i="3"/>
  <c r="BO287" i="3"/>
  <c r="BL287" i="3" s="1"/>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s="1"/>
  <c r="BT285" i="3"/>
  <c r="BS285" i="3"/>
  <c r="BR285" i="3"/>
  <c r="BQ285" i="3"/>
  <c r="BP285" i="3"/>
  <c r="BO285" i="3"/>
  <c r="BL285" i="3" s="1"/>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s="1"/>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G281" i="3"/>
  <c r="BT280" i="3"/>
  <c r="BS280" i="3"/>
  <c r="BR280" i="3"/>
  <c r="BQ280" i="3"/>
  <c r="BP280" i="3"/>
  <c r="BO280" i="3"/>
  <c r="BN280" i="3"/>
  <c r="BM280" i="3"/>
  <c r="BL280" i="3"/>
  <c r="BK280" i="3"/>
  <c r="BJ280" i="3"/>
  <c r="BI280" i="3"/>
  <c r="BH280" i="3"/>
  <c r="BG280" i="3"/>
  <c r="BF280" i="3"/>
  <c r="BE280" i="3"/>
  <c r="BD280" i="3"/>
  <c r="BA280" i="3" s="1"/>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c r="BT278" i="3"/>
  <c r="BS278" i="3"/>
  <c r="BR278" i="3"/>
  <c r="BQ278" i="3"/>
  <c r="BP278" i="3"/>
  <c r="BO278" i="3"/>
  <c r="BN278" i="3"/>
  <c r="BM278" i="3"/>
  <c r="BL278" i="3"/>
  <c r="BK278" i="3"/>
  <c r="BJ278" i="3"/>
  <c r="BI278" i="3"/>
  <c r="BH278" i="3"/>
  <c r="BG278" i="3"/>
  <c r="BF278" i="3"/>
  <c r="BE278" i="3"/>
  <c r="BD278" i="3"/>
  <c r="BA278" i="3" s="1"/>
  <c r="BC278" i="3"/>
  <c r="BB278" i="3"/>
  <c r="AZ278" i="3"/>
  <c r="AX278" i="3"/>
  <c r="AW278" i="3"/>
  <c r="AV278" i="3"/>
  <c r="AC278" i="3"/>
  <c r="H278" i="3"/>
  <c r="BT277" i="3"/>
  <c r="BS277" i="3"/>
  <c r="BR277" i="3"/>
  <c r="BQ277" i="3"/>
  <c r="BP277" i="3"/>
  <c r="BO277" i="3"/>
  <c r="BL277" i="3" s="1"/>
  <c r="BN277" i="3"/>
  <c r="BM277" i="3"/>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BA273" i="3" s="1"/>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s="1"/>
  <c r="BC272" i="3"/>
  <c r="BB272" i="3"/>
  <c r="AZ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c r="BT267" i="3"/>
  <c r="BS267" i="3"/>
  <c r="BR267" i="3"/>
  <c r="BQ267" i="3"/>
  <c r="BP267" i="3"/>
  <c r="BO267" i="3"/>
  <c r="BN267" i="3"/>
  <c r="BM267" i="3"/>
  <c r="BL267" i="3"/>
  <c r="BK267" i="3"/>
  <c r="BJ267" i="3"/>
  <c r="BI267" i="3"/>
  <c r="BH267" i="3"/>
  <c r="BG267" i="3"/>
  <c r="BF267" i="3"/>
  <c r="BE267" i="3"/>
  <c r="BD267" i="3"/>
  <c r="BA267" i="3" s="1"/>
  <c r="AZ267" i="3" s="1"/>
  <c r="BC267" i="3"/>
  <c r="BB267" i="3"/>
  <c r="AX267" i="3"/>
  <c r="AW267" i="3"/>
  <c r="AV267" i="3"/>
  <c r="AC267" i="3"/>
  <c r="H267" i="3"/>
  <c r="G267" i="3" s="1"/>
  <c r="BT266" i="3"/>
  <c r="BS266" i="3"/>
  <c r="BR266" i="3"/>
  <c r="BQ266" i="3"/>
  <c r="BP266" i="3"/>
  <c r="BO266" i="3"/>
  <c r="BL266" i="3" s="1"/>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s="1"/>
  <c r="BT264" i="3"/>
  <c r="BS264" i="3"/>
  <c r="BR264" i="3"/>
  <c r="BQ264" i="3"/>
  <c r="BP264" i="3"/>
  <c r="BO264" i="3"/>
  <c r="BL264" i="3" s="1"/>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c r="BT262" i="3"/>
  <c r="BS262" i="3"/>
  <c r="BR262" i="3"/>
  <c r="BQ262" i="3"/>
  <c r="BP262" i="3"/>
  <c r="BO262" i="3"/>
  <c r="BN262" i="3"/>
  <c r="BM262" i="3"/>
  <c r="BL262" i="3"/>
  <c r="BK262" i="3"/>
  <c r="BJ262" i="3"/>
  <c r="BI262" i="3"/>
  <c r="BH262" i="3"/>
  <c r="BG262" i="3"/>
  <c r="BF262" i="3"/>
  <c r="BE262" i="3"/>
  <c r="BD262" i="3"/>
  <c r="BA262" i="3" s="1"/>
  <c r="AZ262" i="3" s="1"/>
  <c r="BC262" i="3"/>
  <c r="BB262" i="3"/>
  <c r="AX262" i="3"/>
  <c r="AW262" i="3"/>
  <c r="AV262" i="3"/>
  <c r="AC262" i="3"/>
  <c r="H262" i="3"/>
  <c r="G262" i="3" s="1"/>
  <c r="BT261" i="3"/>
  <c r="BS261" i="3"/>
  <c r="BR261" i="3"/>
  <c r="BQ261" i="3"/>
  <c r="BP261" i="3"/>
  <c r="BO261" i="3"/>
  <c r="BL261" i="3" s="1"/>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A259" i="3" s="1"/>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BA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s="1"/>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A254" i="3" s="1"/>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G253" i="3"/>
  <c r="BT252" i="3"/>
  <c r="BS252" i="3"/>
  <c r="BR252" i="3"/>
  <c r="BQ252" i="3"/>
  <c r="BP252" i="3"/>
  <c r="BO252" i="3"/>
  <c r="BN252" i="3"/>
  <c r="BM252" i="3"/>
  <c r="BL252" i="3"/>
  <c r="BK252" i="3"/>
  <c r="BJ252" i="3"/>
  <c r="BI252" i="3"/>
  <c r="BH252" i="3"/>
  <c r="BG252" i="3"/>
  <c r="BF252" i="3"/>
  <c r="BE252" i="3"/>
  <c r="BD252" i="3"/>
  <c r="BA252" i="3" s="1"/>
  <c r="AZ252" i="3" s="1"/>
  <c r="BC252" i="3"/>
  <c r="BB252" i="3"/>
  <c r="AX252" i="3"/>
  <c r="AW252" i="3"/>
  <c r="AV252" i="3"/>
  <c r="AC252" i="3"/>
  <c r="H252" i="3"/>
  <c r="G252" i="3" s="1"/>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s="1"/>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BT247" i="3"/>
  <c r="BS247" i="3"/>
  <c r="BR247" i="3"/>
  <c r="BQ247" i="3"/>
  <c r="BP247" i="3"/>
  <c r="BO247" i="3"/>
  <c r="BL247" i="3" s="1"/>
  <c r="BN247" i="3"/>
  <c r="BM247" i="3"/>
  <c r="BK247" i="3"/>
  <c r="BJ247" i="3"/>
  <c r="BI247" i="3"/>
  <c r="BH247" i="3"/>
  <c r="BG247" i="3"/>
  <c r="BF247" i="3"/>
  <c r="BE247" i="3"/>
  <c r="BD247" i="3"/>
  <c r="BC247" i="3"/>
  <c r="BB247" i="3"/>
  <c r="BA247" i="3" s="1"/>
  <c r="AZ247" i="3" s="1"/>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BT244" i="3"/>
  <c r="BS244" i="3"/>
  <c r="BR244" i="3"/>
  <c r="BQ244" i="3"/>
  <c r="BP244" i="3"/>
  <c r="BO244" i="3"/>
  <c r="BL244" i="3" s="1"/>
  <c r="BN244" i="3"/>
  <c r="BM244" i="3"/>
  <c r="BK244" i="3"/>
  <c r="BJ244" i="3"/>
  <c r="BI244" i="3"/>
  <c r="BH244" i="3"/>
  <c r="BG244" i="3"/>
  <c r="BF244" i="3"/>
  <c r="BE244" i="3"/>
  <c r="BD244" i="3"/>
  <c r="BC244" i="3"/>
  <c r="BB244" i="3"/>
  <c r="BA244" i="3" s="1"/>
  <c r="AZ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c r="BT242" i="3"/>
  <c r="BS242" i="3"/>
  <c r="BR242" i="3"/>
  <c r="BQ242" i="3"/>
  <c r="BP242" i="3"/>
  <c r="BO242" i="3"/>
  <c r="BN242" i="3"/>
  <c r="BM242" i="3"/>
  <c r="BL242" i="3"/>
  <c r="BK242" i="3"/>
  <c r="BJ242" i="3"/>
  <c r="BI242" i="3"/>
  <c r="BH242" i="3"/>
  <c r="BG242" i="3"/>
  <c r="BF242" i="3"/>
  <c r="BE242" i="3"/>
  <c r="BD242" i="3"/>
  <c r="BA242" i="3" s="1"/>
  <c r="BC242" i="3"/>
  <c r="BB242" i="3"/>
  <c r="AZ242" i="3"/>
  <c r="AX242" i="3"/>
  <c r="AW242" i="3"/>
  <c r="AV242" i="3"/>
  <c r="AC242" i="3"/>
  <c r="H242" i="3"/>
  <c r="BT241" i="3"/>
  <c r="BS241" i="3"/>
  <c r="BR241" i="3"/>
  <c r="BQ241" i="3"/>
  <c r="BP241" i="3"/>
  <c r="BO241" i="3"/>
  <c r="BL241" i="3" s="1"/>
  <c r="BN241" i="3"/>
  <c r="BM241" i="3"/>
  <c r="BK241" i="3"/>
  <c r="BJ241" i="3"/>
  <c r="BI241" i="3"/>
  <c r="BH241" i="3"/>
  <c r="BG241" i="3"/>
  <c r="BF241" i="3"/>
  <c r="BE241" i="3"/>
  <c r="BD241" i="3"/>
  <c r="BC241" i="3"/>
  <c r="BB241" i="3"/>
  <c r="BA241" i="3" s="1"/>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BT239" i="3"/>
  <c r="BS239" i="3"/>
  <c r="BR239" i="3"/>
  <c r="BQ239" i="3"/>
  <c r="BP239" i="3"/>
  <c r="BO239" i="3"/>
  <c r="BL239" i="3" s="1"/>
  <c r="BN239" i="3"/>
  <c r="BM239" i="3"/>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c r="BT237" i="3"/>
  <c r="BS237" i="3"/>
  <c r="BR237" i="3"/>
  <c r="BQ237" i="3"/>
  <c r="BP237" i="3"/>
  <c r="BO237" i="3"/>
  <c r="BN237" i="3"/>
  <c r="BM237" i="3"/>
  <c r="BL237" i="3"/>
  <c r="BK237" i="3"/>
  <c r="BJ237" i="3"/>
  <c r="BI237" i="3"/>
  <c r="BH237" i="3"/>
  <c r="BG237" i="3"/>
  <c r="BF237" i="3"/>
  <c r="BE237" i="3"/>
  <c r="BD237" i="3"/>
  <c r="BA237" i="3" s="1"/>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BA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s="1"/>
  <c r="BT234" i="3"/>
  <c r="BS234" i="3"/>
  <c r="BR234" i="3"/>
  <c r="BQ234" i="3"/>
  <c r="BP234" i="3"/>
  <c r="BO234" i="3"/>
  <c r="BL234" i="3" s="1"/>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s="1"/>
  <c r="BT232" i="3"/>
  <c r="BS232" i="3"/>
  <c r="BR232" i="3"/>
  <c r="BQ232" i="3"/>
  <c r="BP232" i="3"/>
  <c r="BO232" i="3"/>
  <c r="BL232" i="3" s="1"/>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A230" i="3" s="1"/>
  <c r="BC230" i="3"/>
  <c r="BB230" i="3"/>
  <c r="AZ230" i="3"/>
  <c r="AX230" i="3"/>
  <c r="AW230" i="3"/>
  <c r="AV230" i="3"/>
  <c r="AC230" i="3"/>
  <c r="H230" i="3"/>
  <c r="BT229" i="3"/>
  <c r="BS229" i="3"/>
  <c r="BR229" i="3"/>
  <c r="BQ229" i="3"/>
  <c r="BP229" i="3"/>
  <c r="BO229" i="3"/>
  <c r="BL229" i="3" s="1"/>
  <c r="BN229" i="3"/>
  <c r="BM229" i="3"/>
  <c r="BK229" i="3"/>
  <c r="BJ229" i="3"/>
  <c r="BI229" i="3"/>
  <c r="BH229" i="3"/>
  <c r="BG229" i="3"/>
  <c r="BF229" i="3"/>
  <c r="BE229" i="3"/>
  <c r="BD229" i="3"/>
  <c r="BC229" i="3"/>
  <c r="BB229" i="3"/>
  <c r="BA229" i="3" s="1"/>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BA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A224" i="3" s="1"/>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G223" i="3"/>
  <c r="BT222" i="3"/>
  <c r="BS222" i="3"/>
  <c r="BR222" i="3"/>
  <c r="BQ222" i="3"/>
  <c r="BP222" i="3"/>
  <c r="BO222" i="3"/>
  <c r="BN222" i="3"/>
  <c r="BM222" i="3"/>
  <c r="BL222" i="3"/>
  <c r="BK222" i="3"/>
  <c r="BJ222" i="3"/>
  <c r="BI222" i="3"/>
  <c r="BH222" i="3"/>
  <c r="BG222" i="3"/>
  <c r="BF222" i="3"/>
  <c r="BE222" i="3"/>
  <c r="BD222" i="3"/>
  <c r="BA222" i="3" s="1"/>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BA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A219" i="3" s="1"/>
  <c r="BC219" i="3"/>
  <c r="BB219" i="3"/>
  <c r="AZ219" i="3"/>
  <c r="AX219" i="3"/>
  <c r="AW219" i="3"/>
  <c r="AV219" i="3"/>
  <c r="AC219" i="3"/>
  <c r="H219" i="3"/>
  <c r="BT218" i="3"/>
  <c r="BS218" i="3"/>
  <c r="BR218" i="3"/>
  <c r="BQ218" i="3"/>
  <c r="BP218" i="3"/>
  <c r="BO218" i="3"/>
  <c r="BL218" i="3" s="1"/>
  <c r="BN218" i="3"/>
  <c r="BM218" i="3"/>
  <c r="BK218" i="3"/>
  <c r="BJ218" i="3"/>
  <c r="BI218" i="3"/>
  <c r="BH218" i="3"/>
  <c r="BG218" i="3"/>
  <c r="BF218" i="3"/>
  <c r="BE218" i="3"/>
  <c r="BD218" i="3"/>
  <c r="BC218" i="3"/>
  <c r="BB218" i="3"/>
  <c r="BA218" i="3" s="1"/>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c r="BT216" i="3"/>
  <c r="BS216" i="3"/>
  <c r="BR216" i="3"/>
  <c r="BQ216" i="3"/>
  <c r="BP216" i="3"/>
  <c r="BO216" i="3"/>
  <c r="BN216" i="3"/>
  <c r="BM216" i="3"/>
  <c r="BL216" i="3"/>
  <c r="BK216" i="3"/>
  <c r="BJ216" i="3"/>
  <c r="BI216" i="3"/>
  <c r="BH216" i="3"/>
  <c r="BG216" i="3"/>
  <c r="BF216" i="3"/>
  <c r="BE216" i="3"/>
  <c r="BD216" i="3"/>
  <c r="BA216" i="3" s="1"/>
  <c r="AZ216" i="3" s="1"/>
  <c r="BC216" i="3"/>
  <c r="BB216" i="3"/>
  <c r="AX216" i="3"/>
  <c r="AW216" i="3"/>
  <c r="AV216" i="3"/>
  <c r="AC216" i="3"/>
  <c r="H216" i="3"/>
  <c r="G216" i="3" s="1"/>
  <c r="BT215" i="3"/>
  <c r="BS215" i="3"/>
  <c r="BR215" i="3"/>
  <c r="BQ215" i="3"/>
  <c r="BP215" i="3"/>
  <c r="BO215" i="3"/>
  <c r="BL215" i="3" s="1"/>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s="1"/>
  <c r="BT213" i="3"/>
  <c r="BS213" i="3"/>
  <c r="BR213" i="3"/>
  <c r="BQ213" i="3"/>
  <c r="BP213" i="3"/>
  <c r="BO213" i="3"/>
  <c r="BL213" i="3" s="1"/>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A211" i="3" s="1"/>
  <c r="BC211" i="3"/>
  <c r="BB211" i="3"/>
  <c r="AZ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s="1"/>
  <c r="AX209" i="3"/>
  <c r="AW209" i="3"/>
  <c r="AV209" i="3"/>
  <c r="AC209" i="3"/>
  <c r="H209" i="3"/>
  <c r="G209" i="3"/>
  <c r="BT208" i="3"/>
  <c r="BS208" i="3"/>
  <c r="BR208" i="3"/>
  <c r="BQ208" i="3"/>
  <c r="BP208" i="3"/>
  <c r="BO208" i="3"/>
  <c r="BN208" i="3"/>
  <c r="BM208" i="3"/>
  <c r="BL208" i="3"/>
  <c r="BK208" i="3"/>
  <c r="BJ208" i="3"/>
  <c r="BI208" i="3"/>
  <c r="BH208" i="3"/>
  <c r="BG208" i="3"/>
  <c r="BF208" i="3"/>
  <c r="BE208" i="3"/>
  <c r="BD208" i="3"/>
  <c r="BA208" i="3" s="1"/>
  <c r="BC208" i="3"/>
  <c r="BB208" i="3"/>
  <c r="AZ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H396" i="3"/>
  <c r="G396" i="3"/>
  <c r="BT395" i="3"/>
  <c r="BS395" i="3"/>
  <c r="BR395" i="3"/>
  <c r="BQ395" i="3"/>
  <c r="BP395" i="3"/>
  <c r="BO395" i="3"/>
  <c r="BN395" i="3"/>
  <c r="BM395" i="3"/>
  <c r="BL395" i="3"/>
  <c r="BK395" i="3"/>
  <c r="BJ395" i="3"/>
  <c r="BI395" i="3"/>
  <c r="BH395" i="3"/>
  <c r="BG395" i="3"/>
  <c r="BF395" i="3"/>
  <c r="BE395" i="3"/>
  <c r="BD395" i="3"/>
  <c r="BA395" i="3" s="1"/>
  <c r="BC395" i="3"/>
  <c r="BB395" i="3"/>
  <c r="AZ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A386" i="3" s="1"/>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A374" i="3" s="1"/>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L368" i="3" s="1"/>
  <c r="BN368" i="3"/>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c r="BK367" i="3"/>
  <c r="BJ367" i="3"/>
  <c r="BI367" i="3"/>
  <c r="BH367" i="3"/>
  <c r="BG367" i="3"/>
  <c r="BF367" i="3"/>
  <c r="BE367" i="3"/>
  <c r="BD367" i="3"/>
  <c r="BA367" i="3" s="1"/>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L353" i="3" s="1"/>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A350" i="3" s="1"/>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A349" i="3" s="1"/>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L346" i="3" s="1"/>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s="1"/>
  <c r="AX333" i="3"/>
  <c r="AW333" i="3"/>
  <c r="AV333" i="3"/>
  <c r="AC333" i="3"/>
  <c r="H333" i="3"/>
  <c r="BT332" i="3"/>
  <c r="BS332" i="3"/>
  <c r="BR332" i="3"/>
  <c r="BQ332" i="3"/>
  <c r="BP332" i="3"/>
  <c r="BO332" i="3"/>
  <c r="BL332" i="3" s="1"/>
  <c r="BN332" i="3"/>
  <c r="BM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s="1"/>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A484" i="3" s="1"/>
  <c r="AZ484" i="3" s="1"/>
  <c r="BC484" i="3"/>
  <c r="BB484" i="3"/>
  <c r="AX484" i="3"/>
  <c r="AW484" i="3"/>
  <c r="AV484" i="3"/>
  <c r="AC484" i="3"/>
  <c r="H484" i="3"/>
  <c r="G484" i="3" s="1"/>
  <c r="BT483" i="3"/>
  <c r="BS483" i="3"/>
  <c r="BR483" i="3"/>
  <c r="BQ483" i="3"/>
  <c r="BP483" i="3"/>
  <c r="BO483" i="3"/>
  <c r="BL483" i="3" s="1"/>
  <c r="AZ483" i="3" s="1"/>
  <c r="BN483" i="3"/>
  <c r="BM483" i="3"/>
  <c r="BK483" i="3"/>
  <c r="BJ483" i="3"/>
  <c r="BI483" i="3"/>
  <c r="BH483" i="3"/>
  <c r="BG483" i="3"/>
  <c r="BF483" i="3"/>
  <c r="BE483" i="3"/>
  <c r="BD483" i="3"/>
  <c r="BC483" i="3"/>
  <c r="BB483" i="3"/>
  <c r="BA483" i="3" s="1"/>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s="1"/>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L471" i="3" s="1"/>
  <c r="BM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G469" i="3" s="1"/>
  <c r="H469" i="3"/>
  <c r="BT468" i="3"/>
  <c r="BS468" i="3"/>
  <c r="BR468" i="3"/>
  <c r="BQ468" i="3"/>
  <c r="BP468" i="3"/>
  <c r="BO468" i="3"/>
  <c r="BL468" i="3" s="1"/>
  <c r="BN468" i="3"/>
  <c r="BM468" i="3"/>
  <c r="BK468" i="3"/>
  <c r="BJ468" i="3"/>
  <c r="BI468" i="3"/>
  <c r="BH468" i="3"/>
  <c r="BG468" i="3"/>
  <c r="BF468" i="3"/>
  <c r="BE468" i="3"/>
  <c r="BD468" i="3"/>
  <c r="BC468" i="3"/>
  <c r="BA468" i="3" s="1"/>
  <c r="BB468" i="3"/>
  <c r="AX468" i="3"/>
  <c r="AW468" i="3"/>
  <c r="AV468" i="3"/>
  <c r="AC468" i="3"/>
  <c r="H468" i="3"/>
  <c r="G468" i="3" s="1"/>
  <c r="BT467" i="3"/>
  <c r="BS467" i="3"/>
  <c r="BR467" i="3"/>
  <c r="BQ467" i="3"/>
  <c r="BP467" i="3"/>
  <c r="BO467" i="3"/>
  <c r="BN467" i="3"/>
  <c r="BL467" i="3" s="1"/>
  <c r="BM467" i="3"/>
  <c r="BK467" i="3"/>
  <c r="BJ467" i="3"/>
  <c r="BI467" i="3"/>
  <c r="BH467" i="3"/>
  <c r="BG467" i="3"/>
  <c r="BF467" i="3"/>
  <c r="BE467" i="3"/>
  <c r="BD467" i="3"/>
  <c r="BC467" i="3"/>
  <c r="BB467" i="3"/>
  <c r="BA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G465" i="3" s="1"/>
  <c r="BT464" i="3"/>
  <c r="BS464" i="3"/>
  <c r="BR464" i="3"/>
  <c r="BQ464" i="3"/>
  <c r="BP464" i="3"/>
  <c r="BO464" i="3"/>
  <c r="BN464" i="3"/>
  <c r="BL464" i="3" s="1"/>
  <c r="BM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G462" i="3" s="1"/>
  <c r="H462" i="3"/>
  <c r="BT461" i="3"/>
  <c r="BS461" i="3"/>
  <c r="BR461" i="3"/>
  <c r="BQ461" i="3"/>
  <c r="BP461" i="3"/>
  <c r="BO461" i="3"/>
  <c r="BL461" i="3" s="1"/>
  <c r="BN461" i="3"/>
  <c r="BM461" i="3"/>
  <c r="BK461" i="3"/>
  <c r="BJ461" i="3"/>
  <c r="BI461" i="3"/>
  <c r="BH461" i="3"/>
  <c r="BG461" i="3"/>
  <c r="BF461" i="3"/>
  <c r="BE461" i="3"/>
  <c r="BD461" i="3"/>
  <c r="BC461" i="3"/>
  <c r="BA461" i="3" s="1"/>
  <c r="AZ461" i="3" s="1"/>
  <c r="BB461" i="3"/>
  <c r="AX461" i="3"/>
  <c r="AW461" i="3"/>
  <c r="AV461" i="3"/>
  <c r="AC461" i="3"/>
  <c r="H461" i="3"/>
  <c r="G461" i="3" s="1"/>
  <c r="BT460" i="3"/>
  <c r="BS460" i="3"/>
  <c r="BR460" i="3"/>
  <c r="BQ460" i="3"/>
  <c r="BP460" i="3"/>
  <c r="BO460" i="3"/>
  <c r="BN460" i="3"/>
  <c r="BL460" i="3" s="1"/>
  <c r="BM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G458" i="3" s="1"/>
  <c r="H458" i="3"/>
  <c r="BT457" i="3"/>
  <c r="BS457" i="3"/>
  <c r="BR457" i="3"/>
  <c r="BQ457" i="3"/>
  <c r="BP457" i="3"/>
  <c r="BO457" i="3"/>
  <c r="BL457" i="3" s="1"/>
  <c r="BN457" i="3"/>
  <c r="BM457" i="3"/>
  <c r="BK457" i="3"/>
  <c r="BJ457" i="3"/>
  <c r="BI457" i="3"/>
  <c r="BH457" i="3"/>
  <c r="BG457" i="3"/>
  <c r="BF457" i="3"/>
  <c r="BE457" i="3"/>
  <c r="BD457" i="3"/>
  <c r="BC457" i="3"/>
  <c r="BA457" i="3" s="1"/>
  <c r="BB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A455" i="3" s="1"/>
  <c r="AZ455" i="3" s="1"/>
  <c r="BC455" i="3"/>
  <c r="BB455" i="3"/>
  <c r="AX455" i="3"/>
  <c r="AW455" i="3"/>
  <c r="AV455" i="3"/>
  <c r="AC455" i="3"/>
  <c r="G455" i="3" s="1"/>
  <c r="H455" i="3"/>
  <c r="BT454" i="3"/>
  <c r="BS454" i="3"/>
  <c r="BR454" i="3"/>
  <c r="BQ454" i="3"/>
  <c r="BP454" i="3"/>
  <c r="BO454" i="3"/>
  <c r="BL454" i="3" s="1"/>
  <c r="BN454" i="3"/>
  <c r="BM454" i="3"/>
  <c r="BK454" i="3"/>
  <c r="BJ454" i="3"/>
  <c r="BI454" i="3"/>
  <c r="BH454" i="3"/>
  <c r="BG454" i="3"/>
  <c r="BF454" i="3"/>
  <c r="BE454" i="3"/>
  <c r="BD454" i="3"/>
  <c r="BA454" i="3" s="1"/>
  <c r="AZ454" i="3" s="1"/>
  <c r="BC454" i="3"/>
  <c r="BB454" i="3"/>
  <c r="AX454" i="3"/>
  <c r="AW454" i="3"/>
  <c r="AV454" i="3"/>
  <c r="AC454" i="3"/>
  <c r="H454" i="3"/>
  <c r="G454" i="3" s="1"/>
  <c r="BT453" i="3"/>
  <c r="BS453" i="3"/>
  <c r="BR453" i="3"/>
  <c r="BQ453" i="3"/>
  <c r="BP453" i="3"/>
  <c r="BO453" i="3"/>
  <c r="BN453" i="3"/>
  <c r="BL453" i="3" s="1"/>
  <c r="BM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G451" i="3" s="1"/>
  <c r="H451" i="3"/>
  <c r="BT450" i="3"/>
  <c r="BS450" i="3"/>
  <c r="BR450" i="3"/>
  <c r="BQ450" i="3"/>
  <c r="BP450" i="3"/>
  <c r="BO450" i="3"/>
  <c r="BL450" i="3" s="1"/>
  <c r="BN450" i="3"/>
  <c r="BM450" i="3"/>
  <c r="BK450" i="3"/>
  <c r="BJ450" i="3"/>
  <c r="BI450" i="3"/>
  <c r="BH450" i="3"/>
  <c r="BG450" i="3"/>
  <c r="BF450" i="3"/>
  <c r="BE450" i="3"/>
  <c r="BD450" i="3"/>
  <c r="BA450" i="3" s="1"/>
  <c r="BC450" i="3"/>
  <c r="BB450" i="3"/>
  <c r="AX450" i="3"/>
  <c r="AW450" i="3"/>
  <c r="AV450" i="3"/>
  <c r="AC450" i="3"/>
  <c r="H450" i="3"/>
  <c r="G450" i="3" s="1"/>
  <c r="BT449" i="3"/>
  <c r="BS449" i="3"/>
  <c r="BR449" i="3"/>
  <c r="BQ449" i="3"/>
  <c r="BP449" i="3"/>
  <c r="BO449" i="3"/>
  <c r="BN449" i="3"/>
  <c r="BL449" i="3" s="1"/>
  <c r="BM449" i="3"/>
  <c r="BK449" i="3"/>
  <c r="BJ449" i="3"/>
  <c r="BI449" i="3"/>
  <c r="BH449" i="3"/>
  <c r="BG449" i="3"/>
  <c r="BF449" i="3"/>
  <c r="BE449" i="3"/>
  <c r="BD449" i="3"/>
  <c r="BC449" i="3"/>
  <c r="BB449" i="3"/>
  <c r="BA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G448" i="3"/>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G447" i="3" s="1"/>
  <c r="H447" i="3"/>
  <c r="BT446" i="3"/>
  <c r="BS446" i="3"/>
  <c r="BR446" i="3"/>
  <c r="BQ446" i="3"/>
  <c r="BP446" i="3"/>
  <c r="BO446" i="3"/>
  <c r="BL446" i="3" s="1"/>
  <c r="BN446" i="3"/>
  <c r="BM446" i="3"/>
  <c r="BK446" i="3"/>
  <c r="BJ446" i="3"/>
  <c r="BI446" i="3"/>
  <c r="BH446" i="3"/>
  <c r="BG446" i="3"/>
  <c r="BF446" i="3"/>
  <c r="BE446" i="3"/>
  <c r="BD446" i="3"/>
  <c r="BA446" i="3" s="1"/>
  <c r="BC446" i="3"/>
  <c r="BB446" i="3"/>
  <c r="AX446" i="3"/>
  <c r="AW446" i="3"/>
  <c r="AV446" i="3"/>
  <c r="AC446" i="3"/>
  <c r="H446" i="3"/>
  <c r="G446" i="3" s="1"/>
  <c r="BT445" i="3"/>
  <c r="BS445" i="3"/>
  <c r="BR445" i="3"/>
  <c r="BQ445" i="3"/>
  <c r="BP445" i="3"/>
  <c r="BO445" i="3"/>
  <c r="BN445" i="3"/>
  <c r="BL445" i="3" s="1"/>
  <c r="BM445" i="3"/>
  <c r="BK445" i="3"/>
  <c r="BJ445" i="3"/>
  <c r="BI445" i="3"/>
  <c r="BH445" i="3"/>
  <c r="BG445" i="3"/>
  <c r="BF445" i="3"/>
  <c r="BE445" i="3"/>
  <c r="BD445" i="3"/>
  <c r="BC445" i="3"/>
  <c r="BB445" i="3"/>
  <c r="BA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G443" i="3" s="1"/>
  <c r="H443" i="3"/>
  <c r="BT442" i="3"/>
  <c r="BS442" i="3"/>
  <c r="BR442" i="3"/>
  <c r="BQ442" i="3"/>
  <c r="BP442" i="3"/>
  <c r="BO442" i="3"/>
  <c r="BL442" i="3" s="1"/>
  <c r="BN442" i="3"/>
  <c r="BM442" i="3"/>
  <c r="BK442" i="3"/>
  <c r="BJ442" i="3"/>
  <c r="BI442" i="3"/>
  <c r="BH442" i="3"/>
  <c r="BG442" i="3"/>
  <c r="BF442" i="3"/>
  <c r="BE442" i="3"/>
  <c r="BD442" i="3"/>
  <c r="BA442" i="3" s="1"/>
  <c r="BC442" i="3"/>
  <c r="BB442" i="3"/>
  <c r="AX442" i="3"/>
  <c r="AW442" i="3"/>
  <c r="AV442" i="3"/>
  <c r="AC442" i="3"/>
  <c r="H442" i="3"/>
  <c r="G442" i="3" s="1"/>
  <c r="BT441" i="3"/>
  <c r="BS441" i="3"/>
  <c r="BR441" i="3"/>
  <c r="BQ441" i="3"/>
  <c r="BP441" i="3"/>
  <c r="BO441" i="3"/>
  <c r="BN441" i="3"/>
  <c r="BL441" i="3" s="1"/>
  <c r="BM441" i="3"/>
  <c r="BK441" i="3"/>
  <c r="BJ441" i="3"/>
  <c r="BI441" i="3"/>
  <c r="BH441" i="3"/>
  <c r="BG441" i="3"/>
  <c r="BF441" i="3"/>
  <c r="BE441" i="3"/>
  <c r="BD441" i="3"/>
  <c r="BC441" i="3"/>
  <c r="BB441" i="3"/>
  <c r="BA441" i="3" s="1"/>
  <c r="AX441" i="3"/>
  <c r="AW441" i="3"/>
  <c r="AV441" i="3"/>
  <c r="AC441" i="3"/>
  <c r="H441" i="3"/>
  <c r="G441" i="3"/>
  <c r="BT440" i="3"/>
  <c r="BS440" i="3"/>
  <c r="BR440" i="3"/>
  <c r="BQ440" i="3"/>
  <c r="BP440" i="3"/>
  <c r="BO440" i="3"/>
  <c r="BN440" i="3"/>
  <c r="BM440" i="3"/>
  <c r="BL440" i="3"/>
  <c r="BK440" i="3"/>
  <c r="BJ440" i="3"/>
  <c r="BI440" i="3"/>
  <c r="BH440" i="3"/>
  <c r="BG440" i="3"/>
  <c r="BF440" i="3"/>
  <c r="BE440" i="3"/>
  <c r="BD440" i="3"/>
  <c r="BA440" i="3" s="1"/>
  <c r="AZ440" i="3" s="1"/>
  <c r="BC440" i="3"/>
  <c r="BB440" i="3"/>
  <c r="AX440" i="3"/>
  <c r="AW440" i="3"/>
  <c r="AV440" i="3"/>
  <c r="AC440" i="3"/>
  <c r="G440" i="3" s="1"/>
  <c r="H440" i="3"/>
  <c r="BT439" i="3"/>
  <c r="BS439" i="3"/>
  <c r="BR439" i="3"/>
  <c r="BQ439" i="3"/>
  <c r="BP439" i="3"/>
  <c r="BO439" i="3"/>
  <c r="BL439" i="3" s="1"/>
  <c r="BN439" i="3"/>
  <c r="BM439" i="3"/>
  <c r="BK439" i="3"/>
  <c r="BJ439" i="3"/>
  <c r="BI439" i="3"/>
  <c r="BH439" i="3"/>
  <c r="BG439" i="3"/>
  <c r="BF439" i="3"/>
  <c r="BE439" i="3"/>
  <c r="BD439" i="3"/>
  <c r="BC439" i="3"/>
  <c r="BA439" i="3" s="1"/>
  <c r="BB439" i="3"/>
  <c r="AX439" i="3"/>
  <c r="AW439" i="3"/>
  <c r="AV439" i="3"/>
  <c r="AC439" i="3"/>
  <c r="H439" i="3"/>
  <c r="G439" i="3" s="1"/>
  <c r="BT438" i="3"/>
  <c r="BS438" i="3"/>
  <c r="BR438" i="3"/>
  <c r="BQ438" i="3"/>
  <c r="BP438" i="3"/>
  <c r="BO438" i="3"/>
  <c r="BN438" i="3"/>
  <c r="BL438" i="3" s="1"/>
  <c r="BM438" i="3"/>
  <c r="BK438" i="3"/>
  <c r="BJ438" i="3"/>
  <c r="BI438" i="3"/>
  <c r="BH438" i="3"/>
  <c r="BG438" i="3"/>
  <c r="BF438" i="3"/>
  <c r="BE438" i="3"/>
  <c r="BD438" i="3"/>
  <c r="BC438" i="3"/>
  <c r="BA438" i="3" s="1"/>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G437" i="3" s="1"/>
  <c r="H437" i="3"/>
  <c r="BT436" i="3"/>
  <c r="BS436" i="3"/>
  <c r="BR436" i="3"/>
  <c r="BQ436" i="3"/>
  <c r="BP436" i="3"/>
  <c r="BO436" i="3"/>
  <c r="BL436" i="3" s="1"/>
  <c r="BN436" i="3"/>
  <c r="BM436" i="3"/>
  <c r="BK436" i="3"/>
  <c r="BJ436" i="3"/>
  <c r="BI436" i="3"/>
  <c r="BH436" i="3"/>
  <c r="BG436" i="3"/>
  <c r="BF436" i="3"/>
  <c r="BE436" i="3"/>
  <c r="BD436" i="3"/>
  <c r="BC436" i="3"/>
  <c r="BA436" i="3" s="1"/>
  <c r="BB436" i="3"/>
  <c r="AX436" i="3"/>
  <c r="AW436" i="3"/>
  <c r="AV436" i="3"/>
  <c r="AC436" i="3"/>
  <c r="H436" i="3"/>
  <c r="G436" i="3" s="1"/>
  <c r="BT435" i="3"/>
  <c r="BS435" i="3"/>
  <c r="BR435" i="3"/>
  <c r="BQ435" i="3"/>
  <c r="BP435" i="3"/>
  <c r="BO435" i="3"/>
  <c r="BN435" i="3"/>
  <c r="BL435" i="3" s="1"/>
  <c r="BM435" i="3"/>
  <c r="BK435" i="3"/>
  <c r="BJ435" i="3"/>
  <c r="BI435" i="3"/>
  <c r="BH435" i="3"/>
  <c r="BG435" i="3"/>
  <c r="BF435" i="3"/>
  <c r="BE435" i="3"/>
  <c r="BD435" i="3"/>
  <c r="BC435" i="3"/>
  <c r="BA435" i="3" s="1"/>
  <c r="AZ435" i="3" s="1"/>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s="1"/>
  <c r="BC433" i="3"/>
  <c r="BB433" i="3"/>
  <c r="AX433" i="3"/>
  <c r="AW433" i="3"/>
  <c r="AV433" i="3"/>
  <c r="AC433" i="3"/>
  <c r="H433" i="3"/>
  <c r="G433" i="3" s="1"/>
  <c r="BT432" i="3"/>
  <c r="BS432" i="3"/>
  <c r="BR432" i="3"/>
  <c r="BQ432" i="3"/>
  <c r="BP432" i="3"/>
  <c r="BO432" i="3"/>
  <c r="BN432" i="3"/>
  <c r="BL432" i="3" s="1"/>
  <c r="BM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A430" i="3" s="1"/>
  <c r="AZ430" i="3" s="1"/>
  <c r="BC430" i="3"/>
  <c r="BB430" i="3"/>
  <c r="AX430" i="3"/>
  <c r="AW430" i="3"/>
  <c r="AV430" i="3"/>
  <c r="AC430" i="3"/>
  <c r="G430" i="3" s="1"/>
  <c r="H430" i="3"/>
  <c r="BT429" i="3"/>
  <c r="BS429" i="3"/>
  <c r="BR429" i="3"/>
  <c r="BQ429" i="3"/>
  <c r="BP429" i="3"/>
  <c r="BO429" i="3"/>
  <c r="BL429" i="3" s="1"/>
  <c r="BN429" i="3"/>
  <c r="BM429" i="3"/>
  <c r="BK429" i="3"/>
  <c r="BJ429" i="3"/>
  <c r="BI429" i="3"/>
  <c r="BH429" i="3"/>
  <c r="BG429" i="3"/>
  <c r="BF429" i="3"/>
  <c r="BE429" i="3"/>
  <c r="BD429" i="3"/>
  <c r="BC429" i="3"/>
  <c r="BA429" i="3" s="1"/>
  <c r="AZ429" i="3" s="1"/>
  <c r="BB429" i="3"/>
  <c r="AX429" i="3"/>
  <c r="AW429" i="3"/>
  <c r="AV429" i="3"/>
  <c r="AC429" i="3"/>
  <c r="H429" i="3"/>
  <c r="G429" i="3" s="1"/>
  <c r="BT428" i="3"/>
  <c r="BS428" i="3"/>
  <c r="BR428" i="3"/>
  <c r="BQ428" i="3"/>
  <c r="BP428" i="3"/>
  <c r="BO428" i="3"/>
  <c r="BN428" i="3"/>
  <c r="BL428" i="3" s="1"/>
  <c r="BM428" i="3"/>
  <c r="BK428" i="3"/>
  <c r="BJ428" i="3"/>
  <c r="BI428" i="3"/>
  <c r="BH428" i="3"/>
  <c r="BG428" i="3"/>
  <c r="BF428" i="3"/>
  <c r="BE428" i="3"/>
  <c r="BD428" i="3"/>
  <c r="BC428" i="3"/>
  <c r="BB428" i="3"/>
  <c r="BA428" i="3" s="1"/>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s="1"/>
  <c r="AZ427" i="3" s="1"/>
  <c r="BC427" i="3"/>
  <c r="BB427" i="3"/>
  <c r="AX427" i="3"/>
  <c r="AW427" i="3"/>
  <c r="AV427" i="3"/>
  <c r="AC427" i="3"/>
  <c r="G427" i="3" s="1"/>
  <c r="H427" i="3"/>
  <c r="BT426" i="3"/>
  <c r="BS426" i="3"/>
  <c r="BR426" i="3"/>
  <c r="BQ426" i="3"/>
  <c r="BP426" i="3"/>
  <c r="BO426" i="3"/>
  <c r="BL426" i="3" s="1"/>
  <c r="BN426" i="3"/>
  <c r="BM426" i="3"/>
  <c r="BK426" i="3"/>
  <c r="BJ426" i="3"/>
  <c r="BI426" i="3"/>
  <c r="BH426" i="3"/>
  <c r="BG426" i="3"/>
  <c r="BF426" i="3"/>
  <c r="BE426" i="3"/>
  <c r="BD426" i="3"/>
  <c r="BC426" i="3"/>
  <c r="BA426" i="3" s="1"/>
  <c r="BB426" i="3"/>
  <c r="AX426" i="3"/>
  <c r="AW426" i="3"/>
  <c r="AV426" i="3"/>
  <c r="AC426" i="3"/>
  <c r="H426" i="3"/>
  <c r="G426" i="3" s="1"/>
  <c r="BT425" i="3"/>
  <c r="BS425" i="3"/>
  <c r="BR425" i="3"/>
  <c r="BQ425" i="3"/>
  <c r="BP425" i="3"/>
  <c r="BO425" i="3"/>
  <c r="BN425" i="3"/>
  <c r="BL425" i="3" s="1"/>
  <c r="BM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A423" i="3" s="1"/>
  <c r="AZ423" i="3" s="1"/>
  <c r="BC423" i="3"/>
  <c r="BB423" i="3"/>
  <c r="AX423" i="3"/>
  <c r="AW423" i="3"/>
  <c r="AV423" i="3"/>
  <c r="AC423" i="3"/>
  <c r="G423" i="3" s="1"/>
  <c r="H423" i="3"/>
  <c r="BT422" i="3"/>
  <c r="BS422" i="3"/>
  <c r="BR422" i="3"/>
  <c r="BQ422" i="3"/>
  <c r="BP422" i="3"/>
  <c r="BO422" i="3"/>
  <c r="BL422" i="3" s="1"/>
  <c r="BN422" i="3"/>
  <c r="BM422" i="3"/>
  <c r="BK422" i="3"/>
  <c r="BJ422" i="3"/>
  <c r="BI422" i="3"/>
  <c r="BH422" i="3"/>
  <c r="BG422" i="3"/>
  <c r="BF422" i="3"/>
  <c r="BE422" i="3"/>
  <c r="BD422" i="3"/>
  <c r="BA422" i="3" s="1"/>
  <c r="AZ422" i="3" s="1"/>
  <c r="BC422" i="3"/>
  <c r="BB422" i="3"/>
  <c r="AX422" i="3"/>
  <c r="AW422" i="3"/>
  <c r="AV422" i="3"/>
  <c r="AC422" i="3"/>
  <c r="H422" i="3"/>
  <c r="G422" i="3" s="1"/>
  <c r="BT421" i="3"/>
  <c r="BS421" i="3"/>
  <c r="BR421" i="3"/>
  <c r="BQ421" i="3"/>
  <c r="BP421" i="3"/>
  <c r="BO421" i="3"/>
  <c r="BN421" i="3"/>
  <c r="BL421" i="3" s="1"/>
  <c r="BM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G419" i="3" s="1"/>
  <c r="H419" i="3"/>
  <c r="BT418" i="3"/>
  <c r="BS418" i="3"/>
  <c r="BR418" i="3"/>
  <c r="BQ418" i="3"/>
  <c r="BP418" i="3"/>
  <c r="BO418" i="3"/>
  <c r="BL418" i="3" s="1"/>
  <c r="BN418" i="3"/>
  <c r="BM418" i="3"/>
  <c r="BK418" i="3"/>
  <c r="BJ418" i="3"/>
  <c r="BI418" i="3"/>
  <c r="BH418" i="3"/>
  <c r="BG418" i="3"/>
  <c r="BF418" i="3"/>
  <c r="BE418" i="3"/>
  <c r="BD418" i="3"/>
  <c r="BA418" i="3" s="1"/>
  <c r="AZ418" i="3" s="1"/>
  <c r="BC418" i="3"/>
  <c r="BB418" i="3"/>
  <c r="AX418" i="3"/>
  <c r="AW418" i="3"/>
  <c r="AV418" i="3"/>
  <c r="AC418" i="3"/>
  <c r="H418" i="3"/>
  <c r="G418" i="3" s="1"/>
  <c r="BT417" i="3"/>
  <c r="BS417" i="3"/>
  <c r="BR417" i="3"/>
  <c r="BQ417" i="3"/>
  <c r="BP417" i="3"/>
  <c r="BO417" i="3"/>
  <c r="BN417" i="3"/>
  <c r="BL417" i="3" s="1"/>
  <c r="BM417" i="3"/>
  <c r="BK417" i="3"/>
  <c r="BJ417" i="3"/>
  <c r="BI417" i="3"/>
  <c r="BH417" i="3"/>
  <c r="BG417" i="3"/>
  <c r="BF417" i="3"/>
  <c r="BE417" i="3"/>
  <c r="BD417" i="3"/>
  <c r="BC417" i="3"/>
  <c r="BB417" i="3"/>
  <c r="BA417" i="3" s="1"/>
  <c r="AX417" i="3"/>
  <c r="AW417" i="3"/>
  <c r="AV417" i="3"/>
  <c r="AC417" i="3"/>
  <c r="H417" i="3"/>
  <c r="G417" i="3"/>
  <c r="BT416" i="3"/>
  <c r="BS416" i="3"/>
  <c r="BR416" i="3"/>
  <c r="BQ416" i="3"/>
  <c r="BP416" i="3"/>
  <c r="BO416" i="3"/>
  <c r="BN416" i="3"/>
  <c r="BM416" i="3"/>
  <c r="BL416" i="3"/>
  <c r="BK416" i="3"/>
  <c r="BJ416" i="3"/>
  <c r="BI416" i="3"/>
  <c r="BH416" i="3"/>
  <c r="BG416" i="3"/>
  <c r="BF416" i="3"/>
  <c r="BE416" i="3"/>
  <c r="BD416" i="3"/>
  <c r="BA416" i="3" s="1"/>
  <c r="AZ416" i="3" s="1"/>
  <c r="BC416" i="3"/>
  <c r="BB416" i="3"/>
  <c r="AX416" i="3"/>
  <c r="AW416" i="3"/>
  <c r="AV416" i="3"/>
  <c r="AC416" i="3"/>
  <c r="G416" i="3" s="1"/>
  <c r="H416" i="3"/>
  <c r="BT415" i="3"/>
  <c r="BS415" i="3"/>
  <c r="BR415" i="3"/>
  <c r="BQ415" i="3"/>
  <c r="BP415" i="3"/>
  <c r="BO415" i="3"/>
  <c r="BL415" i="3" s="1"/>
  <c r="BN415" i="3"/>
  <c r="BM415" i="3"/>
  <c r="BK415" i="3"/>
  <c r="BJ415" i="3"/>
  <c r="BI415" i="3"/>
  <c r="BH415" i="3"/>
  <c r="BG415" i="3"/>
  <c r="BF415" i="3"/>
  <c r="BE415" i="3"/>
  <c r="BD415" i="3"/>
  <c r="BC415" i="3"/>
  <c r="BA415" i="3" s="1"/>
  <c r="AZ415" i="3" s="1"/>
  <c r="BB415" i="3"/>
  <c r="AX415" i="3"/>
  <c r="AW415" i="3"/>
  <c r="AV415" i="3"/>
  <c r="AC415" i="3"/>
  <c r="H415" i="3"/>
  <c r="G415" i="3" s="1"/>
  <c r="BT414" i="3"/>
  <c r="BS414" i="3"/>
  <c r="BR414" i="3"/>
  <c r="BQ414" i="3"/>
  <c r="BP414" i="3"/>
  <c r="BO414" i="3"/>
  <c r="BN414" i="3"/>
  <c r="BL414" i="3" s="1"/>
  <c r="BM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c r="BT412" i="3"/>
  <c r="BS412" i="3"/>
  <c r="BR412" i="3"/>
  <c r="BQ412" i="3"/>
  <c r="BP412" i="3"/>
  <c r="BO412" i="3"/>
  <c r="BN412" i="3"/>
  <c r="BM412" i="3"/>
  <c r="BL412" i="3"/>
  <c r="BK412" i="3"/>
  <c r="BJ412" i="3"/>
  <c r="BI412" i="3"/>
  <c r="BH412" i="3"/>
  <c r="BG412" i="3"/>
  <c r="BF412" i="3"/>
  <c r="BE412" i="3"/>
  <c r="BD412" i="3"/>
  <c r="BA412" i="3" s="1"/>
  <c r="BC412" i="3"/>
  <c r="BB412" i="3"/>
  <c r="AX412" i="3"/>
  <c r="AW412" i="3"/>
  <c r="AV412" i="3"/>
  <c r="AC412" i="3"/>
  <c r="H412" i="3"/>
  <c r="G412" i="3" s="1"/>
  <c r="BT411" i="3"/>
  <c r="BS411" i="3"/>
  <c r="BR411" i="3"/>
  <c r="BQ411" i="3"/>
  <c r="BP411" i="3"/>
  <c r="BO411" i="3"/>
  <c r="BN411" i="3"/>
  <c r="BL411" i="3" s="1"/>
  <c r="BM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A409" i="3" s="1"/>
  <c r="AZ409" i="3" s="1"/>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A408" i="3" s="1"/>
  <c r="BB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G406" i="3" s="1"/>
  <c r="H406" i="3"/>
  <c r="BT405" i="3"/>
  <c r="BS405" i="3"/>
  <c r="BR405" i="3"/>
  <c r="BQ405" i="3"/>
  <c r="BP405" i="3"/>
  <c r="BO405" i="3"/>
  <c r="BL405" i="3" s="1"/>
  <c r="BN405" i="3"/>
  <c r="BM405" i="3"/>
  <c r="BK405" i="3"/>
  <c r="BJ405" i="3"/>
  <c r="BI405" i="3"/>
  <c r="BH405" i="3"/>
  <c r="BG405" i="3"/>
  <c r="BF405" i="3"/>
  <c r="BE405" i="3"/>
  <c r="BD405" i="3"/>
  <c r="BC405" i="3"/>
  <c r="BA405" i="3" s="1"/>
  <c r="AZ405" i="3" s="1"/>
  <c r="BB405" i="3"/>
  <c r="AX405" i="3"/>
  <c r="AW405" i="3"/>
  <c r="AV405" i="3"/>
  <c r="AC405" i="3"/>
  <c r="H405" i="3"/>
  <c r="G405" i="3" s="1"/>
  <c r="BT404" i="3"/>
  <c r="BS404" i="3"/>
  <c r="BR404" i="3"/>
  <c r="BQ404" i="3"/>
  <c r="BP404" i="3"/>
  <c r="BO404" i="3"/>
  <c r="BN404" i="3"/>
  <c r="BL404" i="3" s="1"/>
  <c r="BM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G402" i="3" s="1"/>
  <c r="H402" i="3"/>
  <c r="BT401" i="3"/>
  <c r="BS401" i="3"/>
  <c r="BR401" i="3"/>
  <c r="BQ401" i="3"/>
  <c r="BP401" i="3"/>
  <c r="BO401" i="3"/>
  <c r="BL401" i="3" s="1"/>
  <c r="BN401" i="3"/>
  <c r="BM401" i="3"/>
  <c r="BK401" i="3"/>
  <c r="BJ401" i="3"/>
  <c r="BI401" i="3"/>
  <c r="BH401" i="3"/>
  <c r="BG401" i="3"/>
  <c r="BF401" i="3"/>
  <c r="BE401" i="3"/>
  <c r="BD401" i="3"/>
  <c r="BC401" i="3"/>
  <c r="BA401" i="3" s="1"/>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c r="BT399" i="3"/>
  <c r="BS399" i="3"/>
  <c r="BR399" i="3"/>
  <c r="BQ399" i="3"/>
  <c r="BP399" i="3"/>
  <c r="BO399" i="3"/>
  <c r="BN399" i="3"/>
  <c r="BM399" i="3"/>
  <c r="BL399" i="3"/>
  <c r="BK399" i="3"/>
  <c r="BJ399" i="3"/>
  <c r="BI399" i="3"/>
  <c r="BH399" i="3"/>
  <c r="BG399" i="3"/>
  <c r="BF399" i="3"/>
  <c r="BE399" i="3"/>
  <c r="BD399" i="3"/>
  <c r="BA399" i="3" s="1"/>
  <c r="AZ399" i="3" s="1"/>
  <c r="BC399" i="3"/>
  <c r="BB399" i="3"/>
  <c r="AX399" i="3"/>
  <c r="AW399" i="3"/>
  <c r="AV399" i="3"/>
  <c r="AC399" i="3"/>
  <c r="G399" i="3" s="1"/>
  <c r="H399" i="3"/>
  <c r="BT398" i="3"/>
  <c r="BS398" i="3"/>
  <c r="BR398" i="3"/>
  <c r="BQ398" i="3"/>
  <c r="BP398" i="3"/>
  <c r="BO398" i="3"/>
  <c r="BL398" i="3" s="1"/>
  <c r="BN398" i="3"/>
  <c r="BM398" i="3"/>
  <c r="BK398" i="3"/>
  <c r="BJ398" i="3"/>
  <c r="BI398" i="3"/>
  <c r="BH398" i="3"/>
  <c r="BG398" i="3"/>
  <c r="BF398" i="3"/>
  <c r="BE398" i="3"/>
  <c r="BD398" i="3"/>
  <c r="BC398" i="3"/>
  <c r="BA398" i="3" s="1"/>
  <c r="AZ398" i="3" s="1"/>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L16" i="3" s="1"/>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c r="G53" i="39"/>
  <c r="H53" i="39" s="1"/>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L550" i="3" s="1"/>
  <c r="BN550" i="3"/>
  <c r="BO550" i="3"/>
  <c r="BP550" i="3"/>
  <c r="BQ550" i="3"/>
  <c r="BR550" i="3"/>
  <c r="BS550" i="3"/>
  <c r="BT550" i="3"/>
  <c r="H551" i="3"/>
  <c r="G551" i="3" s="1"/>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AA31" i="35" s="1"/>
  <c r="D87" i="35"/>
  <c r="E87" i="35" s="1"/>
  <c r="F87" i="35" s="1"/>
  <c r="G87" i="35"/>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s="1"/>
  <c r="F42" i="34"/>
  <c r="J38" i="34"/>
  <c r="W38" i="34"/>
  <c r="D114" i="34"/>
  <c r="F38" i="34"/>
  <c r="S38" i="34"/>
  <c r="D112" i="34"/>
  <c r="E112" i="34" s="1"/>
  <c r="F112" i="34" s="1"/>
  <c r="G112" i="34" s="1"/>
  <c r="H112" i="34" s="1"/>
  <c r="I112" i="34" s="1"/>
  <c r="J112" i="34" s="1"/>
  <c r="K112" i="34" s="1"/>
  <c r="L112" i="34" s="1"/>
  <c r="M112" i="34" s="1"/>
  <c r="F40" i="33"/>
  <c r="J41" i="33"/>
  <c r="D113" i="33"/>
  <c r="F37" i="33"/>
  <c r="D111" i="33"/>
  <c r="E111" i="33"/>
  <c r="F111" i="33"/>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F38" i="40"/>
  <c r="AA38" i="40"/>
  <c r="D115" i="40"/>
  <c r="E115" i="40" s="1"/>
  <c r="F115" i="40"/>
  <c r="G115" i="40"/>
  <c r="H115" i="40" s="1"/>
  <c r="I115" i="40" s="1"/>
  <c r="J115" i="40"/>
  <c r="K115" i="40" s="1"/>
  <c r="L115" i="40" s="1"/>
  <c r="M115" i="40" s="1"/>
  <c r="D113" i="40"/>
  <c r="E113" i="40"/>
  <c r="F113" i="40" s="1"/>
  <c r="G113" i="40" s="1"/>
  <c r="H113" i="40"/>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c r="AC31" i="40" s="1"/>
  <c r="D100" i="40"/>
  <c r="E100" i="40"/>
  <c r="F100" i="40"/>
  <c r="G100" i="40" s="1"/>
  <c r="H100" i="40" s="1"/>
  <c r="I100" i="40"/>
  <c r="J100" i="40"/>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c r="G90" i="40" s="1"/>
  <c r="D88" i="40"/>
  <c r="E88" i="40"/>
  <c r="D86" i="40"/>
  <c r="E86" i="40" s="1"/>
  <c r="F86" i="40" s="1"/>
  <c r="G86" i="40"/>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c r="Q38" i="40"/>
  <c r="Z38" i="40" s="1"/>
  <c r="J38" i="40"/>
  <c r="AC38" i="40"/>
  <c r="H38" i="40"/>
  <c r="AB38" i="40" s="1"/>
  <c r="Q37" i="40"/>
  <c r="Z37" i="40" s="1"/>
  <c r="Q36" i="40"/>
  <c r="Z36" i="40" s="1"/>
  <c r="Q35" i="40"/>
  <c r="Z35" i="40"/>
  <c r="Q34" i="40"/>
  <c r="Z34" i="40" s="1"/>
  <c r="J34" i="40"/>
  <c r="AC34" i="40"/>
  <c r="H34" i="40"/>
  <c r="AB34" i="40" s="1"/>
  <c r="F34" i="40"/>
  <c r="AA34" i="40"/>
  <c r="Q33" i="40"/>
  <c r="Z33" i="40" s="1"/>
  <c r="Q32" i="40"/>
  <c r="Z32" i="40" s="1"/>
  <c r="Q31" i="40"/>
  <c r="Z31" i="40" s="1"/>
  <c r="Q30" i="40"/>
  <c r="Z30" i="40"/>
  <c r="Q28" i="40"/>
  <c r="Z28" i="40" s="1"/>
  <c r="Q27" i="40"/>
  <c r="Z27" i="40"/>
  <c r="Q23" i="40"/>
  <c r="Z23" i="40" s="1"/>
  <c r="Q21" i="40"/>
  <c r="Z21" i="40"/>
  <c r="Q19" i="40"/>
  <c r="Z19" i="40" s="1"/>
  <c r="Q17" i="40"/>
  <c r="Z17" i="40" s="1"/>
  <c r="Q15" i="40"/>
  <c r="Z15" i="40" s="1"/>
  <c r="Q14" i="40"/>
  <c r="Z14" i="40"/>
  <c r="Q13" i="40"/>
  <c r="Z13" i="40" s="1"/>
  <c r="Q12" i="40"/>
  <c r="Z12" i="40"/>
  <c r="Q11" i="40"/>
  <c r="Z11" i="40" s="1"/>
  <c r="Q10" i="40"/>
  <c r="Z10" i="40"/>
  <c r="Q9" i="40"/>
  <c r="Z9" i="40" s="1"/>
  <c r="J9" i="40"/>
  <c r="W9" i="40" s="1"/>
  <c r="H9" i="40"/>
  <c r="AB9" i="40" s="1"/>
  <c r="F9" i="40"/>
  <c r="S9" i="40"/>
  <c r="J8" i="40"/>
  <c r="AC8" i="40" s="1"/>
  <c r="H8" i="40"/>
  <c r="AB8" i="40"/>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s="1"/>
  <c r="AC39" i="37" s="1"/>
  <c r="B108" i="37"/>
  <c r="C23" i="37"/>
  <c r="C19" i="37"/>
  <c r="C17" i="37"/>
  <c r="C15" i="37"/>
  <c r="B112" i="37"/>
  <c r="D107" i="37"/>
  <c r="E107" i="37"/>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D75" i="37"/>
  <c r="E75" i="37"/>
  <c r="D73" i="37"/>
  <c r="E73" i="37" s="1"/>
  <c r="F73" i="37"/>
  <c r="D71" i="37"/>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c r="Q36" i="37"/>
  <c r="Z36" i="37" s="1"/>
  <c r="Q35" i="37"/>
  <c r="Z35" i="37"/>
  <c r="Q34" i="37"/>
  <c r="Z34" i="37" s="1"/>
  <c r="Q33" i="37"/>
  <c r="Z33" i="37"/>
  <c r="Q32" i="37"/>
  <c r="Z32" i="37" s="1"/>
  <c r="Q31" i="37"/>
  <c r="Z31" i="37"/>
  <c r="J31" i="37"/>
  <c r="AC31" i="37" s="1"/>
  <c r="Q30" i="37"/>
  <c r="Z30" i="37"/>
  <c r="J30" i="37"/>
  <c r="AC30" i="37" s="1"/>
  <c r="H30" i="37"/>
  <c r="AB30" i="37" s="1"/>
  <c r="F30" i="37"/>
  <c r="AA30" i="37" s="1"/>
  <c r="Q29" i="37"/>
  <c r="Z29" i="37"/>
  <c r="H29" i="37"/>
  <c r="AB29" i="37" s="1"/>
  <c r="Q28" i="37"/>
  <c r="Z28" i="37"/>
  <c r="Q27" i="37"/>
  <c r="Z27" i="37" s="1"/>
  <c r="Q26" i="37"/>
  <c r="Z26" i="37"/>
  <c r="H26" i="37"/>
  <c r="AB26" i="37"/>
  <c r="Q25" i="37"/>
  <c r="Z25" i="37"/>
  <c r="J25" i="37"/>
  <c r="AC25" i="37" s="1"/>
  <c r="F25" i="37"/>
  <c r="AA25" i="37" s="1"/>
  <c r="Q23" i="37"/>
  <c r="Z23" i="37" s="1"/>
  <c r="Q19" i="37"/>
  <c r="Z19" i="37"/>
  <c r="Q17" i="37"/>
  <c r="Z17" i="37" s="1"/>
  <c r="Q15" i="37"/>
  <c r="Z15" i="37"/>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s="1"/>
  <c r="B95" i="36"/>
  <c r="H34" i="36"/>
  <c r="D83" i="36"/>
  <c r="E83" i="36" s="1"/>
  <c r="F83" i="36"/>
  <c r="G83" i="36" s="1"/>
  <c r="H83" i="36" s="1"/>
  <c r="I83" i="36" s="1"/>
  <c r="J83" i="36" s="1"/>
  <c r="K83" i="36" s="1"/>
  <c r="L83" i="36" s="1"/>
  <c r="M83" i="36" s="1"/>
  <c r="D78" i="36"/>
  <c r="E78" i="36"/>
  <c r="F78" i="36"/>
  <c r="G78" i="36" s="1"/>
  <c r="H78" i="36" s="1"/>
  <c r="I78" i="36" s="1"/>
  <c r="J78" i="36" s="1"/>
  <c r="K78" i="36" s="1"/>
  <c r="L78" i="36" s="1"/>
  <c r="M78" i="36" s="1"/>
  <c r="B75" i="36"/>
  <c r="B73" i="36"/>
  <c r="J24" i="36"/>
  <c r="AC24" i="36" s="1"/>
  <c r="B71" i="36"/>
  <c r="H23" i="36" s="1"/>
  <c r="D70" i="36"/>
  <c r="H22" i="36"/>
  <c r="AB22" i="36" s="1"/>
  <c r="D68" i="36"/>
  <c r="E68" i="36" s="1"/>
  <c r="F68" i="36"/>
  <c r="G68" i="36"/>
  <c r="D64" i="36"/>
  <c r="E64" i="36" s="1"/>
  <c r="F64" i="36"/>
  <c r="G64" i="36"/>
  <c r="J16" i="36"/>
  <c r="W16" i="36" s="1"/>
  <c r="D62" i="36"/>
  <c r="E62" i="36"/>
  <c r="F62" i="36"/>
  <c r="G62" i="36" s="1"/>
  <c r="B59" i="36"/>
  <c r="B57" i="36"/>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c r="Q26" i="36"/>
  <c r="Z26" i="36" s="1"/>
  <c r="H26" i="36"/>
  <c r="AB26" i="36"/>
  <c r="Q25" i="36"/>
  <c r="Z25" i="36" s="1"/>
  <c r="Q24" i="36"/>
  <c r="Z24" i="36"/>
  <c r="H24" i="36"/>
  <c r="AB24" i="36" s="1"/>
  <c r="Q23" i="36"/>
  <c r="Z23" i="36"/>
  <c r="J23" i="36"/>
  <c r="AC23" i="36" s="1"/>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AA27" i="35" s="1"/>
  <c r="J22" i="35"/>
  <c r="AC22" i="35" s="1"/>
  <c r="B101" i="35"/>
  <c r="H36" i="35"/>
  <c r="AB36" i="35" s="1"/>
  <c r="B99" i="35"/>
  <c r="B97" i="35"/>
  <c r="B77" i="35"/>
  <c r="B75" i="35"/>
  <c r="J24" i="35" s="1"/>
  <c r="AC24" i="35"/>
  <c r="B73" i="35"/>
  <c r="J23" i="35" s="1"/>
  <c r="AC23" i="35" s="1"/>
  <c r="H23" i="35"/>
  <c r="U23" i="35" s="1"/>
  <c r="B57" i="35"/>
  <c r="B61" i="35"/>
  <c r="B59" i="35"/>
  <c r="F12" i="35" s="1"/>
  <c r="B131" i="34"/>
  <c r="B129" i="34"/>
  <c r="B127" i="34"/>
  <c r="B99" i="34"/>
  <c r="B97" i="34"/>
  <c r="B95" i="34"/>
  <c r="B93" i="34"/>
  <c r="B75" i="34"/>
  <c r="B73" i="34"/>
  <c r="B71" i="34"/>
  <c r="J12" i="34" s="1"/>
  <c r="W12" i="34" s="1"/>
  <c r="B130" i="33"/>
  <c r="B128" i="33"/>
  <c r="B126" i="33"/>
  <c r="B98" i="33"/>
  <c r="B96" i="33"/>
  <c r="B94" i="33"/>
  <c r="B74" i="33"/>
  <c r="B72" i="33"/>
  <c r="B70" i="33"/>
  <c r="J12" i="33"/>
  <c r="D96" i="35"/>
  <c r="E96" i="35"/>
  <c r="F96" i="35"/>
  <c r="G96" i="35"/>
  <c r="D94" i="35"/>
  <c r="E94" i="35"/>
  <c r="F94" i="35"/>
  <c r="G94" i="35"/>
  <c r="H94" i="35" s="1"/>
  <c r="I94" i="35"/>
  <c r="J94" i="35" s="1"/>
  <c r="K94" i="35" s="1"/>
  <c r="L94" i="35" s="1"/>
  <c r="M94" i="35" s="1"/>
  <c r="D84" i="35"/>
  <c r="E84" i="35" s="1"/>
  <c r="F84" i="35" s="1"/>
  <c r="G84" i="35" s="1"/>
  <c r="H84" i="35" s="1"/>
  <c r="I84" i="35" s="1"/>
  <c r="J84" i="35" s="1"/>
  <c r="K84" i="35" s="1"/>
  <c r="L84" i="35" s="1"/>
  <c r="M84" i="35" s="1"/>
  <c r="D80" i="35"/>
  <c r="E80" i="35"/>
  <c r="F80" i="35"/>
  <c r="G80" i="35"/>
  <c r="H80" i="35" s="1"/>
  <c r="I80" i="35"/>
  <c r="J80" i="35" s="1"/>
  <c r="K80" i="35" s="1"/>
  <c r="L80" i="35" s="1"/>
  <c r="M80" i="35" s="1"/>
  <c r="D72" i="35"/>
  <c r="E72" i="35" s="1"/>
  <c r="F72" i="35" s="1"/>
  <c r="G72" i="35" s="1"/>
  <c r="D70" i="35"/>
  <c r="E70" i="35"/>
  <c r="F70" i="35" s="1"/>
  <c r="G70" i="35" s="1"/>
  <c r="D66" i="35"/>
  <c r="E66" i="35"/>
  <c r="F66" i="35" s="1"/>
  <c r="G66" i="35"/>
  <c r="D64" i="35"/>
  <c r="E64" i="35"/>
  <c r="F64" i="35" s="1"/>
  <c r="G64" i="35"/>
  <c r="J14" i="35"/>
  <c r="W14" i="35" s="1"/>
  <c r="C53" i="35"/>
  <c r="J9" i="35"/>
  <c r="P39" i="35"/>
  <c r="P38" i="35"/>
  <c r="V37" i="35"/>
  <c r="T37" i="35"/>
  <c r="R37" i="35"/>
  <c r="P37" i="35"/>
  <c r="Q36" i="35"/>
  <c r="Z36" i="35"/>
  <c r="J36" i="35"/>
  <c r="AC36" i="35" s="1"/>
  <c r="Q35" i="35"/>
  <c r="Z35" i="35"/>
  <c r="Q34" i="35"/>
  <c r="Z34" i="35" s="1"/>
  <c r="H34" i="35"/>
  <c r="AB34" i="35"/>
  <c r="Q33" i="35"/>
  <c r="Z33" i="35"/>
  <c r="Q32" i="35"/>
  <c r="Z32" i="35"/>
  <c r="H32" i="35"/>
  <c r="AB32" i="35" s="1"/>
  <c r="F32" i="35"/>
  <c r="AA32" i="35" s="1"/>
  <c r="Q31" i="35"/>
  <c r="Z31" i="35"/>
  <c r="AC31" i="35"/>
  <c r="AB31" i="35"/>
  <c r="Q30" i="35"/>
  <c r="Z30" i="35" s="1"/>
  <c r="Q29" i="35"/>
  <c r="Z29" i="35" s="1"/>
  <c r="Q28" i="35"/>
  <c r="Z28" i="35"/>
  <c r="J28" i="35"/>
  <c r="AC28" i="35" s="1"/>
  <c r="H28" i="35"/>
  <c r="AB28" i="35"/>
  <c r="F28" i="35"/>
  <c r="AA28" i="35" s="1"/>
  <c r="Q27" i="35"/>
  <c r="Z27" i="35"/>
  <c r="Q26" i="35"/>
  <c r="Z26" i="35" s="1"/>
  <c r="Q25" i="35"/>
  <c r="Z25" i="35" s="1"/>
  <c r="Q24" i="35"/>
  <c r="Z24" i="35" s="1"/>
  <c r="Q23" i="35"/>
  <c r="Z23" i="35"/>
  <c r="Q22" i="35"/>
  <c r="Z22" i="35"/>
  <c r="Q20" i="35"/>
  <c r="Z20" i="35" s="1"/>
  <c r="Q16" i="35"/>
  <c r="Z16" i="35"/>
  <c r="Q14" i="35"/>
  <c r="Z14" i="35" s="1"/>
  <c r="Q13" i="35"/>
  <c r="Z13" i="35" s="1"/>
  <c r="Q12" i="35"/>
  <c r="Z12" i="35" s="1"/>
  <c r="J12" i="35"/>
  <c r="W12" i="35" s="1"/>
  <c r="H12" i="35"/>
  <c r="U12" i="35" s="1"/>
  <c r="Q11" i="35"/>
  <c r="Z11" i="35"/>
  <c r="Q10" i="35"/>
  <c r="Z10" i="35" s="1"/>
  <c r="Q9" i="35"/>
  <c r="Z9" i="35"/>
  <c r="J8" i="35"/>
  <c r="W8" i="35" s="1"/>
  <c r="H8" i="35"/>
  <c r="AB8" i="35" s="1"/>
  <c r="F8" i="35"/>
  <c r="AA8" i="35" s="1"/>
  <c r="D120" i="34"/>
  <c r="E120" i="34"/>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c r="F124" i="34" s="1"/>
  <c r="G124" i="34"/>
  <c r="H124" i="34" s="1"/>
  <c r="I124" i="34" s="1"/>
  <c r="J124" i="34" s="1"/>
  <c r="K124" i="34" s="1"/>
  <c r="L124" i="34" s="1"/>
  <c r="M124" i="34" s="1"/>
  <c r="H43" i="34"/>
  <c r="AB43" i="34"/>
  <c r="D118" i="34"/>
  <c r="E118" i="34" s="1"/>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c r="G88" i="34" s="1"/>
  <c r="H88" i="34" s="1"/>
  <c r="I88" i="34" s="1"/>
  <c r="J88" i="34" s="1"/>
  <c r="K88" i="34" s="1"/>
  <c r="L88" i="34" s="1"/>
  <c r="M88" i="34" s="1"/>
  <c r="D86" i="34"/>
  <c r="E86" i="34"/>
  <c r="F86" i="34" s="1"/>
  <c r="G86" i="34"/>
  <c r="D82" i="34"/>
  <c r="E82" i="34"/>
  <c r="F82" i="34" s="1"/>
  <c r="G82" i="34"/>
  <c r="D80" i="34"/>
  <c r="E80" i="34" s="1"/>
  <c r="F80" i="34" s="1"/>
  <c r="G80" i="34" s="1"/>
  <c r="D78" i="34"/>
  <c r="E78" i="34"/>
  <c r="F78" i="34" s="1"/>
  <c r="G78" i="34" s="1"/>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c r="Q29" i="34"/>
  <c r="Z29" i="34" s="1"/>
  <c r="Q28" i="34"/>
  <c r="Z28" i="34"/>
  <c r="Q27" i="34"/>
  <c r="Z27" i="34" s="1"/>
  <c r="Q25" i="34"/>
  <c r="Z25" i="34"/>
  <c r="Q23" i="34"/>
  <c r="Z23" i="34" s="1"/>
  <c r="C23" i="34"/>
  <c r="Q19" i="34"/>
  <c r="Z19" i="34"/>
  <c r="C19" i="34"/>
  <c r="Q17" i="34"/>
  <c r="Z17" i="34" s="1"/>
  <c r="C17" i="34"/>
  <c r="Q15" i="34"/>
  <c r="Z15" i="34"/>
  <c r="Q14" i="34"/>
  <c r="Z14" i="34"/>
  <c r="Q13" i="34"/>
  <c r="Z13" i="34"/>
  <c r="Q12" i="34"/>
  <c r="Z12" i="34"/>
  <c r="H12" i="34"/>
  <c r="F12" i="34"/>
  <c r="S12" i="34" s="1"/>
  <c r="Q11" i="34"/>
  <c r="Z11" i="34" s="1"/>
  <c r="Q10" i="34"/>
  <c r="Z10" i="34"/>
  <c r="F10" i="34"/>
  <c r="AA10" i="34" s="1"/>
  <c r="Q9" i="34"/>
  <c r="Z9" i="34"/>
  <c r="J9" i="34"/>
  <c r="AC9" i="34" s="1"/>
  <c r="H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s="1"/>
  <c r="D115" i="33"/>
  <c r="E115" i="33"/>
  <c r="F115" i="33"/>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c r="Q45" i="33"/>
  <c r="Z45" i="33" s="1"/>
  <c r="Q44" i="33"/>
  <c r="Z44" i="33"/>
  <c r="Q43" i="33"/>
  <c r="Z43" i="33" s="1"/>
  <c r="Q42" i="33"/>
  <c r="Z42" i="33"/>
  <c r="J42" i="33"/>
  <c r="AC42" i="33" s="1"/>
  <c r="AC41" i="33"/>
  <c r="W41" i="33"/>
  <c r="Q41" i="33"/>
  <c r="Z41" i="33" s="1"/>
  <c r="Q40" i="33"/>
  <c r="Z40" i="33"/>
  <c r="J40" i="33"/>
  <c r="AC40" i="33" s="1"/>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s="1"/>
  <c r="Q31" i="33"/>
  <c r="Z31" i="33"/>
  <c r="Q30" i="33"/>
  <c r="Z30" i="33" s="1"/>
  <c r="Q29" i="33"/>
  <c r="Z29" i="33"/>
  <c r="Q28" i="33"/>
  <c r="Z28" i="33" s="1"/>
  <c r="Q27" i="33"/>
  <c r="Z27" i="33"/>
  <c r="Q26" i="33"/>
  <c r="Z26" i="33" s="1"/>
  <c r="Q25" i="33"/>
  <c r="Z25" i="33"/>
  <c r="Q23" i="33"/>
  <c r="Z23" i="33" s="1"/>
  <c r="Q19" i="33"/>
  <c r="Z19" i="33"/>
  <c r="Q17" i="33"/>
  <c r="Z17" i="33" s="1"/>
  <c r="Q15" i="33"/>
  <c r="Z15" i="33"/>
  <c r="F15" i="33"/>
  <c r="AA15" i="33" s="1"/>
  <c r="Q14" i="33"/>
  <c r="Z14" i="33"/>
  <c r="Q13" i="33"/>
  <c r="Z13" i="33" s="1"/>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c r="G15" i="20"/>
  <c r="B83" i="43" s="1"/>
  <c r="C24" i="20"/>
  <c r="B97" i="43" s="1"/>
  <c r="B75" i="43"/>
  <c r="C21" i="20"/>
  <c r="B99" i="43" s="1"/>
  <c r="C20" i="20"/>
  <c r="B101" i="43" s="1"/>
  <c r="B79" i="43"/>
  <c r="C18" i="20"/>
  <c r="B94" i="43" s="1"/>
  <c r="C17" i="20"/>
  <c r="B61" i="43"/>
  <c r="C16" i="20"/>
  <c r="C17" i="39" s="1"/>
  <c r="C15" i="20"/>
  <c r="B72" i="43"/>
  <c r="E54" i="21"/>
  <c r="F54" i="21" s="1"/>
  <c r="I54" i="21"/>
  <c r="J54" i="21" s="1"/>
  <c r="G54" i="21"/>
  <c r="H54" i="21" s="1"/>
  <c r="D125" i="21"/>
  <c r="E125" i="21"/>
  <c r="F125" i="21" s="1"/>
  <c r="G125" i="21" s="1"/>
  <c r="D123" i="21"/>
  <c r="E123" i="21"/>
  <c r="F123" i="21" s="1"/>
  <c r="G123" i="21" s="1"/>
  <c r="H123" i="21" s="1"/>
  <c r="F42" i="21"/>
  <c r="AA42" i="21"/>
  <c r="D119" i="21"/>
  <c r="F40" i="21"/>
  <c r="AA40" i="21"/>
  <c r="D117" i="21"/>
  <c r="E117" i="21"/>
  <c r="F117" i="21" s="1"/>
  <c r="G117" i="21" s="1"/>
  <c r="D115" i="21"/>
  <c r="E115" i="21"/>
  <c r="F115" i="21" s="1"/>
  <c r="G115" i="21" s="1"/>
  <c r="H115" i="21" s="1"/>
  <c r="I115" i="21" s="1"/>
  <c r="J115" i="21" s="1"/>
  <c r="K115" i="21" s="1"/>
  <c r="L115" i="21" s="1"/>
  <c r="M115" i="21" s="1"/>
  <c r="D113" i="21"/>
  <c r="E113" i="21"/>
  <c r="F113" i="21"/>
  <c r="G113" i="21"/>
  <c r="H113" i="21" s="1"/>
  <c r="D110" i="21"/>
  <c r="E110" i="21"/>
  <c r="F110" i="21"/>
  <c r="G110" i="21" s="1"/>
  <c r="H110" i="21" s="1"/>
  <c r="I110" i="21" s="1"/>
  <c r="J110" i="21" s="1"/>
  <c r="K110" i="21" s="1"/>
  <c r="L110" i="21" s="1"/>
  <c r="M110" i="21" s="1"/>
  <c r="J36" i="21"/>
  <c r="AC36" i="21" s="1"/>
  <c r="D108" i="21"/>
  <c r="E108" i="2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c r="G79" i="21" s="1"/>
  <c r="D85" i="21"/>
  <c r="F19" i="21"/>
  <c r="AA19" i="21"/>
  <c r="E81" i="21"/>
  <c r="F81" i="21"/>
  <c r="G81" i="21"/>
  <c r="D77" i="21"/>
  <c r="E77" i="21" s="1"/>
  <c r="B130" i="21"/>
  <c r="B128" i="21"/>
  <c r="J45" i="21"/>
  <c r="W45" i="21" s="1"/>
  <c r="B126" i="21"/>
  <c r="B98" i="21"/>
  <c r="H31" i="21"/>
  <c r="B96" i="21"/>
  <c r="B94" i="21"/>
  <c r="J29" i="21"/>
  <c r="AC29" i="21"/>
  <c r="B92" i="21"/>
  <c r="B90" i="21"/>
  <c r="J27" i="21"/>
  <c r="W27" i="21"/>
  <c r="B74" i="21"/>
  <c r="B72" i="21"/>
  <c r="H13"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N586" i="3"/>
  <c r="BO586" i="3"/>
  <c r="BP586" i="3"/>
  <c r="BQ586" i="3"/>
  <c r="BL586" i="3" s="1"/>
  <c r="BR586" i="3"/>
  <c r="BS586" i="3"/>
  <c r="BT586" i="3"/>
  <c r="BB587" i="3"/>
  <c r="BC587" i="3"/>
  <c r="BD587" i="3"/>
  <c r="BE587" i="3"/>
  <c r="BF587" i="3"/>
  <c r="BG587" i="3"/>
  <c r="BH587" i="3"/>
  <c r="BI587" i="3"/>
  <c r="BJ587" i="3"/>
  <c r="BK587" i="3"/>
  <c r="BM587" i="3"/>
  <c r="BN587" i="3"/>
  <c r="BO587" i="3"/>
  <c r="BL587" i="3" s="1"/>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c r="H587" i="3"/>
  <c r="G587" i="3" s="1"/>
  <c r="F5" i="3"/>
  <c r="G27" i="6"/>
  <c r="F34" i="21"/>
  <c r="AA34" i="21" s="1"/>
  <c r="H34" i="21"/>
  <c r="AB34" i="21"/>
  <c r="F43" i="21"/>
  <c r="S43" i="21" s="1"/>
  <c r="H38" i="21"/>
  <c r="U38" i="21"/>
  <c r="H43" i="21"/>
  <c r="AB43" i="21" s="1"/>
  <c r="F38" i="21"/>
  <c r="S38" i="21"/>
  <c r="F36" i="21"/>
  <c r="S36" i="21" s="1"/>
  <c r="F39" i="21"/>
  <c r="AA39" i="21"/>
  <c r="J40" i="21"/>
  <c r="W40" i="21" s="1"/>
  <c r="H35" i="21"/>
  <c r="AB35" i="21"/>
  <c r="J8" i="21"/>
  <c r="AC8" i="21" s="1"/>
  <c r="H8" i="21"/>
  <c r="U8" i="21" s="1"/>
  <c r="H10" i="21"/>
  <c r="AB10" i="21" s="1"/>
  <c r="H39" i="21"/>
  <c r="U39" i="21"/>
  <c r="J34" i="21"/>
  <c r="W34" i="21"/>
  <c r="H36" i="21"/>
  <c r="U36" i="21"/>
  <c r="F35" i="21"/>
  <c r="AA35" i="21"/>
  <c r="J10" i="21"/>
  <c r="AC10" i="21" s="1"/>
  <c r="H26" i="21"/>
  <c r="AB26" i="21" s="1"/>
  <c r="AB19" i="21"/>
  <c r="J19" i="21"/>
  <c r="W19" i="21"/>
  <c r="J26" i="21"/>
  <c r="W26" i="21"/>
  <c r="F26" i="21"/>
  <c r="S26" i="21"/>
  <c r="AB41" i="21"/>
  <c r="S41" i="21"/>
  <c r="AA41" i="21"/>
  <c r="F45" i="39"/>
  <c r="S45" i="39"/>
  <c r="J45" i="39"/>
  <c r="W45" i="39" s="1"/>
  <c r="J44" i="39"/>
  <c r="AC44" i="39"/>
  <c r="F36" i="39"/>
  <c r="S36" i="39" s="1"/>
  <c r="H36" i="39"/>
  <c r="AB36" i="39"/>
  <c r="J35" i="39"/>
  <c r="AC35" i="39" s="1"/>
  <c r="F35" i="39"/>
  <c r="AA35" i="39"/>
  <c r="J36" i="39"/>
  <c r="AC36" i="39" s="1"/>
  <c r="U9" i="39"/>
  <c r="W40" i="39"/>
  <c r="W25" i="37"/>
  <c r="U30" i="37"/>
  <c r="W31" i="37"/>
  <c r="E103" i="37"/>
  <c r="F103" i="37"/>
  <c r="G103" i="37" s="1"/>
  <c r="H103" i="37" s="1"/>
  <c r="I103" i="37" s="1"/>
  <c r="J103" i="37" s="1"/>
  <c r="K103" i="37" s="1"/>
  <c r="L103" i="37" s="1"/>
  <c r="M103" i="37" s="1"/>
  <c r="F39" i="37"/>
  <c r="S39" i="37" s="1"/>
  <c r="F29" i="36"/>
  <c r="AA29" i="36" s="1"/>
  <c r="F16" i="36"/>
  <c r="AA16" i="36" s="1"/>
  <c r="W28" i="36"/>
  <c r="U31" i="36"/>
  <c r="J33" i="36"/>
  <c r="AC33" i="36" s="1"/>
  <c r="H22" i="35"/>
  <c r="AB22" i="35"/>
  <c r="AC27" i="35"/>
  <c r="W28" i="35"/>
  <c r="U31"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A9" i="40"/>
  <c r="U9" i="40"/>
  <c r="S34" i="40"/>
  <c r="U38" i="40"/>
  <c r="W31" i="40"/>
  <c r="U34" i="40"/>
  <c r="S38" i="40"/>
  <c r="F42" i="39"/>
  <c r="AA42" i="39" s="1"/>
  <c r="F41" i="39"/>
  <c r="S41" i="39" s="1"/>
  <c r="H40" i="39"/>
  <c r="AB40" i="39" s="1"/>
  <c r="H39" i="39"/>
  <c r="U39" i="39" s="1"/>
  <c r="S38" i="39"/>
  <c r="S34" i="39"/>
  <c r="H34" i="39"/>
  <c r="U34" i="39" s="1"/>
  <c r="E108" i="39"/>
  <c r="F31" i="39"/>
  <c r="AA31" i="39" s="1"/>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C25" i="39"/>
  <c r="H11" i="39"/>
  <c r="S40" i="39"/>
  <c r="C15" i="39"/>
  <c r="H32" i="33"/>
  <c r="AB32" i="33"/>
  <c r="H11" i="21"/>
  <c r="U11" i="21" s="1"/>
  <c r="J11" i="21"/>
  <c r="W11" i="21" s="1"/>
  <c r="H37" i="40"/>
  <c r="U37" i="40"/>
  <c r="H36" i="40"/>
  <c r="AB36" i="40" s="1"/>
  <c r="F35" i="40"/>
  <c r="AA35" i="40"/>
  <c r="H23" i="40"/>
  <c r="AB23" i="40" s="1"/>
  <c r="H17" i="40"/>
  <c r="U17" i="40"/>
  <c r="J15" i="40"/>
  <c r="W15" i="40" s="1"/>
  <c r="J11" i="40"/>
  <c r="W11" i="40"/>
  <c r="AB8" i="39"/>
  <c r="AC12" i="34"/>
  <c r="AB12" i="35"/>
  <c r="AB12" i="36"/>
  <c r="W32" i="40"/>
  <c r="S44" i="39"/>
  <c r="F37" i="39"/>
  <c r="AA37" i="39" s="1"/>
  <c r="J34" i="36"/>
  <c r="W34" i="36" s="1"/>
  <c r="U30" i="36"/>
  <c r="J30" i="35"/>
  <c r="W30" i="35" s="1"/>
  <c r="H30" i="35"/>
  <c r="AB30" i="35" s="1"/>
  <c r="F22" i="35"/>
  <c r="AA22" i="35"/>
  <c r="H10" i="35"/>
  <c r="U10" i="35" s="1"/>
  <c r="F33" i="36"/>
  <c r="AA33" i="36"/>
  <c r="W30" i="36"/>
  <c r="H16" i="36"/>
  <c r="AB16" i="36"/>
  <c r="E85" i="36"/>
  <c r="F85" i="36"/>
  <c r="G85" i="36" s="1"/>
  <c r="H85" i="36" s="1"/>
  <c r="I85" i="36" s="1"/>
  <c r="J85" i="36"/>
  <c r="K85" i="36" s="1"/>
  <c r="L85" i="36" s="1"/>
  <c r="M85" i="36" s="1"/>
  <c r="J29" i="36"/>
  <c r="AC29" i="36" s="1"/>
  <c r="F12" i="36"/>
  <c r="F24" i="36"/>
  <c r="AA24" i="36"/>
  <c r="F34" i="36"/>
  <c r="S34" i="36" s="1"/>
  <c r="F14" i="35"/>
  <c r="AA14" i="35"/>
  <c r="F23" i="35"/>
  <c r="AA23" i="35" s="1"/>
  <c r="J32" i="35"/>
  <c r="AC32" i="35" s="1"/>
  <c r="J16" i="35"/>
  <c r="AC16" i="35"/>
  <c r="H16" i="35"/>
  <c r="U16" i="35"/>
  <c r="F16" i="35"/>
  <c r="S16" i="35"/>
  <c r="H14" i="35"/>
  <c r="AB14" i="35"/>
  <c r="J29" i="35"/>
  <c r="H33" i="35"/>
  <c r="J20" i="35"/>
  <c r="W20" i="35"/>
  <c r="F35" i="37"/>
  <c r="S35" i="37" s="1"/>
  <c r="E101" i="37"/>
  <c r="F101" i="37"/>
  <c r="G101" i="37"/>
  <c r="H101" i="37" s="1"/>
  <c r="I101" i="37" s="1"/>
  <c r="J101" i="37" s="1"/>
  <c r="K101" i="37"/>
  <c r="L101" i="37" s="1"/>
  <c r="M101" i="37" s="1"/>
  <c r="J34" i="37"/>
  <c r="W34" i="37"/>
  <c r="AB34" i="37"/>
  <c r="J33" i="37"/>
  <c r="AC33" i="37" s="1"/>
  <c r="U42" i="34"/>
  <c r="H40" i="34"/>
  <c r="U40" i="34"/>
  <c r="E114" i="34"/>
  <c r="H36" i="34"/>
  <c r="U36" i="34" s="1"/>
  <c r="F37" i="34"/>
  <c r="AA37" i="34" s="1"/>
  <c r="S35" i="34"/>
  <c r="F28" i="34"/>
  <c r="AA28" i="34" s="1"/>
  <c r="F25" i="34"/>
  <c r="S25" i="34" s="1"/>
  <c r="H23" i="34"/>
  <c r="U23" i="34"/>
  <c r="J23" i="34"/>
  <c r="F19" i="34"/>
  <c r="H17" i="34"/>
  <c r="U17" i="34"/>
  <c r="F15" i="34"/>
  <c r="AA15" i="34" s="1"/>
  <c r="J15" i="34"/>
  <c r="H15" i="34"/>
  <c r="AB15" i="34" s="1"/>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s="1"/>
  <c r="J17" i="40"/>
  <c r="W17" i="40"/>
  <c r="F15" i="40"/>
  <c r="S15" i="40" s="1"/>
  <c r="H15" i="40"/>
  <c r="AB15" i="40"/>
  <c r="AC11" i="40"/>
  <c r="S12" i="36"/>
  <c r="AA12" i="36"/>
  <c r="AB30" i="36"/>
  <c r="F29" i="35"/>
  <c r="S29" i="35" s="1"/>
  <c r="H29" i="35"/>
  <c r="AB29" i="35" s="1"/>
  <c r="H33" i="37"/>
  <c r="F33" i="37"/>
  <c r="AA33" i="37" s="1"/>
  <c r="U34" i="37"/>
  <c r="S34" i="37"/>
  <c r="AA34" i="37"/>
  <c r="J43" i="34"/>
  <c r="AB42" i="34"/>
  <c r="J40" i="34"/>
  <c r="F114" i="34"/>
  <c r="G114" i="34" s="1"/>
  <c r="H114" i="34" s="1"/>
  <c r="I114" i="34" s="1"/>
  <c r="J114" i="34" s="1"/>
  <c r="K114" i="34" s="1"/>
  <c r="L114" i="34" s="1"/>
  <c r="M114" i="34" s="1"/>
  <c r="H38" i="34"/>
  <c r="AB38" i="34" s="1"/>
  <c r="J36" i="34"/>
  <c r="W36" i="34"/>
  <c r="H37" i="34"/>
  <c r="U37" i="34" s="1"/>
  <c r="H25" i="34"/>
  <c r="AB25" i="34" s="1"/>
  <c r="J25" i="34"/>
  <c r="AC25" i="34"/>
  <c r="AB23" i="34"/>
  <c r="F23" i="34"/>
  <c r="AA23" i="34"/>
  <c r="J19" i="34"/>
  <c r="AC19" i="34" s="1"/>
  <c r="F17" i="34"/>
  <c r="AA17" i="34"/>
  <c r="J17" i="34"/>
  <c r="W17" i="34" s="1"/>
  <c r="AB17" i="34"/>
  <c r="S41" i="33"/>
  <c r="F113" i="33"/>
  <c r="G113" i="33"/>
  <c r="H113" i="33"/>
  <c r="I113" i="33" s="1"/>
  <c r="J113" i="33" s="1"/>
  <c r="K113" i="33" s="1"/>
  <c r="L113" i="33"/>
  <c r="M113" i="33" s="1"/>
  <c r="H37" i="33"/>
  <c r="AB37" i="33"/>
  <c r="H15" i="33"/>
  <c r="AB15" i="33" s="1"/>
  <c r="H11" i="33"/>
  <c r="AB11" i="33" s="1"/>
  <c r="F28" i="40"/>
  <c r="AA28" i="40"/>
  <c r="AA29" i="35"/>
  <c r="AA42" i="34"/>
  <c r="S42" i="34"/>
  <c r="AC38" i="34"/>
  <c r="AA38" i="34"/>
  <c r="J37" i="34"/>
  <c r="AC37" i="34" s="1"/>
  <c r="J11" i="33"/>
  <c r="W11" i="33" s="1"/>
  <c r="S28" i="34"/>
  <c r="I123" i="21"/>
  <c r="J123" i="21" s="1"/>
  <c r="K123" i="21" s="1"/>
  <c r="L123" i="21" s="1"/>
  <c r="M123" i="21"/>
  <c r="J42" i="21"/>
  <c r="AC42" i="21"/>
  <c r="H42" i="21"/>
  <c r="U42" i="21"/>
  <c r="J44" i="34"/>
  <c r="F44" i="34"/>
  <c r="AA44" i="34"/>
  <c r="J10" i="35"/>
  <c r="AC10" i="35" s="1"/>
  <c r="J14" i="21"/>
  <c r="W14" i="21"/>
  <c r="F14" i="21"/>
  <c r="S14" i="21" s="1"/>
  <c r="H14" i="21"/>
  <c r="U14" i="21"/>
  <c r="H28" i="21"/>
  <c r="AB28" i="21" s="1"/>
  <c r="F28" i="21"/>
  <c r="AA28" i="21"/>
  <c r="J28" i="21"/>
  <c r="W28" i="21" s="1"/>
  <c r="H30" i="21"/>
  <c r="U30" i="21"/>
  <c r="F30" i="21"/>
  <c r="S30" i="21" s="1"/>
  <c r="J30" i="21"/>
  <c r="AC30" i="21"/>
  <c r="J44" i="21"/>
  <c r="AC44" i="21" s="1"/>
  <c r="H44" i="21"/>
  <c r="U44" i="21"/>
  <c r="F44" i="21"/>
  <c r="AA44" i="21" s="1"/>
  <c r="H46" i="21"/>
  <c r="U46" i="21"/>
  <c r="J46" i="21"/>
  <c r="F46" i="21"/>
  <c r="AA46" i="21"/>
  <c r="E119" i="21"/>
  <c r="F119" i="21" s="1"/>
  <c r="G119" i="21" s="1"/>
  <c r="H119" i="21" s="1"/>
  <c r="I119" i="21" s="1"/>
  <c r="J119" i="21" s="1"/>
  <c r="K119" i="21" s="1"/>
  <c r="L119" i="21" s="1"/>
  <c r="M119" i="21" s="1"/>
  <c r="H26" i="33"/>
  <c r="U26" i="33"/>
  <c r="H28" i="33"/>
  <c r="U28" i="33"/>
  <c r="F28" i="33"/>
  <c r="AA28" i="33"/>
  <c r="J28" i="33"/>
  <c r="W28" i="33"/>
  <c r="F33" i="35"/>
  <c r="S33" i="35"/>
  <c r="J33" i="35"/>
  <c r="AC33" i="35" s="1"/>
  <c r="F30" i="35"/>
  <c r="S30" i="35" s="1"/>
  <c r="E89" i="35"/>
  <c r="F89" i="35"/>
  <c r="G89" i="35"/>
  <c r="H89" i="35"/>
  <c r="I89" i="35" s="1"/>
  <c r="J89" i="35" s="1"/>
  <c r="K89" i="35" s="1"/>
  <c r="L89" i="35" s="1"/>
  <c r="M89" i="35" s="1"/>
  <c r="H10" i="36"/>
  <c r="AB10" i="36" s="1"/>
  <c r="J14" i="36"/>
  <c r="AC14" i="36"/>
  <c r="H14" i="36"/>
  <c r="U14" i="36" s="1"/>
  <c r="F28" i="36"/>
  <c r="AA28" i="36" s="1"/>
  <c r="J13" i="21"/>
  <c r="AC13" i="21" s="1"/>
  <c r="H27" i="21"/>
  <c r="AB27" i="21"/>
  <c r="F27" i="21"/>
  <c r="AA27" i="21" s="1"/>
  <c r="H29" i="21"/>
  <c r="U29" i="21"/>
  <c r="J31" i="21"/>
  <c r="AC31" i="21" s="1"/>
  <c r="F31" i="21"/>
  <c r="S31" i="21"/>
  <c r="F45" i="21"/>
  <c r="AA45" i="21" s="1"/>
  <c r="F27" i="33"/>
  <c r="AA27" i="33"/>
  <c r="J13" i="33"/>
  <c r="H13" i="33"/>
  <c r="U13" i="33" s="1"/>
  <c r="F13" i="33"/>
  <c r="S13" i="33"/>
  <c r="J29" i="33"/>
  <c r="H29" i="33"/>
  <c r="U29" i="33"/>
  <c r="F29" i="33"/>
  <c r="S29" i="33" s="1"/>
  <c r="J31" i="33"/>
  <c r="W31" i="33"/>
  <c r="H31" i="33"/>
  <c r="F31" i="33"/>
  <c r="H45" i="33"/>
  <c r="U45" i="33"/>
  <c r="J45" i="33"/>
  <c r="W45" i="33" s="1"/>
  <c r="F45" i="33"/>
  <c r="AA45" i="33"/>
  <c r="J14" i="34"/>
  <c r="W14" i="34" s="1"/>
  <c r="F14" i="34"/>
  <c r="S14" i="34"/>
  <c r="H14" i="34"/>
  <c r="H30" i="34"/>
  <c r="F30" i="34"/>
  <c r="S30" i="34"/>
  <c r="J30" i="34"/>
  <c r="H32" i="34"/>
  <c r="F32" i="34"/>
  <c r="J32" i="34"/>
  <c r="W32" i="34" s="1"/>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s="1"/>
  <c r="H89" i="37" s="1"/>
  <c r="I89" i="37" s="1"/>
  <c r="J89" i="37"/>
  <c r="K89" i="37" s="1"/>
  <c r="L89" i="37" s="1"/>
  <c r="M89" i="37" s="1"/>
  <c r="J29" i="37"/>
  <c r="W29" i="37" s="1"/>
  <c r="F29" i="37"/>
  <c r="S29" i="37"/>
  <c r="F105" i="37"/>
  <c r="G105" i="37" s="1"/>
  <c r="H36" i="37"/>
  <c r="AB36" i="37"/>
  <c r="F107" i="37"/>
  <c r="J37" i="37"/>
  <c r="AC37" i="37" s="1"/>
  <c r="H37" i="37"/>
  <c r="U37" i="37"/>
  <c r="H40" i="37"/>
  <c r="U40" i="37" s="1"/>
  <c r="J40" i="37"/>
  <c r="AC40" i="37"/>
  <c r="F40" i="37"/>
  <c r="AA40" i="37" s="1"/>
  <c r="AC12" i="40"/>
  <c r="W12" i="40"/>
  <c r="H14" i="33"/>
  <c r="U14" i="33" s="1"/>
  <c r="F14" i="33"/>
  <c r="S14" i="33"/>
  <c r="J14" i="33"/>
  <c r="H30" i="33"/>
  <c r="AB30" i="33"/>
  <c r="F30" i="33"/>
  <c r="J30" i="33"/>
  <c r="H44" i="33"/>
  <c r="J44" i="33"/>
  <c r="AC44" i="33"/>
  <c r="F44" i="33"/>
  <c r="S44" i="33" s="1"/>
  <c r="J46" i="33"/>
  <c r="AC46" i="33"/>
  <c r="F46" i="33"/>
  <c r="AA46" i="33" s="1"/>
  <c r="H46" i="33"/>
  <c r="AB46" i="33"/>
  <c r="H13" i="34"/>
  <c r="U13" i="34" s="1"/>
  <c r="J13" i="34"/>
  <c r="W13" i="34"/>
  <c r="F13" i="34"/>
  <c r="AA13" i="34" s="1"/>
  <c r="J29" i="34"/>
  <c r="F29" i="34"/>
  <c r="S29" i="34"/>
  <c r="H29" i="34"/>
  <c r="AB29" i="34" s="1"/>
  <c r="J31" i="34"/>
  <c r="AC31" i="34"/>
  <c r="H31" i="34"/>
  <c r="F31" i="34"/>
  <c r="S31" i="34"/>
  <c r="H45" i="34"/>
  <c r="U45" i="34" s="1"/>
  <c r="J45" i="34"/>
  <c r="W45" i="34"/>
  <c r="F45" i="34"/>
  <c r="S45" i="34" s="1"/>
  <c r="H47" i="34"/>
  <c r="U47" i="34"/>
  <c r="F47" i="34"/>
  <c r="S47" i="34" s="1"/>
  <c r="J47" i="34"/>
  <c r="AC47" i="34"/>
  <c r="F13" i="35"/>
  <c r="J13" i="35"/>
  <c r="AC13" i="35"/>
  <c r="H13" i="35"/>
  <c r="U13" i="35" s="1"/>
  <c r="J25" i="35"/>
  <c r="W25" i="35"/>
  <c r="F25" i="35"/>
  <c r="S25" i="35" s="1"/>
  <c r="H25" i="35"/>
  <c r="AB25" i="35"/>
  <c r="J35" i="35"/>
  <c r="AC35" i="35" s="1"/>
  <c r="F35" i="35"/>
  <c r="AA35" i="35"/>
  <c r="H35" i="35"/>
  <c r="J25" i="36"/>
  <c r="W25" i="36"/>
  <c r="F25" i="36"/>
  <c r="S25" i="36" s="1"/>
  <c r="H25" i="36"/>
  <c r="AB25" i="36"/>
  <c r="H13" i="37"/>
  <c r="AB13" i="37" s="1"/>
  <c r="F13" i="37"/>
  <c r="S13" i="37"/>
  <c r="J13" i="37"/>
  <c r="W13" i="37" s="1"/>
  <c r="F28" i="37"/>
  <c r="AA28" i="37" s="1"/>
  <c r="J28" i="37"/>
  <c r="AC28" i="37"/>
  <c r="H28" i="37"/>
  <c r="H38" i="37"/>
  <c r="AB38" i="37"/>
  <c r="J38" i="37"/>
  <c r="AC38" i="37" s="1"/>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s="1"/>
  <c r="F14" i="40"/>
  <c r="AA14" i="40"/>
  <c r="J14" i="37"/>
  <c r="J27" i="37"/>
  <c r="AC27" i="37"/>
  <c r="AA44" i="33"/>
  <c r="U46" i="33"/>
  <c r="AA14" i="33"/>
  <c r="J36" i="37"/>
  <c r="AC36" i="37"/>
  <c r="J10" i="36"/>
  <c r="AC10" i="36" s="1"/>
  <c r="AB26" i="33"/>
  <c r="AB30" i="21"/>
  <c r="AA14" i="37"/>
  <c r="W31" i="34"/>
  <c r="S11" i="36"/>
  <c r="AB46" i="34"/>
  <c r="AA14" i="34"/>
  <c r="S45" i="33"/>
  <c r="AB45" i="33"/>
  <c r="AC28" i="21"/>
  <c r="S44" i="34"/>
  <c r="BA586" i="3"/>
  <c r="BA585" i="3"/>
  <c r="AZ585" i="3" s="1"/>
  <c r="F17" i="21"/>
  <c r="AA17" i="21" s="1"/>
  <c r="H17" i="21"/>
  <c r="AB17" i="21" s="1"/>
  <c r="F15" i="21"/>
  <c r="S15" i="21" s="1"/>
  <c r="J41" i="39"/>
  <c r="W41" i="39" s="1"/>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AZ502" i="3" s="1"/>
  <c r="BL498" i="3"/>
  <c r="BL494" i="3"/>
  <c r="BL582" i="3"/>
  <c r="BL578" i="3"/>
  <c r="BL574" i="3"/>
  <c r="BL570" i="3"/>
  <c r="BL566" i="3"/>
  <c r="BL562" i="3"/>
  <c r="BL556" i="3"/>
  <c r="BL552" i="3"/>
  <c r="BL544" i="3"/>
  <c r="BL540" i="3"/>
  <c r="AZ540" i="3" s="1"/>
  <c r="BL536" i="3"/>
  <c r="G533" i="3"/>
  <c r="BL532" i="3"/>
  <c r="G529" i="3"/>
  <c r="BL528" i="3"/>
  <c r="G525" i="3"/>
  <c r="BL524" i="3"/>
  <c r="BL518" i="3"/>
  <c r="BL514" i="3"/>
  <c r="BL510" i="3"/>
  <c r="BL504" i="3"/>
  <c r="BL500" i="3"/>
  <c r="BL496" i="3"/>
  <c r="G493" i="3"/>
  <c r="BA584" i="3"/>
  <c r="BA582" i="3"/>
  <c r="AZ582" i="3" s="1"/>
  <c r="BA580" i="3"/>
  <c r="AZ580" i="3" s="1"/>
  <c r="BA578" i="3"/>
  <c r="BA576" i="3"/>
  <c r="AZ576" i="3" s="1"/>
  <c r="BA574" i="3"/>
  <c r="AZ574" i="3" s="1"/>
  <c r="BA572" i="3"/>
  <c r="AZ572" i="3" s="1"/>
  <c r="BA570" i="3"/>
  <c r="AZ570" i="3" s="1"/>
  <c r="BA568" i="3"/>
  <c r="AZ568" i="3" s="1"/>
  <c r="BA566" i="3"/>
  <c r="AZ566" i="3" s="1"/>
  <c r="BA564" i="3"/>
  <c r="AZ564" i="3" s="1"/>
  <c r="BA562" i="3"/>
  <c r="BA560" i="3"/>
  <c r="BA558" i="3"/>
  <c r="AZ558" i="3"/>
  <c r="BA556" i="3"/>
  <c r="AZ556" i="3"/>
  <c r="BA554" i="3"/>
  <c r="AZ554" i="3"/>
  <c r="BA552" i="3"/>
  <c r="AZ552" i="3"/>
  <c r="BA548" i="3"/>
  <c r="AZ548" i="3" s="1"/>
  <c r="BA546" i="3"/>
  <c r="AZ546" i="3" s="1"/>
  <c r="BA544" i="3"/>
  <c r="AZ544" i="3"/>
  <c r="BA542" i="3"/>
  <c r="AZ542" i="3"/>
  <c r="BA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BA579" i="3"/>
  <c r="AZ579" i="3" s="1"/>
  <c r="BA577" i="3"/>
  <c r="BA575" i="3"/>
  <c r="AZ575" i="3" s="1"/>
  <c r="BA573" i="3"/>
  <c r="BA571" i="3"/>
  <c r="AZ571" i="3" s="1"/>
  <c r="BA569" i="3"/>
  <c r="BA567" i="3"/>
  <c r="BA565" i="3"/>
  <c r="BA563" i="3"/>
  <c r="BA561" i="3"/>
  <c r="BA559" i="3"/>
  <c r="BA555" i="3"/>
  <c r="BA553" i="3"/>
  <c r="BA549" i="3"/>
  <c r="BA547" i="3"/>
  <c r="BA545" i="3"/>
  <c r="BA543" i="3"/>
  <c r="BA541" i="3"/>
  <c r="BA539" i="3"/>
  <c r="BA537" i="3"/>
  <c r="AZ537" i="3" s="1"/>
  <c r="BA535" i="3"/>
  <c r="BA533" i="3"/>
  <c r="BA531" i="3"/>
  <c r="BA529" i="3"/>
  <c r="AZ529" i="3" s="1"/>
  <c r="BA527" i="3"/>
  <c r="BA525" i="3"/>
  <c r="BA523" i="3"/>
  <c r="BA519" i="3"/>
  <c r="BA517" i="3"/>
  <c r="BA515" i="3"/>
  <c r="BA513" i="3"/>
  <c r="AZ513" i="3" s="1"/>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s="1"/>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c r="BQ563" i="3"/>
  <c r="BL563" i="3"/>
  <c r="BQ561" i="3"/>
  <c r="BL561" i="3"/>
  <c r="AZ561" i="3" s="1"/>
  <c r="BQ559" i="3"/>
  <c r="BL559" i="3" s="1"/>
  <c r="AZ559" i="3"/>
  <c r="G559" i="3"/>
  <c r="G555" i="3"/>
  <c r="G553" i="3"/>
  <c r="G549" i="3"/>
  <c r="G547" i="3"/>
  <c r="G545" i="3"/>
  <c r="G543" i="3"/>
  <c r="G541" i="3"/>
  <c r="G539" i="3"/>
  <c r="G537" i="3"/>
  <c r="BQ555" i="3"/>
  <c r="BL555" i="3"/>
  <c r="BQ553" i="3"/>
  <c r="BL553" i="3" s="1"/>
  <c r="AZ553" i="3"/>
  <c r="BQ551" i="3"/>
  <c r="BL551" i="3"/>
  <c r="BQ549" i="3"/>
  <c r="BQ547" i="3"/>
  <c r="BL547" i="3" s="1"/>
  <c r="AZ547" i="3" s="1"/>
  <c r="BQ545" i="3"/>
  <c r="BL545" i="3"/>
  <c r="BQ543" i="3"/>
  <c r="BL543" i="3" s="1"/>
  <c r="AZ543" i="3"/>
  <c r="BQ541" i="3"/>
  <c r="BL541" i="3"/>
  <c r="AZ541" i="3" s="1"/>
  <c r="BQ539" i="3"/>
  <c r="BL539" i="3" s="1"/>
  <c r="AZ539" i="3" s="1"/>
  <c r="BQ537" i="3"/>
  <c r="BL537" i="3"/>
  <c r="BQ535" i="3"/>
  <c r="BL535" i="3" s="1"/>
  <c r="AZ535" i="3" s="1"/>
  <c r="BQ533" i="3"/>
  <c r="BL533" i="3"/>
  <c r="AZ533" i="3" s="1"/>
  <c r="BQ531" i="3"/>
  <c r="BL531" i="3" s="1"/>
  <c r="AZ531" i="3" s="1"/>
  <c r="BQ529" i="3"/>
  <c r="BL529" i="3"/>
  <c r="BQ527" i="3"/>
  <c r="BL527" i="3" s="1"/>
  <c r="AZ527" i="3"/>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Q505" i="3"/>
  <c r="BL505" i="3"/>
  <c r="AZ505" i="3" s="1"/>
  <c r="BQ503" i="3"/>
  <c r="BL503" i="3" s="1"/>
  <c r="AZ503" i="3"/>
  <c r="BQ501" i="3"/>
  <c r="BL501" i="3"/>
  <c r="BQ499" i="3"/>
  <c r="BL499" i="3"/>
  <c r="BQ497" i="3"/>
  <c r="BL497" i="3"/>
  <c r="BQ495" i="3"/>
  <c r="BL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F123" i="33"/>
  <c r="G123" i="33" s="1"/>
  <c r="H123" i="33" s="1"/>
  <c r="I123" i="33" s="1"/>
  <c r="J123" i="33" s="1"/>
  <c r="K123" i="33" s="1"/>
  <c r="L123" i="33" s="1"/>
  <c r="M123" i="33" s="1"/>
  <c r="H42" i="33"/>
  <c r="AB42" i="33" s="1"/>
  <c r="J43" i="33"/>
  <c r="AC43" i="33"/>
  <c r="S28" i="31"/>
  <c r="S27" i="31"/>
  <c r="S26" i="31"/>
  <c r="U14" i="40"/>
  <c r="W23" i="35"/>
  <c r="U39" i="37"/>
  <c r="U26" i="37"/>
  <c r="W47" i="34"/>
  <c r="AC36" i="34"/>
  <c r="AA13" i="33"/>
  <c r="AC31" i="33"/>
  <c r="AC45" i="33"/>
  <c r="W44" i="33"/>
  <c r="U11" i="33"/>
  <c r="U19" i="21"/>
  <c r="W44" i="21"/>
  <c r="AB38" i="21"/>
  <c r="F43" i="33"/>
  <c r="AA43" i="33"/>
  <c r="W15" i="34"/>
  <c r="AC15" i="34"/>
  <c r="W16" i="35"/>
  <c r="W40" i="37"/>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AA25" i="21"/>
  <c r="H19" i="40"/>
  <c r="U19" i="40" s="1"/>
  <c r="F88" i="40"/>
  <c r="G88" i="40" s="1"/>
  <c r="F19" i="40"/>
  <c r="S19" i="40" s="1"/>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52" i="37" s="1"/>
  <c r="D52" i="37" s="1"/>
  <c r="C7" i="34"/>
  <c r="C7" i="36"/>
  <c r="C46" i="36" s="1"/>
  <c r="D46" i="36" s="1"/>
  <c r="E46" i="36" s="1"/>
  <c r="F46" i="36" s="1"/>
  <c r="G46" i="36" s="1"/>
  <c r="H46" i="36" s="1"/>
  <c r="I46" i="36" s="1"/>
  <c r="W35" i="40"/>
  <c r="A118" i="9"/>
  <c r="A4" i="52"/>
  <c r="B41" i="72" s="1"/>
  <c r="J11" i="39"/>
  <c r="W11" i="39"/>
  <c r="F11" i="39"/>
  <c r="S11" i="39" s="1"/>
  <c r="AA11" i="39"/>
  <c r="G4" i="4"/>
  <c r="I4" i="4"/>
  <c r="A2" i="9"/>
  <c r="F61" i="43"/>
  <c r="H64" i="43" s="1"/>
  <c r="AZ20" i="3"/>
  <c r="AZ28" i="3"/>
  <c r="AZ497" i="3"/>
  <c r="BL549" i="3"/>
  <c r="AZ549" i="3" s="1"/>
  <c r="AZ494" i="3"/>
  <c r="AZ514" i="3"/>
  <c r="AZ522" i="3"/>
  <c r="AZ530" i="3"/>
  <c r="G546" i="3"/>
  <c r="G524" i="3"/>
  <c r="G303" i="3"/>
  <c r="BL304" i="3"/>
  <c r="G305" i="3"/>
  <c r="BL306" i="3"/>
  <c r="AZ306" i="3" s="1"/>
  <c r="BA308" i="3"/>
  <c r="AZ308" i="3" s="1"/>
  <c r="BA309" i="3"/>
  <c r="AZ309" i="3" s="1"/>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AZ360" i="3" s="1"/>
  <c r="BL360" i="3"/>
  <c r="G361" i="3"/>
  <c r="BA362" i="3"/>
  <c r="G370" i="3"/>
  <c r="BL371" i="3"/>
  <c r="G372" i="3"/>
  <c r="BL373" i="3"/>
  <c r="BA375" i="3"/>
  <c r="AZ375" i="3" s="1"/>
  <c r="BA376" i="3"/>
  <c r="AZ376" i="3" s="1"/>
  <c r="BL376" i="3"/>
  <c r="G377" i="3"/>
  <c r="BA378" i="3"/>
  <c r="AZ378" i="3"/>
  <c r="BL378" i="3"/>
  <c r="G379" i="3"/>
  <c r="BA380" i="3"/>
  <c r="G388" i="3"/>
  <c r="BL389" i="3"/>
  <c r="G390" i="3"/>
  <c r="BL391" i="3"/>
  <c r="BA393" i="3"/>
  <c r="BA394" i="3"/>
  <c r="AZ394" i="3" s="1"/>
  <c r="BL394" i="3"/>
  <c r="G113" i="3"/>
  <c r="BA115" i="3"/>
  <c r="AZ115" i="3"/>
  <c r="BL116" i="3"/>
  <c r="AZ116" i="3"/>
  <c r="G117" i="3"/>
  <c r="BA119" i="3"/>
  <c r="BL120" i="3"/>
  <c r="G121" i="3"/>
  <c r="BA123" i="3"/>
  <c r="AZ123" i="3" s="1"/>
  <c r="BL124" i="3"/>
  <c r="AZ124" i="3" s="1"/>
  <c r="G125" i="3"/>
  <c r="BA127" i="3"/>
  <c r="AZ127" i="3"/>
  <c r="BL128" i="3"/>
  <c r="G129" i="3"/>
  <c r="BA131" i="3"/>
  <c r="BL132" i="3"/>
  <c r="AZ132" i="3"/>
  <c r="G133" i="3"/>
  <c r="BA135" i="3"/>
  <c r="AZ135" i="3" s="1"/>
  <c r="BL136" i="3"/>
  <c r="G137" i="3"/>
  <c r="BA139" i="3"/>
  <c r="AZ139" i="3" s="1"/>
  <c r="BL140" i="3"/>
  <c r="AZ140" i="3" s="1"/>
  <c r="G141" i="3"/>
  <c r="BA143" i="3"/>
  <c r="AZ143" i="3" s="1"/>
  <c r="BL144" i="3"/>
  <c r="G145" i="3"/>
  <c r="BA147" i="3"/>
  <c r="BL148" i="3"/>
  <c r="AZ148" i="3"/>
  <c r="G149" i="3"/>
  <c r="BA151" i="3"/>
  <c r="BL152" i="3"/>
  <c r="G153" i="3"/>
  <c r="BA155" i="3"/>
  <c r="AZ155" i="3" s="1"/>
  <c r="BL156" i="3"/>
  <c r="AZ156" i="3"/>
  <c r="G157" i="3"/>
  <c r="BA159" i="3"/>
  <c r="AZ159" i="3"/>
  <c r="BL160" i="3"/>
  <c r="AZ160" i="3" s="1"/>
  <c r="G161" i="3"/>
  <c r="BA163" i="3"/>
  <c r="AZ163" i="3"/>
  <c r="BL164" i="3"/>
  <c r="AZ164" i="3" s="1"/>
  <c r="G165" i="3"/>
  <c r="BA167" i="3"/>
  <c r="AZ167" i="3"/>
  <c r="BL168" i="3"/>
  <c r="G169" i="3"/>
  <c r="BA171" i="3"/>
  <c r="AZ171" i="3"/>
  <c r="BL172" i="3"/>
  <c r="G173" i="3"/>
  <c r="BA175" i="3"/>
  <c r="AZ175" i="3"/>
  <c r="BL176" i="3"/>
  <c r="G177" i="3"/>
  <c r="BA179" i="3"/>
  <c r="AZ179" i="3"/>
  <c r="BL180" i="3"/>
  <c r="AZ180" i="3"/>
  <c r="G181" i="3"/>
  <c r="BA183" i="3"/>
  <c r="AZ183" i="3" s="1"/>
  <c r="BL184" i="3"/>
  <c r="G185" i="3"/>
  <c r="BA187" i="3"/>
  <c r="AZ187" i="3" s="1"/>
  <c r="BL188" i="3"/>
  <c r="AZ188" i="3" s="1"/>
  <c r="G189" i="3"/>
  <c r="BA191" i="3"/>
  <c r="AZ191" i="3"/>
  <c r="BL192" i="3"/>
  <c r="AZ192" i="3" s="1"/>
  <c r="G193" i="3"/>
  <c r="BA195" i="3"/>
  <c r="AZ195" i="3"/>
  <c r="BL196" i="3"/>
  <c r="AZ196" i="3"/>
  <c r="G197" i="3"/>
  <c r="BA199" i="3"/>
  <c r="AZ199" i="3" s="1"/>
  <c r="BL200" i="3"/>
  <c r="AZ200" i="3" s="1"/>
  <c r="G201" i="3"/>
  <c r="BA203" i="3"/>
  <c r="AZ203" i="3" s="1"/>
  <c r="BL204" i="3"/>
  <c r="AZ204" i="3" s="1"/>
  <c r="AZ39" i="3"/>
  <c r="AZ47" i="3"/>
  <c r="AZ51" i="3"/>
  <c r="AZ55" i="3"/>
  <c r="AZ59" i="3"/>
  <c r="AZ63" i="3"/>
  <c r="AZ67" i="3"/>
  <c r="AZ71" i="3"/>
  <c r="AZ75" i="3"/>
  <c r="AZ79" i="3"/>
  <c r="AZ144" i="3"/>
  <c r="AZ152" i="3"/>
  <c r="AZ168" i="3"/>
  <c r="AZ176" i="3"/>
  <c r="AZ184" i="3"/>
  <c r="AZ97" i="3"/>
  <c r="AZ101" i="3"/>
  <c r="AZ105" i="3"/>
  <c r="AZ120" i="3"/>
  <c r="AZ128" i="3"/>
  <c r="G534" i="3"/>
  <c r="G530" i="3"/>
  <c r="G522" i="3"/>
  <c r="G516" i="3"/>
  <c r="G512" i="3"/>
  <c r="G506" i="3"/>
  <c r="G498" i="3"/>
  <c r="G494" i="3"/>
  <c r="G16" i="3"/>
  <c r="G15" i="3"/>
  <c r="BA304" i="3"/>
  <c r="AZ304" i="3" s="1"/>
  <c r="BA305" i="3"/>
  <c r="AZ305" i="3" s="1"/>
  <c r="BL305" i="3"/>
  <c r="G306" i="3"/>
  <c r="G309" i="3"/>
  <c r="BL310" i="3"/>
  <c r="BA312" i="3"/>
  <c r="BA313" i="3"/>
  <c r="AZ313" i="3" s="1"/>
  <c r="BL313" i="3"/>
  <c r="G314" i="3"/>
  <c r="G317" i="3"/>
  <c r="BL318" i="3"/>
  <c r="BA320" i="3"/>
  <c r="AZ320" i="3"/>
  <c r="BA321" i="3"/>
  <c r="BL321" i="3"/>
  <c r="G322" i="3"/>
  <c r="G325" i="3"/>
  <c r="BL326" i="3"/>
  <c r="BA328" i="3"/>
  <c r="AZ328" i="3" s="1"/>
  <c r="BA329" i="3"/>
  <c r="AZ329" i="3" s="1"/>
  <c r="BL329" i="3"/>
  <c r="G330" i="3"/>
  <c r="G333" i="3"/>
  <c r="BL334" i="3"/>
  <c r="BA336" i="3"/>
  <c r="AZ336" i="3" s="1"/>
  <c r="BA337" i="3"/>
  <c r="AZ337" i="3" s="1"/>
  <c r="BL337" i="3"/>
  <c r="G338" i="3"/>
  <c r="G341" i="3"/>
  <c r="BA342" i="3"/>
  <c r="BL342" i="3"/>
  <c r="AZ342" i="3"/>
  <c r="BA344" i="3"/>
  <c r="BL344" i="3"/>
  <c r="AZ344" i="3"/>
  <c r="BA346" i="3"/>
  <c r="AZ346" i="3" s="1"/>
  <c r="BA347" i="3"/>
  <c r="BL347" i="3"/>
  <c r="AZ347" i="3" s="1"/>
  <c r="G350" i="3"/>
  <c r="BA351" i="3"/>
  <c r="BL351" i="3"/>
  <c r="AZ351" i="3" s="1"/>
  <c r="G352" i="3"/>
  <c r="G354" i="3"/>
  <c r="BA355" i="3"/>
  <c r="AZ355" i="3"/>
  <c r="BA356" i="3"/>
  <c r="BL356" i="3"/>
  <c r="G357" i="3"/>
  <c r="G360" i="3"/>
  <c r="BL361" i="3"/>
  <c r="BA363" i="3"/>
  <c r="BA364" i="3"/>
  <c r="AZ364" i="3" s="1"/>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AZ390" i="3" s="1"/>
  <c r="G391" i="3"/>
  <c r="G394" i="3"/>
  <c r="AZ146" i="3"/>
  <c r="AZ150" i="3"/>
  <c r="AZ154" i="3"/>
  <c r="AZ162" i="3"/>
  <c r="AZ166" i="3"/>
  <c r="AZ178" i="3"/>
  <c r="AZ182" i="3"/>
  <c r="AZ186" i="3"/>
  <c r="AZ190" i="3"/>
  <c r="AZ194" i="3"/>
  <c r="AZ198" i="3"/>
  <c r="AZ500" i="3"/>
  <c r="BA16" i="3"/>
  <c r="AZ16" i="3"/>
  <c r="BL303" i="3"/>
  <c r="AZ303" i="3" s="1"/>
  <c r="G304" i="3"/>
  <c r="BA306" i="3"/>
  <c r="BL307" i="3"/>
  <c r="AZ307" i="3" s="1"/>
  <c r="G308" i="3"/>
  <c r="BA310" i="3"/>
  <c r="AZ310" i="3"/>
  <c r="BL311" i="3"/>
  <c r="AZ311" i="3" s="1"/>
  <c r="G312" i="3"/>
  <c r="BA314" i="3"/>
  <c r="AZ314" i="3"/>
  <c r="BL315" i="3"/>
  <c r="AZ315" i="3"/>
  <c r="G316" i="3"/>
  <c r="BA318" i="3"/>
  <c r="AZ318" i="3" s="1"/>
  <c r="BL319" i="3"/>
  <c r="AZ319" i="3" s="1"/>
  <c r="G320" i="3"/>
  <c r="BA322" i="3"/>
  <c r="AZ322" i="3" s="1"/>
  <c r="BL323" i="3"/>
  <c r="G324" i="3"/>
  <c r="BA326" i="3"/>
  <c r="AZ326" i="3"/>
  <c r="BL327" i="3"/>
  <c r="AZ327" i="3"/>
  <c r="G328" i="3"/>
  <c r="BA330" i="3"/>
  <c r="BL331" i="3"/>
  <c r="AZ331" i="3" s="1"/>
  <c r="G332" i="3"/>
  <c r="BA334" i="3"/>
  <c r="AZ334" i="3" s="1"/>
  <c r="BL335" i="3"/>
  <c r="G336" i="3"/>
  <c r="BA338" i="3"/>
  <c r="AZ338" i="3" s="1"/>
  <c r="BL339" i="3"/>
  <c r="AZ339" i="3"/>
  <c r="G340" i="3"/>
  <c r="BL343" i="3"/>
  <c r="G344" i="3"/>
  <c r="G348" i="3"/>
  <c r="G355" i="3"/>
  <c r="AZ214" i="3"/>
  <c r="AZ218" i="3"/>
  <c r="AZ222" i="3"/>
  <c r="AZ335" i="3"/>
  <c r="G342" i="3"/>
  <c r="BL345" i="3"/>
  <c r="AZ345" i="3" s="1"/>
  <c r="G346" i="3"/>
  <c r="BL349" i="3"/>
  <c r="AZ349" i="3" s="1"/>
  <c r="BL352" i="3"/>
  <c r="G353" i="3"/>
  <c r="BA357" i="3"/>
  <c r="AZ357" i="3" s="1"/>
  <c r="BL358" i="3"/>
  <c r="AZ358" i="3"/>
  <c r="G359" i="3"/>
  <c r="BA361" i="3"/>
  <c r="AZ361" i="3"/>
  <c r="BL362" i="3"/>
  <c r="AZ362" i="3" s="1"/>
  <c r="G363" i="3"/>
  <c r="BA365" i="3"/>
  <c r="AZ365" i="3"/>
  <c r="BL366" i="3"/>
  <c r="AZ366" i="3" s="1"/>
  <c r="G367" i="3"/>
  <c r="BA369" i="3"/>
  <c r="AZ369" i="3"/>
  <c r="BL370" i="3"/>
  <c r="AZ370" i="3" s="1"/>
  <c r="G371" i="3"/>
  <c r="BA373" i="3"/>
  <c r="AZ373" i="3"/>
  <c r="BL374" i="3"/>
  <c r="AZ374" i="3" s="1"/>
  <c r="G375" i="3"/>
  <c r="BA377" i="3"/>
  <c r="AZ377" i="3"/>
  <c r="AZ229" i="3"/>
  <c r="AZ233" i="3"/>
  <c r="AZ237" i="3"/>
  <c r="AZ241" i="3"/>
  <c r="AZ245" i="3"/>
  <c r="AZ249" i="3"/>
  <c r="AZ257" i="3"/>
  <c r="AZ265" i="3"/>
  <c r="AZ269" i="3"/>
  <c r="AZ273" i="3"/>
  <c r="BA379" i="3"/>
  <c r="AZ379" i="3" s="1"/>
  <c r="BL380" i="3"/>
  <c r="G381" i="3"/>
  <c r="BA383" i="3"/>
  <c r="AZ383" i="3" s="1"/>
  <c r="BL384" i="3"/>
  <c r="AZ384" i="3" s="1"/>
  <c r="G385" i="3"/>
  <c r="BA387" i="3"/>
  <c r="AZ387" i="3" s="1"/>
  <c r="BL388" i="3"/>
  <c r="AZ388" i="3" s="1"/>
  <c r="G389" i="3"/>
  <c r="BA391" i="3"/>
  <c r="AZ391" i="3" s="1"/>
  <c r="BL392" i="3"/>
  <c r="G393" i="3"/>
  <c r="AZ263" i="3"/>
  <c r="AZ275" i="3"/>
  <c r="AZ283" i="3"/>
  <c r="AZ291" i="3"/>
  <c r="BO5" i="3"/>
  <c r="BM5" i="3"/>
  <c r="F29" i="6" s="1"/>
  <c r="BJ5" i="3"/>
  <c r="BH5" i="3"/>
  <c r="BF5" i="3"/>
  <c r="BD5" i="3"/>
  <c r="AZ325" i="3"/>
  <c r="AZ341" i="3"/>
  <c r="AC5" i="3"/>
  <c r="AZ506" i="3"/>
  <c r="AZ496" i="3"/>
  <c r="G548" i="3"/>
  <c r="G538" i="3"/>
  <c r="G520" i="3"/>
  <c r="G502" i="3"/>
  <c r="BS5" i="3"/>
  <c r="BP5" i="3"/>
  <c r="BN5" i="3"/>
  <c r="BK5" i="3"/>
  <c r="BI5" i="3"/>
  <c r="BG5" i="3"/>
  <c r="BE5" i="3"/>
  <c r="BC5" i="3"/>
  <c r="G17" i="3"/>
  <c r="BA17" i="3"/>
  <c r="BT5" i="3"/>
  <c r="AZ350" i="3"/>
  <c r="AZ356" i="3"/>
  <c r="AZ368" i="3"/>
  <c r="BA15" i="3"/>
  <c r="AZ15" i="3" s="1"/>
  <c r="BB5" i="3"/>
  <c r="BR5" i="3"/>
  <c r="AZ380" i="3"/>
  <c r="AZ392" i="3"/>
  <c r="AZ499" i="3"/>
  <c r="AZ509" i="3"/>
  <c r="G509" i="3"/>
  <c r="BL493" i="3"/>
  <c r="AZ491" i="3"/>
  <c r="AZ493" i="3"/>
  <c r="U36" i="40"/>
  <c r="F83" i="43"/>
  <c r="H85" i="43" s="1"/>
  <c r="F50" i="43"/>
  <c r="H54" i="43" s="1"/>
  <c r="F72" i="43"/>
  <c r="H75" i="43" s="1"/>
  <c r="U17" i="39"/>
  <c r="S14" i="35"/>
  <c r="U43" i="21"/>
  <c r="U35" i="21"/>
  <c r="AC35" i="21"/>
  <c r="AC11" i="39"/>
  <c r="AZ563" i="3"/>
  <c r="AZ501" i="3"/>
  <c r="W37" i="37"/>
  <c r="W44" i="34"/>
  <c r="AC44" i="34"/>
  <c r="S15" i="37"/>
  <c r="U13" i="37"/>
  <c r="U12" i="40"/>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c r="F27" i="40"/>
  <c r="S27" i="40"/>
  <c r="J30" i="40"/>
  <c r="AC30" i="40"/>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AZ353" i="3"/>
  <c r="AZ386" i="3"/>
  <c r="C40" i="11"/>
  <c r="AZ223" i="3"/>
  <c r="AZ227" i="3"/>
  <c r="AZ235" i="3"/>
  <c r="AZ240" i="3"/>
  <c r="AZ243" i="3"/>
  <c r="AZ248" i="3"/>
  <c r="AZ251" i="3"/>
  <c r="AZ256" i="3"/>
  <c r="AZ259" i="3"/>
  <c r="AZ271" i="3"/>
  <c r="AZ280" i="3"/>
  <c r="AZ130" i="3"/>
  <c r="AZ133" i="3"/>
  <c r="AZ21" i="3"/>
  <c r="AZ29" i="3"/>
  <c r="AZ31"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s="1"/>
  <c r="J96" i="37" s="1"/>
  <c r="K96" i="37" s="1"/>
  <c r="L96" i="37" s="1"/>
  <c r="M96" i="37" s="1"/>
  <c r="F20" i="36"/>
  <c r="AA20" i="36" s="1"/>
  <c r="J33" i="34"/>
  <c r="AC33" i="34" s="1"/>
  <c r="H23" i="39"/>
  <c r="U23" i="39" s="1"/>
  <c r="D48" i="9"/>
  <c r="M52" i="9" s="1"/>
  <c r="K9" i="1"/>
  <c r="M9" i="1" s="1"/>
  <c r="D93" i="9"/>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BL14" i="3"/>
  <c r="U30" i="33"/>
  <c r="AC13" i="34"/>
  <c r="AA47" i="34"/>
  <c r="W28" i="37"/>
  <c r="S19" i="39"/>
  <c r="F12" i="33"/>
  <c r="H12" i="39"/>
  <c r="AB12" i="39"/>
  <c r="F39" i="40"/>
  <c r="BA14" i="3"/>
  <c r="AZ14" i="3" s="1"/>
  <c r="AZ367" i="3"/>
  <c r="AZ224" i="3"/>
  <c r="AZ238" i="3"/>
  <c r="AZ250" i="3"/>
  <c r="AZ254" i="3"/>
  <c r="AZ286" i="3"/>
  <c r="AZ297" i="3"/>
  <c r="AZ149" i="3"/>
  <c r="AZ157" i="3"/>
  <c r="AZ173" i="3"/>
  <c r="AZ181" i="3"/>
  <c r="AZ189" i="3"/>
  <c r="AZ197" i="3"/>
  <c r="AZ19" i="3"/>
  <c r="AZ41" i="3"/>
  <c r="B12" i="1"/>
  <c r="E12" i="1" s="1"/>
  <c r="B10" i="1"/>
  <c r="E10" i="1" s="1"/>
  <c r="AZ84" i="3"/>
  <c r="AZ88" i="3"/>
  <c r="AZ111" i="3"/>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AC29" i="37"/>
  <c r="U29" i="37"/>
  <c r="S32" i="37"/>
  <c r="AB31" i="37"/>
  <c r="W30" i="37"/>
  <c r="S36" i="37"/>
  <c r="AA38" i="37"/>
  <c r="U32" i="37"/>
  <c r="W38" i="37"/>
  <c r="AC35" i="37"/>
  <c r="W39" i="37"/>
  <c r="S30" i="37"/>
  <c r="S37" i="37"/>
  <c r="AC15" i="37"/>
  <c r="J17" i="37"/>
  <c r="W17" i="37"/>
  <c r="G73" i="37"/>
  <c r="F17" i="37"/>
  <c r="AA17" i="37" s="1"/>
  <c r="AB17" i="37"/>
  <c r="F75" i="37"/>
  <c r="F19" i="37"/>
  <c r="S19" i="37" s="1"/>
  <c r="F79" i="37"/>
  <c r="F23" i="37"/>
  <c r="S23" i="37" s="1"/>
  <c r="U23" i="37"/>
  <c r="U15" i="37"/>
  <c r="AC13" i="37"/>
  <c r="AA13" i="37"/>
  <c r="H10" i="37"/>
  <c r="AB10" i="37" s="1"/>
  <c r="F63" i="37"/>
  <c r="F11" i="37"/>
  <c r="S11" i="37" s="1"/>
  <c r="W25" i="34"/>
  <c r="AB8" i="34"/>
  <c r="AA33"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AC23" i="33" s="1"/>
  <c r="F85" i="33"/>
  <c r="H23" i="33"/>
  <c r="F81" i="33"/>
  <c r="F19" i="33"/>
  <c r="S19" i="33" s="1"/>
  <c r="W19" i="33"/>
  <c r="J17" i="33"/>
  <c r="F79" i="33"/>
  <c r="G79" i="33" s="1"/>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BA13" i="3"/>
  <c r="BL17" i="3"/>
  <c r="AZ17" i="3"/>
  <c r="BL13" i="3"/>
  <c r="J56" i="9"/>
  <c r="J57" i="9" s="1"/>
  <c r="J59" i="9" s="1"/>
  <c r="J61" i="9" s="1"/>
  <c r="A24" i="51"/>
  <c r="B18" i="72"/>
  <c r="U29" i="34"/>
  <c r="E5" i="6"/>
  <c r="E32" i="6"/>
  <c r="G1" i="68"/>
  <c r="K1" i="12"/>
  <c r="E19" i="69"/>
  <c r="E19" i="68"/>
  <c r="E19" i="11"/>
  <c r="E1" i="73"/>
  <c r="G22" i="69"/>
  <c r="G22" i="68"/>
  <c r="G26" i="12"/>
  <c r="G22" i="11"/>
  <c r="C6" i="43"/>
  <c r="B19" i="53"/>
  <c r="B37" i="72" s="1"/>
  <c r="C7" i="39"/>
  <c r="C67" i="39" s="1"/>
  <c r="C7" i="35"/>
  <c r="C7" i="33"/>
  <c r="C7" i="21"/>
  <c r="C7" i="40"/>
  <c r="C63" i="40" s="1"/>
  <c r="M47" i="9"/>
  <c r="G23" i="43"/>
  <c r="C23" i="43" s="1"/>
  <c r="A4" i="51"/>
  <c r="B6" i="72" s="1"/>
  <c r="C48" i="35"/>
  <c r="D48" i="35"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AC17" i="21"/>
  <c r="AC19" i="21"/>
  <c r="W39" i="21"/>
  <c r="AC14" i="21"/>
  <c r="W30" i="21"/>
  <c r="S46" i="21"/>
  <c r="H45" i="21"/>
  <c r="U45" i="21" s="1"/>
  <c r="F29" i="21"/>
  <c r="AA29" i="21" s="1"/>
  <c r="F13" i="21"/>
  <c r="AA13" i="21" s="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W31" i="21"/>
  <c r="S27" i="21"/>
  <c r="S17" i="21"/>
  <c r="AA15" i="21"/>
  <c r="AC27" i="21"/>
  <c r="AC26" i="21"/>
  <c r="AB29" i="21"/>
  <c r="S28" i="21"/>
  <c r="AC34"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W19" i="37" s="1"/>
  <c r="G75" i="37"/>
  <c r="AA19" i="37"/>
  <c r="AA23" i="37"/>
  <c r="J23" i="37"/>
  <c r="G79" i="37"/>
  <c r="J10" i="37"/>
  <c r="W10" i="37" s="1"/>
  <c r="G63" i="37"/>
  <c r="H63" i="37" s="1"/>
  <c r="I63" i="37" s="1"/>
  <c r="H11" i="37"/>
  <c r="AB11" i="37" s="1"/>
  <c r="G70" i="34"/>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AB27" i="33"/>
  <c r="G91" i="33"/>
  <c r="H91" i="33"/>
  <c r="I91" i="33"/>
  <c r="J91" i="33" s="1"/>
  <c r="K91" i="33" s="1"/>
  <c r="L91" i="33" s="1"/>
  <c r="M91" i="33"/>
  <c r="J27" i="33"/>
  <c r="U25" i="33"/>
  <c r="AB25" i="33"/>
  <c r="S25" i="33"/>
  <c r="AA25" i="33"/>
  <c r="G87" i="33"/>
  <c r="H87" i="33"/>
  <c r="I87" i="33"/>
  <c r="J87" i="33" s="1"/>
  <c r="K87" i="33" s="1"/>
  <c r="L87" i="33" s="1"/>
  <c r="M87" i="33" s="1"/>
  <c r="J25" i="33"/>
  <c r="AB23" i="33"/>
  <c r="U23" i="33"/>
  <c r="F23" i="33"/>
  <c r="G85" i="33"/>
  <c r="AA19" i="33"/>
  <c r="H19" i="33"/>
  <c r="G81" i="33"/>
  <c r="H17" i="33"/>
  <c r="U17" i="33" s="1"/>
  <c r="F17" i="33"/>
  <c r="S17" i="33" s="1"/>
  <c r="W17" i="33"/>
  <c r="AC17" i="33"/>
  <c r="S37" i="21"/>
  <c r="AA23" i="21"/>
  <c r="AB15" i="21"/>
  <c r="J23" i="21"/>
  <c r="F85" i="21"/>
  <c r="G85" i="21" s="1"/>
  <c r="H23" i="21"/>
  <c r="S13" i="21"/>
  <c r="D6" i="52"/>
  <c r="AP7" i="1"/>
  <c r="AB45" i="21"/>
  <c r="AB9" i="21"/>
  <c r="U9" i="21"/>
  <c r="AA32" i="21"/>
  <c r="S32" i="21"/>
  <c r="W9" i="21"/>
  <c r="AC9" i="21"/>
  <c r="AB32" i="21"/>
  <c r="U32" i="21"/>
  <c r="A18" i="62"/>
  <c r="B64" i="72" s="1"/>
  <c r="U32" i="39"/>
  <c r="AC32" i="39"/>
  <c r="W32" i="39"/>
  <c r="W23" i="37"/>
  <c r="AC23" i="37"/>
  <c r="J63" i="37"/>
  <c r="K63" i="37" s="1"/>
  <c r="L63" i="37" s="1"/>
  <c r="M63" i="37" s="1"/>
  <c r="J11" i="37"/>
  <c r="AC11" i="37" s="1"/>
  <c r="H70" i="34"/>
  <c r="I70" i="34" s="1"/>
  <c r="J70" i="34" s="1"/>
  <c r="K70" i="34"/>
  <c r="L70" i="34" s="1"/>
  <c r="M70" i="34" s="1"/>
  <c r="J11" i="34"/>
  <c r="W11" i="34" s="1"/>
  <c r="AB36" i="33"/>
  <c r="W27" i="33"/>
  <c r="AC27" i="33"/>
  <c r="W25" i="33"/>
  <c r="AC25" i="33"/>
  <c r="AB19" i="33"/>
  <c r="U19" i="33"/>
  <c r="AA17" i="33"/>
  <c r="U23" i="21"/>
  <c r="AB23" i="21"/>
  <c r="AC23" i="21"/>
  <c r="W23" i="21"/>
  <c r="H109" i="9"/>
  <c r="M49" i="9" s="1"/>
  <c r="H112" i="9"/>
  <c r="D21" i="53"/>
  <c r="B39" i="72" s="1"/>
  <c r="H111" i="9"/>
  <c r="D126" i="9" s="1"/>
  <c r="AD3" i="71"/>
  <c r="J1" i="73"/>
  <c r="C22" i="7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E21" i="71"/>
  <c r="E20" i="71" s="1"/>
  <c r="F9" i="67"/>
  <c r="F6" i="73"/>
  <c r="F7" i="67"/>
  <c r="F42" i="67"/>
  <c r="F5" i="73"/>
  <c r="F40" i="67"/>
  <c r="L48" i="67"/>
  <c r="D6" i="73"/>
  <c r="C76" i="67"/>
  <c r="F16" i="15"/>
  <c r="AO13" i="1"/>
  <c r="D35" i="9"/>
  <c r="E11" i="76"/>
  <c r="F37" i="15"/>
  <c r="F36" i="15"/>
  <c r="F40" i="15"/>
  <c r="B8" i="76"/>
  <c r="M6" i="15"/>
  <c r="E7" i="76"/>
  <c r="B11" i="76"/>
  <c r="F13" i="67"/>
  <c r="M26" i="15"/>
  <c r="B13" i="76"/>
  <c r="M28" i="67"/>
  <c r="M23" i="67"/>
  <c r="M29" i="15"/>
  <c r="F37" i="67"/>
  <c r="F7" i="15"/>
  <c r="B12" i="76"/>
  <c r="C19" i="9"/>
  <c r="M6" i="67"/>
  <c r="F13" i="15"/>
  <c r="J15" i="67"/>
  <c r="F6" i="67"/>
  <c r="M22" i="67"/>
  <c r="F26" i="67"/>
  <c r="F38" i="15"/>
  <c r="E2" i="68"/>
  <c r="M26" i="67"/>
  <c r="D19" i="9"/>
  <c r="C20" i="9"/>
  <c r="L47" i="67"/>
  <c r="M8" i="15"/>
  <c r="F43" i="67"/>
  <c r="L48" i="15"/>
  <c r="M29" i="67"/>
  <c r="J15" i="15"/>
  <c r="L47" i="15"/>
  <c r="E8" i="76"/>
  <c r="E12" i="76"/>
  <c r="F43" i="15"/>
  <c r="F6" i="15"/>
  <c r="E13" i="76"/>
  <c r="F4" i="73"/>
  <c r="M24" i="15"/>
  <c r="F36" i="67"/>
  <c r="M28" i="15"/>
  <c r="M9" i="67"/>
  <c r="F7" i="73"/>
  <c r="B7" i="76"/>
  <c r="F3" i="73"/>
  <c r="D20" i="9"/>
  <c r="F16" i="67"/>
  <c r="E9" i="76"/>
  <c r="F9" i="15"/>
  <c r="M23" i="15"/>
  <c r="F8" i="67"/>
  <c r="F42" i="15"/>
  <c r="E2" i="69"/>
  <c r="M24" i="67"/>
  <c r="F20" i="31"/>
  <c r="M8" i="67"/>
  <c r="E10" i="76"/>
  <c r="M22" i="15"/>
  <c r="F26" i="15"/>
  <c r="B10" i="76"/>
  <c r="D34" i="9"/>
  <c r="B9" i="76"/>
  <c r="M9" i="15"/>
  <c r="F8" i="15"/>
  <c r="F38" i="67"/>
  <c r="C76" i="15"/>
  <c r="F9" i="1" l="1"/>
  <c r="G9" i="1" s="1"/>
  <c r="F10" i="1"/>
  <c r="G10" i="1" s="1"/>
  <c r="F8" i="1"/>
  <c r="G8" i="1" s="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5" i="3"/>
  <c r="AZ489" i="3"/>
  <c r="AZ385" i="3"/>
  <c r="AZ212" i="3"/>
  <c r="AZ220" i="3"/>
  <c r="AZ231" i="3"/>
  <c r="AZ255" i="3"/>
  <c r="AZ276"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AZ285" i="3" s="1"/>
  <c r="BA287" i="3"/>
  <c r="AZ287" i="3" s="1"/>
  <c r="AZ290" i="3"/>
  <c r="AZ153"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AZ87" i="3"/>
  <c r="BL202" i="3"/>
  <c r="AZ202" i="3" s="1"/>
  <c r="AZ30" i="3"/>
  <c r="BL36" i="3"/>
  <c r="AZ36" i="3" s="1"/>
  <c r="AZ40" i="3"/>
  <c r="AZ48" i="3"/>
  <c r="AZ68" i="3"/>
  <c r="AZ73" i="3"/>
  <c r="AZ104"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AZ92" i="3"/>
  <c r="BL78" i="3"/>
  <c r="BA83" i="3"/>
  <c r="AZ83" i="3" s="1"/>
  <c r="G91" i="3"/>
  <c r="BL95" i="3"/>
  <c r="BL98" i="3"/>
  <c r="AZ98" i="3" s="1"/>
  <c r="BL109" i="3"/>
  <c r="AZ109" i="3" s="1"/>
  <c r="AB21" i="21"/>
  <c r="D36" i="71"/>
  <c r="T36" i="71"/>
  <c r="AZ78" i="3"/>
  <c r="AZ95" i="3"/>
  <c r="G77" i="3"/>
  <c r="G5" i="3" s="1"/>
  <c r="B3" i="3" s="1"/>
  <c r="BA81" i="3"/>
  <c r="AZ81" i="3" s="1"/>
  <c r="BA85" i="3"/>
  <c r="AZ85" i="3" s="1"/>
  <c r="BL89" i="3"/>
  <c r="AZ89" i="3" s="1"/>
  <c r="G94" i="3"/>
  <c r="G97" i="3"/>
  <c r="G100" i="3"/>
  <c r="BA107" i="3"/>
  <c r="AZ107" i="3" s="1"/>
  <c r="BA112" i="3"/>
  <c r="AZ112" i="3" s="1"/>
  <c r="AC21" i="34"/>
  <c r="E27" i="71"/>
  <c r="E26" i="71" s="1"/>
  <c r="V28" i="71"/>
  <c r="BA76" i="3"/>
  <c r="AZ76" i="3" s="1"/>
  <c r="BL80" i="3"/>
  <c r="AZ80" i="3" s="1"/>
  <c r="BL87" i="3"/>
  <c r="BA93" i="3"/>
  <c r="AZ93" i="3" s="1"/>
  <c r="BA96" i="3"/>
  <c r="AZ96" i="3" s="1"/>
  <c r="BA99" i="3"/>
  <c r="AZ99" i="3" s="1"/>
  <c r="BL104" i="3"/>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D102" i="9"/>
  <c r="C102" i="9"/>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E29" i="6"/>
  <c r="K15" i="1" s="1"/>
  <c r="F30" i="6"/>
  <c r="G30" i="6"/>
  <c r="G31" i="6" s="1"/>
  <c r="E28" i="6"/>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15" i="6"/>
  <c r="E64" i="39" s="1"/>
  <c r="E11" i="6"/>
  <c r="E60" i="39" s="1"/>
  <c r="E10" i="6"/>
  <c r="E13" i="6"/>
  <c r="H16" i="1"/>
  <c r="P6" i="1"/>
  <c r="C13" i="12" s="1"/>
  <c r="P11" i="1"/>
  <c r="E59" i="40"/>
  <c r="K14" i="1"/>
  <c r="K16" i="1" s="1"/>
  <c r="D9" i="11"/>
  <c r="C9" i="11" s="1"/>
  <c r="D19" i="12"/>
  <c r="C19" i="12" s="1"/>
  <c r="AZ13" i="3"/>
  <c r="O9" i="1"/>
  <c r="P9" i="1" s="1"/>
  <c r="O12" i="1"/>
  <c r="P12" i="1" s="1"/>
  <c r="O8" i="1"/>
  <c r="P8" i="1" s="1"/>
  <c r="H73" i="43"/>
  <c r="H90" i="43"/>
  <c r="O23" i="43"/>
  <c r="I18" i="43"/>
  <c r="E17" i="43" s="1"/>
  <c r="C17" i="43" s="1"/>
  <c r="H26" i="43"/>
  <c r="F26" i="43"/>
  <c r="J26" i="43"/>
  <c r="G26" i="43"/>
  <c r="E26" i="43"/>
  <c r="A1" i="79"/>
  <c r="H55" i="43"/>
  <c r="H86" i="43"/>
  <c r="H87" i="43"/>
  <c r="N370" i="46"/>
  <c r="N94" i="46"/>
  <c r="H89" i="43"/>
  <c r="H88" i="43"/>
  <c r="H84" i="43"/>
  <c r="C69" i="39"/>
  <c r="D67" i="39"/>
  <c r="D69" i="39" s="1"/>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C6" i="67"/>
  <c r="D22" i="9"/>
  <c r="G19" i="9"/>
  <c r="Q71" i="15"/>
  <c r="J53" i="15"/>
  <c r="L56" i="15" s="1"/>
  <c r="J57" i="15"/>
  <c r="J55" i="15" s="1"/>
  <c r="J58" i="15" s="1"/>
  <c r="Q50" i="15" s="1"/>
  <c r="I54" i="15"/>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D103" i="9"/>
  <c r="C27" i="67"/>
  <c r="F71" i="67"/>
  <c r="C27" i="15"/>
  <c r="F65" i="15"/>
  <c r="G20" i="9"/>
  <c r="C103" i="9"/>
  <c r="N59" i="67"/>
  <c r="L59" i="67"/>
  <c r="L58" i="67"/>
  <c r="M59" i="67"/>
  <c r="B13" i="70"/>
  <c r="M7" i="67"/>
  <c r="J6" i="67" s="1"/>
  <c r="F50" i="67"/>
  <c r="F68" i="67"/>
  <c r="F64" i="67"/>
  <c r="F68" i="15"/>
  <c r="C36" i="68"/>
  <c r="D9" i="69"/>
  <c r="F27" i="69"/>
  <c r="C36" i="69"/>
  <c r="D9" i="68"/>
  <c r="D3" i="73"/>
  <c r="D4" i="73"/>
  <c r="D5" i="73"/>
  <c r="D7" i="73"/>
  <c r="C16" i="67"/>
  <c r="C16" i="15"/>
  <c r="G16" i="1" l="1"/>
  <c r="F10" i="39" s="1"/>
  <c r="J7" i="37"/>
  <c r="K1" i="73"/>
  <c r="E510" i="3"/>
  <c r="E539" i="3"/>
  <c r="E536" i="3"/>
  <c r="E212" i="3"/>
  <c r="E199" i="3"/>
  <c r="E286" i="3"/>
  <c r="E575" i="3"/>
  <c r="E499" i="3"/>
  <c r="R6" i="3"/>
  <c r="E502" i="3"/>
  <c r="E442" i="3"/>
  <c r="E466" i="3"/>
  <c r="E541" i="3"/>
  <c r="E430" i="3"/>
  <c r="E449" i="3"/>
  <c r="E255" i="3"/>
  <c r="I3" i="6"/>
  <c r="AP6" i="3"/>
  <c r="E554" i="3"/>
  <c r="E517" i="3"/>
  <c r="E435" i="3"/>
  <c r="E491" i="3"/>
  <c r="E417" i="3"/>
  <c r="E479" i="3"/>
  <c r="E56" i="3"/>
  <c r="E37" i="3"/>
  <c r="E95" i="3"/>
  <c r="E152" i="3"/>
  <c r="E192" i="3"/>
  <c r="E258" i="3"/>
  <c r="E241" i="3"/>
  <c r="E292" i="3"/>
  <c r="E363" i="3"/>
  <c r="E349" i="3"/>
  <c r="E389" i="3"/>
  <c r="E544" i="3"/>
  <c r="E76" i="3"/>
  <c r="E59" i="3"/>
  <c r="E409" i="3"/>
  <c r="E484" i="3"/>
  <c r="E425" i="3"/>
  <c r="E467" i="3"/>
  <c r="E64" i="3"/>
  <c r="E46" i="3"/>
  <c r="E103" i="3"/>
  <c r="E160" i="3"/>
  <c r="E267" i="3"/>
  <c r="E249" i="3"/>
  <c r="E300" i="3"/>
  <c r="E371" i="3"/>
  <c r="E310" i="3"/>
  <c r="E492" i="3"/>
  <c r="E23" i="3"/>
  <c r="E84" i="3"/>
  <c r="E67" i="3"/>
  <c r="E33" i="3"/>
  <c r="E144" i="3"/>
  <c r="E184" i="3"/>
  <c r="E233" i="3"/>
  <c r="E355" i="3"/>
  <c r="E381" i="3"/>
  <c r="E68" i="3"/>
  <c r="E63" i="3"/>
  <c r="E81" i="3"/>
  <c r="E264" i="3"/>
  <c r="E283" i="3"/>
  <c r="E309" i="3"/>
  <c r="E513" i="3"/>
  <c r="E21" i="3"/>
  <c r="E494" i="3"/>
  <c r="E198" i="3"/>
  <c r="E281" i="3"/>
  <c r="E332" i="3"/>
  <c r="E391" i="3"/>
  <c r="AL6" i="3"/>
  <c r="E42" i="3"/>
  <c r="E75" i="3"/>
  <c r="E482" i="3"/>
  <c r="E18" i="3"/>
  <c r="E96" i="3"/>
  <c r="E129" i="3"/>
  <c r="E174" i="3"/>
  <c r="E235" i="3"/>
  <c r="E383" i="3"/>
  <c r="E522" i="3"/>
  <c r="E86" i="3"/>
  <c r="E34" i="3"/>
  <c r="E206" i="3"/>
  <c r="E251" i="3"/>
  <c r="AF6" i="3"/>
  <c r="E102" i="3"/>
  <c r="E113" i="3"/>
  <c r="E287" i="3"/>
  <c r="E308" i="3"/>
  <c r="E22" i="3"/>
  <c r="E205" i="3"/>
  <c r="E140" i="3"/>
  <c r="E197" i="3"/>
  <c r="E173" i="3"/>
  <c r="E525" i="3"/>
  <c r="E534" i="3"/>
  <c r="T6" i="3"/>
  <c r="E405" i="3"/>
  <c r="E456" i="3"/>
  <c r="E469" i="3"/>
  <c r="E512" i="3"/>
  <c r="E408" i="3"/>
  <c r="E451" i="3"/>
  <c r="E360" i="3"/>
  <c r="E556" i="3"/>
  <c r="E497" i="3"/>
  <c r="E13" i="3"/>
  <c r="E452" i="3"/>
  <c r="E470" i="3"/>
  <c r="E420" i="3"/>
  <c r="E26" i="3"/>
  <c r="E104" i="3"/>
  <c r="E41" i="3"/>
  <c r="E115" i="3"/>
  <c r="E225" i="3"/>
  <c r="E243" i="3"/>
  <c r="E356" i="3"/>
  <c r="E428" i="3"/>
  <c r="E412" i="3"/>
  <c r="E78" i="3"/>
  <c r="E190" i="3"/>
  <c r="E220" i="3"/>
  <c r="E324" i="3"/>
  <c r="E342" i="3"/>
  <c r="E35" i="3"/>
  <c r="E49" i="3"/>
  <c r="E232" i="3"/>
  <c r="E370"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C19" i="71"/>
  <c r="T20" i="71"/>
  <c r="D20" i="71"/>
  <c r="U20" i="71" s="1"/>
  <c r="AZ5" i="3"/>
  <c r="AY6" i="3" s="1"/>
  <c r="E240" i="3"/>
  <c r="E487" i="3"/>
  <c r="E219" i="3"/>
  <c r="W40" i="40"/>
  <c r="AC40" i="40"/>
  <c r="AC12" i="21"/>
  <c r="W12" i="21"/>
  <c r="AB12" i="21"/>
  <c r="U12" i="21"/>
  <c r="AA27" i="34"/>
  <c r="S27" i="34"/>
  <c r="AC26" i="37"/>
  <c r="W26" i="37"/>
  <c r="BL5" i="3"/>
  <c r="B15" i="71"/>
  <c r="B14" i="71" s="1"/>
  <c r="B13" i="71" s="1"/>
  <c r="B12" i="71" s="1"/>
  <c r="S16" i="71"/>
  <c r="F7" i="36"/>
  <c r="AA7" i="36" s="1"/>
  <c r="R36" i="36" s="1"/>
  <c r="H7" i="36"/>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AC6" i="3"/>
  <c r="H6" i="3"/>
  <c r="E58" i="40"/>
  <c r="E62" i="39"/>
  <c r="E3" i="6"/>
  <c r="M14" i="1"/>
  <c r="D5" i="43"/>
  <c r="J10" i="40"/>
  <c r="AC10" i="40" s="1"/>
  <c r="H10" i="39"/>
  <c r="U10" i="39" s="1"/>
  <c r="F10" i="40"/>
  <c r="S10" i="40" s="1"/>
  <c r="J10" i="39"/>
  <c r="W10" i="39" s="1"/>
  <c r="H10" i="40"/>
  <c r="AB10" i="40" s="1"/>
  <c r="D26" i="43"/>
  <c r="C25" i="43" s="1"/>
  <c r="C7" i="43"/>
  <c r="C5" i="43" s="1"/>
  <c r="D10" i="52"/>
  <c r="D125" i="9"/>
  <c r="D11" i="52" s="1"/>
  <c r="B7" i="74"/>
  <c r="C7" i="74" s="1"/>
  <c r="F67" i="39"/>
  <c r="F59" i="67"/>
  <c r="H7" i="37"/>
  <c r="AB7" i="37" s="1"/>
  <c r="T42" i="37" s="1"/>
  <c r="G42" i="37" s="1"/>
  <c r="S10" i="39"/>
  <c r="AA10" i="39"/>
  <c r="H7" i="33"/>
  <c r="J7" i="33"/>
  <c r="D65" i="40"/>
  <c r="E63" i="40"/>
  <c r="F48" i="35"/>
  <c r="S7" i="36"/>
  <c r="AC7" i="37"/>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C32" i="9"/>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6" i="1"/>
  <c r="AE9" i="1"/>
  <c r="F27" i="68"/>
  <c r="AE7" i="1"/>
  <c r="AE8" i="1"/>
  <c r="AE12" i="1"/>
  <c r="AE10" i="1"/>
  <c r="F41" i="67"/>
  <c r="G1" i="73"/>
  <c r="B40" i="1" l="1"/>
  <c r="L36" i="43" s="1"/>
  <c r="L37" i="43" s="1"/>
  <c r="V42" i="37"/>
  <c r="I42"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D116"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25" i="12"/>
  <c r="C35" i="9"/>
  <c r="F41" i="15"/>
  <c r="M27" i="15"/>
  <c r="M27" i="67"/>
  <c r="F22" i="68" l="1"/>
  <c r="F41" i="68" s="1"/>
  <c r="F22" i="11"/>
  <c r="C23" i="11" s="1"/>
  <c r="F24" i="67"/>
  <c r="C24" i="67" s="1"/>
  <c r="F24" i="15"/>
  <c r="C24" i="15" s="1"/>
  <c r="F22" i="69"/>
  <c r="F41" i="69" s="1"/>
  <c r="E49" i="34"/>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44" i="68"/>
  <c r="D41" i="68" s="1"/>
  <c r="C26" i="12"/>
  <c r="D25" i="12" s="1"/>
  <c r="C34" i="9"/>
  <c r="C66" i="67"/>
  <c r="C60" i="67"/>
  <c r="D10" i="69"/>
  <c r="C34" i="69"/>
  <c r="D10" i="68"/>
  <c r="C17" i="67"/>
  <c r="C14" i="67"/>
  <c r="C17" i="15"/>
  <c r="C44" i="11" l="1"/>
  <c r="D41" i="11" s="1"/>
  <c r="C23" i="68"/>
  <c r="C26" i="11"/>
  <c r="D22" i="11" s="1"/>
  <c r="C26" i="68"/>
  <c r="D22" i="68" s="1"/>
  <c r="C25" i="11"/>
  <c r="C24" i="11"/>
  <c r="C44" i="69"/>
  <c r="D41" i="69" s="1"/>
  <c r="C26" i="69"/>
  <c r="D22" i="69" s="1"/>
  <c r="C16" i="71"/>
  <c r="D17" i="71"/>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C21" i="9"/>
  <c r="D21" i="9"/>
  <c r="G21" i="9"/>
  <c r="R25" i="6"/>
  <c r="R12" i="1" s="1"/>
  <c r="C10" i="68"/>
  <c r="D19" i="68"/>
  <c r="B2" i="43"/>
  <c r="B3" i="43"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B6" i="76"/>
  <c r="E6" i="76"/>
  <c r="C14" i="15"/>
  <c r="C22" i="11" l="1"/>
  <c r="C31" i="11" s="1"/>
  <c r="C15" i="71"/>
  <c r="T16" i="71"/>
  <c r="D16" i="71"/>
  <c r="U16"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4" i="71" l="1"/>
  <c r="D15"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D14" i="71" l="1"/>
  <c r="C13"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E48" i="21"/>
  <c r="G52" i="21"/>
  <c r="H52" i="21" s="1"/>
  <c r="G53" i="21"/>
  <c r="H53" i="21" s="1"/>
  <c r="F7" i="35"/>
  <c r="F35" i="67"/>
  <c r="M21" i="15"/>
  <c r="F35" i="15"/>
  <c r="M21" i="67"/>
  <c r="AC7" i="35" l="1"/>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1" i="71" l="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10" i="71" l="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D10" i="71" l="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4"/>
  <c r="D2" i="37"/>
  <c r="D2" i="36"/>
  <c r="L51" i="15"/>
  <c r="D2" i="35"/>
  <c r="C8" i="71" l="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10" i="1"/>
  <c r="AO9" i="1"/>
  <c r="AO6" i="1"/>
  <c r="AO8" i="1"/>
  <c r="AO7" i="1"/>
  <c r="AO11" i="1"/>
  <c r="AO12" i="1"/>
  <c r="C7" i="71" l="1"/>
  <c r="D8"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7" i="71" l="1"/>
  <c r="C6"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6" i="71" l="1"/>
  <c r="C5" i="71"/>
  <c r="D5" i="71" s="1"/>
  <c r="M24" i="43"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4" i="74" l="1"/>
  <c r="B5" i="74"/>
  <c r="D5" i="74" s="1"/>
  <c r="B6" i="74" l="1"/>
  <c r="D6" i="74" s="1"/>
  <c r="B20" i="72"/>
  <c r="I4" i="52"/>
  <c r="C105" i="9"/>
  <c r="B32" i="72"/>
  <c r="M48" i="9"/>
  <c r="D5" i="53"/>
  <c r="D6" i="53"/>
  <c r="B22" i="72"/>
  <c r="C73" i="9"/>
  <c r="C81" i="9"/>
  <c r="E4" i="52"/>
  <c r="B48" i="72"/>
  <c r="D14" i="53"/>
  <c r="D13" i="53"/>
  <c r="B30" i="72"/>
  <c r="H4" i="52"/>
  <c r="C104" i="9"/>
  <c r="D53" i="9"/>
  <c r="D52" i="9"/>
  <c r="C78" i="9"/>
  <c r="D56" i="9"/>
  <c r="M54" i="9"/>
  <c r="C68" i="9"/>
  <c r="D54" i="9"/>
  <c r="N58" i="9"/>
  <c r="P57" i="9"/>
  <c r="N60" i="9"/>
  <c r="N59" i="9"/>
  <c r="N61" i="9"/>
  <c r="C5" i="74"/>
  <c r="D5" i="52"/>
  <c r="B49" i="72"/>
  <c r="G4" i="52"/>
  <c r="B52" i="72"/>
  <c r="D119" i="9"/>
  <c r="D8" i="52"/>
  <c r="C96" i="9"/>
  <c r="E96" i="9"/>
  <c r="E97" i="9"/>
  <c r="H119" i="9"/>
  <c r="H5" i="52"/>
  <c r="F4" i="52"/>
  <c r="B51" i="72"/>
  <c r="D55" i="9"/>
  <c r="M53" i="9"/>
  <c r="N57" i="9"/>
  <c r="C80" i="9"/>
  <c r="E80" i="9"/>
  <c r="E81" i="9"/>
  <c r="C6" i="74"/>
  <c r="E118" i="9"/>
  <c r="D118" i="9"/>
  <c r="D4" i="52"/>
  <c r="B47" i="72"/>
  <c r="C72" i="9"/>
  <c r="C79" i="9"/>
  <c r="D122" i="9"/>
  <c r="D123" i="9"/>
  <c r="D9" i="52"/>
  <c r="H107" i="9"/>
  <c r="H108" i="9"/>
  <c r="D15" i="53"/>
  <c r="B31" i="72"/>
  <c r="H102" i="9"/>
  <c r="D7" i="53"/>
  <c r="B21" i="72"/>
  <c r="G118" i="9"/>
  <c r="F118" i="9"/>
  <c r="F119" i="9"/>
  <c r="F5" i="52"/>
  <c r="B53" i="72"/>
  <c r="C64" i="9"/>
  <c r="C63" i="9"/>
  <c r="C67" i="9"/>
  <c r="D59" i="9"/>
  <c r="M55" i="9"/>
  <c r="C93" i="9"/>
  <c r="C86" i="9"/>
  <c r="I118" i="9"/>
  <c r="H118" i="9"/>
  <c r="H101" i="9"/>
  <c r="D45" i="9"/>
  <c r="C85" i="9"/>
  <c r="C95" i="9"/>
  <c r="C97" i="9"/>
  <c r="D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0.2%-1%</t>
        </r>
        <r>
          <rPr>
            <sz val="9"/>
            <color indexed="81"/>
            <rFont val="宋体"/>
            <family val="3"/>
            <charset val="134"/>
          </rPr>
          <t xml:space="preserve">
</t>
        </r>
      </text>
    </comment>
    <comment ref="AL5" author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<sst xmlns="http://schemas.openxmlformats.org/spreadsheetml/2006/main" count="7857" uniqueCount="3423">
  <si>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</si>
  <si>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</si>
  <si>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</si>
  <si>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</si>
  <si>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</si>
  <si>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</si>
  <si>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</si>
  <si>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</si>
  <si>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</si>
  <si>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</si>
  <si>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</si>
  <si>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</si>
  <si>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</si>
  <si>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</si>
  <si>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</si>
  <si>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</si>
  <si>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</si>
  <si>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</si>
  <si>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</si>
  <si>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</si>
  <si>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</si>
  <si>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</si>
  <si>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</si>
  <si>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</si>
  <si>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</si>
  <si>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</si>
  <si>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</si>
  <si>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</si>
  <si>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</si>
  <si>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</si>
  <si>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</si>
  <si>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</si>
  <si>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</si>
  <si>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</si>
  <si>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</si>
  <si>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</si>
  <si>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</si>
  <si>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</si>
  <si>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</si>
  <si>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</si>
  <si>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</si>
  <si>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</si>
  <si>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</si>
  <si>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</si>
  <si>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</si>
  <si>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</si>
  <si>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</si>
  <si>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</si>
  <si>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</si>
  <si>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</si>
  <si>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</si>
  <si>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</si>
  <si>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</si>
  <si>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</si>
  <si>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</si>
  <si>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</si>
  <si>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</si>
  <si>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</si>
  <si>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</si>
  <si>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</si>
  <si>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</si>
  <si>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</si>
  <si>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</si>
  <si>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</si>
  <si>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</si>
  <si>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</si>
  <si>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</si>
  <si>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</si>
  <si>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</si>
  <si>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</si>
  <si>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</si>
  <si>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</si>
  <si>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</si>
  <si>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</si>
  <si>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</si>
  <si>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</si>
  <si>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</si>
  <si>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</si>
  <si>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</si>
  <si>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</si>
  <si>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</si>
  <si>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</si>
  <si>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</si>
  <si>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</si>
  <si>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</si>
  <si>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</si>
  <si>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</si>
  <si>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</si>
  <si>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</si>
  <si>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</si>
  <si>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</si>
  <si>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</si>
  <si>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</si>
  <si>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</si>
  <si>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</si>
  <si>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</si>
  <si>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</si>
  <si>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</si>
  <si>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</si>
  <si>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</si>
  <si>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</si>
  <si>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</si>
  <si>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</si>
  <si>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</si>
  <si>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</si>
  <si>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</si>
  <si>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</si>
  <si>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</si>
  <si>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</si>
  <si>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</si>
  <si>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</si>
  <si>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</si>
  <si>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</si>
  <si>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</si>
  <si>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</si>
  <si>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</si>
  <si>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</si>
  <si>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</si>
  <si>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</si>
  <si>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</si>
  <si>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</si>
  <si>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</si>
  <si>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</si>
  <si>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</si>
  <si>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</si>
  <si>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</si>
  <si>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</si>
  <si>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</si>
  <si>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</si>
  <si>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</si>
  <si>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</si>
  <si>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</si>
  <si>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</si>
  <si>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</si>
  <si>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</si>
  <si>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</si>
  <si>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</si>
  <si>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</si>
  <si>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</si>
  <si>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</si>
  <si>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</si>
  <si>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</si>
  <si>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</si>
  <si>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</si>
  <si>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</si>
  <si>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</si>
  <si>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</si>
  <si>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</si>
  <si>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</si>
  <si>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</si>
  <si>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</si>
  <si>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</si>
  <si>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</si>
  <si>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</si>
  <si>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</si>
  <si>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</si>
  <si>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</si>
  <si>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</si>
  <si>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</si>
  <si>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</si>
  <si>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</si>
  <si>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</si>
  <si>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</si>
  <si>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</si>
  <si>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</si>
  <si>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</si>
  <si>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</si>
  <si>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</si>
  <si>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</si>
  <si>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</si>
  <si>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</si>
  <si>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</si>
  <si>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</si>
  <si>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</si>
  <si>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</si>
  <si>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</si>
  <si>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</si>
  <si>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</si>
  <si>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</si>
  <si>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</si>
  <si>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</si>
  <si>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</si>
  <si>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</si>
  <si>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</si>
  <si>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</si>
  <si>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</si>
  <si>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</si>
  <si>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</si>
  <si>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</si>
  <si>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</si>
  <si>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</si>
  <si>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</si>
  <si>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</si>
  <si>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</si>
  <si>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</si>
  <si>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</si>
  <si>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</si>
  <si>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</si>
  <si>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</si>
  <si>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</si>
  <si>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</si>
  <si>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</si>
  <si>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</si>
  <si>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</si>
  <si>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</si>
  <si>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</si>
  <si>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</si>
  <si>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</si>
  <si>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</si>
  <si>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</si>
  <si>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</si>
  <si>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</si>
  <si>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</si>
  <si>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</si>
  <si>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</si>
  <si>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</si>
  <si>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</si>
  <si>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</si>
  <si>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</si>
  <si>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</si>
  <si>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</si>
  <si>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</si>
  <si>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</si>
  <si>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</si>
  <si>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</si>
  <si>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</si>
  <si>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</si>
  <si>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</si>
  <si>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</si>
  <si>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</si>
  <si>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</si>
  <si>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</si>
  <si>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</si>
  <si>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</si>
  <si>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</si>
  <si>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</si>
  <si>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</si>
  <si>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</si>
  <si>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</si>
  <si>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</si>
  <si>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</si>
  <si>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</si>
  <si>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</si>
  <si>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</si>
  <si>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</si>
  <si>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</si>
  <si>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</si>
  <si>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</si>
  <si>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</si>
  <si>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</si>
  <si>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</si>
  <si>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</si>
  <si>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</si>
  <si>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</si>
  <si>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</si>
  <si>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</si>
  <si>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</si>
  <si>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</si>
  <si>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</si>
  <si>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</si>
  <si>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</si>
  <si>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</si>
  <si>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</si>
  <si>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</si>
  <si>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</si>
  <si>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</si>
  <si>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</si>
  <si>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</si>
  <si>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</si>
  <si>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</si>
  <si>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</si>
  <si>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</si>
  <si>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</si>
  <si>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</si>
  <si>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</si>
  <si>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</si>
  <si>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</si>
  <si>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</si>
  <si>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</si>
  <si>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</si>
  <si>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</si>
  <si>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</si>
  <si>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</si>
  <si>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</si>
  <si>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</si>
  <si>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</si>
  <si>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</si>
  <si>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</si>
  <si>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</si>
  <si>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</si>
  <si>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</si>
  <si>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</si>
  <si>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</si>
  <si>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</si>
  <si>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</si>
  <si>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</si>
  <si>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</si>
  <si>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</si>
  <si>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</si>
  <si>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</si>
  <si>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</si>
  <si>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</si>
  <si>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</si>
  <si>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</si>
  <si>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</si>
  <si>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</si>
  <si>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</si>
  <si>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</si>
  <si>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</si>
  <si>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</si>
  <si>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</si>
  <si>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</si>
  <si>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</si>
  <si>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</si>
  <si>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</si>
  <si>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</si>
  <si>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</si>
  <si>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</si>
  <si>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</si>
  <si>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</si>
  <si>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</si>
  <si>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</si>
  <si>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</si>
  <si>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</si>
  <si>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</si>
  <si>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</si>
  <si>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</si>
  <si>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</si>
  <si>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</si>
  <si>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</si>
  <si>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</si>
  <si>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</si>
  <si>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</si>
  <si>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</si>
  <si>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</si>
  <si>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</si>
  <si>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</si>
  <si>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</si>
  <si>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</si>
  <si>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</si>
  <si>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</si>
  <si>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</si>
  <si>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</si>
  <si>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</si>
  <si>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</si>
  <si>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</si>
  <si>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</si>
  <si>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</si>
  <si>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</si>
  <si>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</si>
  <si>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</si>
  <si>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</si>
  <si>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</si>
  <si>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</si>
  <si>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</si>
  <si>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</si>
  <si>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</si>
  <si>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</si>
  <si>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</si>
  <si>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</si>
  <si>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</si>
  <si>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</si>
  <si>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</si>
  <si>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</si>
  <si>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</si>
  <si>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</si>
  <si>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</si>
  <si>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</si>
  <si>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</si>
  <si>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</si>
  <si>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</si>
  <si>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</si>
  <si>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</si>
  <si>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</si>
  <si>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</si>
  <si>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</si>
  <si>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</si>
  <si>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</si>
  <si>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</si>
  <si>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</si>
  <si>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</si>
  <si>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</si>
  <si>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</si>
  <si>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</si>
  <si>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</si>
  <si>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</si>
  <si>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</si>
  <si>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</si>
  <si>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</si>
  <si>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</si>
  <si>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</si>
  <si>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</si>
  <si>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</si>
  <si>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</si>
  <si>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</si>
  <si>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</si>
  <si>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</si>
  <si>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</si>
  <si>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</si>
  <si>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</si>
  <si>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</si>
  <si>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</si>
  <si>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</si>
  <si>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</si>
  <si>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</si>
  <si>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</si>
  <si>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</si>
  <si>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</si>
  <si>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</si>
  <si>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</si>
  <si>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</si>
  <si>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</si>
  <si>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</si>
  <si>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</si>
  <si>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</si>
  <si>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</si>
  <si>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</si>
  <si>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</si>
  <si>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</si>
  <si>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</si>
  <si>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</si>
  <si>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</si>
  <si>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</si>
  <si>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</si>
  <si>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</si>
  <si>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</si>
  <si>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</si>
  <si>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</si>
  <si>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</si>
  <si>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</si>
  <si>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</si>
  <si>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</si>
  <si>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</si>
  <si>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</si>
  <si>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</si>
  <si>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</si>
  <si>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</si>
  <si>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</si>
  <si>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</si>
  <si>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</si>
  <si>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</si>
  <si>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</si>
  <si>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</si>
  <si>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</si>
  <si>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</si>
  <si>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</si>
  <si>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</si>
  <si>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</si>
  <si>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</si>
  <si>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</si>
  <si>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</si>
  <si>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</si>
  <si>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</si>
  <si>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</si>
  <si>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</si>
  <si>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</si>
  <si>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</si>
  <si>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</si>
  <si>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</si>
  <si>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</si>
  <si>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</si>
  <si>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</si>
  <si>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</si>
  <si>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</si>
  <si>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</si>
  <si>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</si>
  <si>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</si>
  <si>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</si>
  <si>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</si>
  <si>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</si>
  <si>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</si>
  <si>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</si>
  <si>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</si>
  <si>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</si>
  <si>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</si>
  <si>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</si>
  <si>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</si>
  <si>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</si>
  <si>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</si>
  <si>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</si>
  <si>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</si>
  <si>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</si>
  <si>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</si>
  <si>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</si>
  <si>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</si>
  <si>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</si>
  <si>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</si>
  <si>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</si>
  <si>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</si>
  <si>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</si>
  <si>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</si>
  <si>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</si>
  <si>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</si>
  <si>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</si>
  <si>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</si>
  <si>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</si>
  <si>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</si>
  <si>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</si>
  <si>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</si>
  <si>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</si>
  <si>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</si>
  <si>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</si>
  <si>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</si>
  <si>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</si>
  <si>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</si>
  <si>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</si>
  <si>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</si>
  <si>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</si>
  <si>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</si>
  <si>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</si>
  <si>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</si>
  <si>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</si>
  <si>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</si>
  <si>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</si>
  <si>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</si>
  <si>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</si>
  <si>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</si>
  <si>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</si>
  <si>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</si>
  <si>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</si>
  <si>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</si>
  <si>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</si>
  <si>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</si>
  <si>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</si>
  <si>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</si>
  <si>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</si>
  <si>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</si>
  <si>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</si>
  <si>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</si>
  <si>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</si>
  <si>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</si>
  <si>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</si>
  <si>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</si>
  <si>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</si>
  <si>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</si>
  <si>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</si>
  <si>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</si>
  <si>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</si>
  <si>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</si>
  <si>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</si>
  <si>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</si>
  <si>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</si>
  <si>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</si>
  <si>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</si>
  <si>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</si>
  <si>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</si>
  <si>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</si>
  <si>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</si>
  <si>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</si>
  <si>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</si>
  <si>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</si>
  <si>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</si>
  <si>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</si>
  <si>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</si>
  <si>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</si>
  <si>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</si>
  <si>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</si>
  <si>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</si>
  <si>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</si>
  <si>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</si>
  <si>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</si>
  <si>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</si>
  <si>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</si>
  <si>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</si>
  <si>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</si>
  <si>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</si>
  <si>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</si>
  <si>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</si>
  <si>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</si>
  <si>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</si>
  <si>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</si>
  <si>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</si>
  <si>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</si>
  <si>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</si>
  <si>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</si>
  <si>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</si>
  <si>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</si>
  <si>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</si>
  <si>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</si>
  <si>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</si>
  <si>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</si>
  <si>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</si>
  <si>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</si>
  <si>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</si>
  <si>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</si>
  <si>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</si>
  <si>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</si>
  <si>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</si>
  <si>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</si>
  <si>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</si>
  <si>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</si>
  <si>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</si>
  <si>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</si>
  <si>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</si>
  <si>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</si>
  <si>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</si>
  <si>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</si>
  <si>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</si>
  <si>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</si>
  <si>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</si>
  <si>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</si>
  <si>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</si>
  <si>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</si>
  <si>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</si>
  <si>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</si>
  <si>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</si>
  <si>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</si>
  <si>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</si>
  <si>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</si>
  <si>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</si>
  <si>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</si>
  <si>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</si>
  <si>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</si>
  <si>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</si>
  <si>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</si>
  <si>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</si>
  <si>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</si>
  <si>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</si>
  <si>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</si>
  <si>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</si>
  <si>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</si>
  <si>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</si>
  <si>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</si>
  <si>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</si>
  <si>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</si>
  <si>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</si>
  <si>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</si>
  <si>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</si>
  <si>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</si>
  <si>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</si>
  <si>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</si>
  <si>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</si>
  <si>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</si>
  <si>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</si>
  <si>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</si>
  <si>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</si>
  <si>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</si>
  <si>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</si>
  <si>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</si>
  <si>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</si>
  <si>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</si>
  <si>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</si>
  <si>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</si>
  <si>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</si>
  <si>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</si>
  <si>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</si>
  <si>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</si>
  <si>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</si>
  <si>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</si>
  <si>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</si>
  <si>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</si>
  <si>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</si>
  <si>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</si>
  <si>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</si>
  <si>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</si>
  <si>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</si>
  <si>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</si>
  <si>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</si>
  <si>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</si>
  <si>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</si>
  <si>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</si>
  <si>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</si>
  <si>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</si>
  <si>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</si>
  <si>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</si>
  <si>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</si>
  <si>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</si>
  <si>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</si>
  <si>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</si>
  <si>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</si>
  <si>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</si>
  <si>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</si>
  <si>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</si>
  <si>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</si>
  <si>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</si>
  <si>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</si>
  <si>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</si>
  <si>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</si>
  <si>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</si>
  <si>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</si>
  <si>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</si>
  <si>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</si>
  <si>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</si>
  <si>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</si>
  <si>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</si>
  <si>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</si>
  <si>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</si>
  <si>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</si>
  <si>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</si>
  <si>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</si>
  <si>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</si>
  <si>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</si>
  <si>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</si>
  <si>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</si>
  <si>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</si>
  <si>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</si>
  <si>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</si>
  <si>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</si>
  <si>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</si>
  <si>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</si>
  <si>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</si>
  <si>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</si>
  <si>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</si>
  <si>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</si>
  <si>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</si>
  <si>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</si>
  <si>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</si>
  <si>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</si>
  <si>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</si>
  <si>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</si>
  <si>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</si>
  <si>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</si>
  <si>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</si>
  <si>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</si>
  <si>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</si>
  <si>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</si>
  <si>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</si>
  <si>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</si>
  <si>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</si>
  <si>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</si>
  <si>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</si>
  <si>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</si>
  <si>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</si>
  <si>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</si>
  <si>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</si>
  <si>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</si>
  <si>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</si>
  <si>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</si>
  <si>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</si>
  <si>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</si>
  <si>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</si>
  <si>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</si>
  <si>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</si>
  <si>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</si>
  <si>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</si>
  <si>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</si>
  <si>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</si>
  <si>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</si>
  <si>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</si>
  <si>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</si>
  <si>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</si>
  <si>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</si>
  <si>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</si>
  <si>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</si>
  <si>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</si>
  <si>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</si>
  <si>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</si>
  <si>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</si>
  <si>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</si>
  <si>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</si>
  <si>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</si>
  <si>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</si>
  <si>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</si>
  <si>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</si>
  <si>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</si>
  <si>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</si>
  <si>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</si>
  <si>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</si>
  <si>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</si>
  <si>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</si>
  <si>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</si>
  <si>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</si>
  <si>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</si>
  <si>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</si>
  <si>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</si>
  <si>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</si>
  <si>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</si>
  <si>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</si>
  <si>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</si>
  <si>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</si>
  <si>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</si>
  <si>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</si>
  <si>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</si>
  <si>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</si>
  <si>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</si>
  <si>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</si>
  <si>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</si>
  <si>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</si>
  <si>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</si>
  <si>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</si>
  <si>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</si>
  <si>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</si>
  <si>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</si>
  <si>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</si>
  <si>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</si>
  <si>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</si>
  <si>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</si>
  <si>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</si>
  <si>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</si>
  <si>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</si>
  <si>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</si>
  <si>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</si>
  <si>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</si>
  <si>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</si>
  <si>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</si>
  <si>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</si>
  <si>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</si>
  <si>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</si>
  <si>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</si>
  <si>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</si>
  <si>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</si>
  <si>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</si>
  <si>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</si>
  <si>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</si>
  <si>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</si>
  <si>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</si>
  <si>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</si>
  <si>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</si>
  <si>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</si>
  <si>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</si>
  <si>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</si>
  <si>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</si>
  <si>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</si>
  <si>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</si>
  <si>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</si>
  <si>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</si>
  <si>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</si>
  <si>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</si>
  <si>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</si>
  <si>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</si>
  <si>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</si>
  <si>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</si>
  <si>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</si>
  <si>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</si>
  <si>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</si>
  <si>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</si>
  <si>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</si>
  <si>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</si>
  <si>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</si>
  <si>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</si>
  <si>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</si>
  <si>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</si>
  <si>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</si>
  <si>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</si>
  <si>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</si>
  <si>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</si>
  <si>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</si>
  <si>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</si>
  <si>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</si>
  <si>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</si>
  <si>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</si>
  <si>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</si>
  <si>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</si>
  <si>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</si>
  <si>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</si>
  <si>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</si>
  <si>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</si>
  <si>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</si>
  <si>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</si>
  <si>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</si>
  <si>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</si>
  <si>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</si>
  <si>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</si>
  <si>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</si>
  <si>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</si>
  <si>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</si>
  <si>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</si>
  <si>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</si>
  <si>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</si>
  <si>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</si>
  <si>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</si>
  <si>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</si>
  <si>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</si>
  <si>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</si>
  <si>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</si>
  <si>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</si>
  <si>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</si>
  <si>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</si>
  <si>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</si>
  <si>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</si>
  <si>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</si>
  <si>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</si>
  <si>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</si>
  <si>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</si>
  <si>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</si>
  <si>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</si>
  <si>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</si>
  <si>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</si>
  <si>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</si>
  <si>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</si>
  <si>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</si>
  <si>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</si>
  <si>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</si>
  <si>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</si>
  <si>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</si>
  <si>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</si>
  <si>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</si>
  <si>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</si>
  <si>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</si>
  <si>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</si>
  <si>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</si>
  <si>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</si>
  <si>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</si>
  <si>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</si>
  <si>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</si>
  <si>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</si>
  <si>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</si>
  <si>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</si>
  <si>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</si>
  <si>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</si>
  <si>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</si>
  <si>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</si>
  <si>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</si>
  <si>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</si>
  <si>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</si>
  <si>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</si>
  <si>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</si>
  <si>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</si>
  <si>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</si>
  <si>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</si>
  <si>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</si>
  <si>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</si>
  <si>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</si>
  <si>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</si>
  <si>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</si>
  <si>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</si>
  <si>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</si>
  <si>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</si>
  <si>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</si>
  <si>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</si>
  <si>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</si>
  <si>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</si>
  <si>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</si>
  <si>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</si>
  <si>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</si>
  <si>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</si>
  <si>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</si>
  <si>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</si>
  <si>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</si>
  <si>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</si>
  <si>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</si>
  <si>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</si>
  <si>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</si>
  <si>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</si>
  <si>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</si>
  <si>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</si>
  <si>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</si>
  <si>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</si>
  <si>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</si>
  <si>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</si>
  <si>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</si>
  <si>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</si>
  <si>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</si>
  <si>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</si>
  <si>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</si>
  <si>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</si>
  <si>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</si>
  <si>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</si>
  <si>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</si>
  <si>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</si>
  <si>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</si>
  <si>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</si>
  <si>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</si>
  <si>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</si>
  <si>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</si>
  <si>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</si>
  <si>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</si>
  <si>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</si>
  <si>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</si>
  <si>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</si>
  <si>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</si>
  <si>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</si>
  <si>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</si>
  <si>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</si>
  <si>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</si>
  <si>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</si>
  <si>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</si>
  <si>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</si>
  <si>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</si>
  <si>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</si>
  <si>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</si>
  <si>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</si>
  <si>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</si>
  <si>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</si>
  <si>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</si>
  <si>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</si>
  <si>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</si>
  <si>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</si>
  <si>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</si>
  <si>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</si>
  <si>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</si>
  <si>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</si>
  <si>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</si>
  <si>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</si>
  <si>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</si>
  <si>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</si>
  <si>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</si>
  <si>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</si>
  <si>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</si>
  <si>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</si>
  <si>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</si>
  <si>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</si>
  <si>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</si>
  <si>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</si>
  <si>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</si>
  <si>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</si>
  <si>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</si>
  <si>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</si>
  <si>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</si>
  <si>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</si>
  <si>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</si>
  <si>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</si>
  <si>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</si>
  <si>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</si>
  <si>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</si>
  <si>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</si>
  <si>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</si>
  <si>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</si>
  <si>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</si>
  <si>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</si>
  <si>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</si>
  <si>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</si>
  <si>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</si>
  <si>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</si>
  <si>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</si>
  <si>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</si>
  <si>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</si>
  <si>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</si>
  <si>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</si>
  <si>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</si>
  <si>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</si>
  <si>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</si>
  <si>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</si>
  <si>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</si>
  <si>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</si>
  <si>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</si>
  <si>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</si>
  <si>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</si>
  <si>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</si>
  <si>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</si>
  <si>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</si>
  <si>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</si>
  <si>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</si>
  <si>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</si>
  <si>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</si>
  <si>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</si>
  <si>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</si>
  <si>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</si>
  <si>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</si>
  <si>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</si>
  <si>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</si>
  <si>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</si>
  <si>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</si>
  <si>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</si>
  <si>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</si>
  <si>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</si>
  <si>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</si>
  <si>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</si>
  <si>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</si>
  <si>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</si>
  <si>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</si>
  <si>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</si>
  <si>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</si>
  <si>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</si>
  <si>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</si>
  <si>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</si>
  <si>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</si>
  <si>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</si>
  <si>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</si>
  <si>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</si>
  <si>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</si>
  <si>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</si>
  <si>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</si>
  <si>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</si>
  <si>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</si>
  <si>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</si>
  <si>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</si>
  <si>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</si>
  <si>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</si>
  <si>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</si>
  <si>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</si>
  <si>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</si>
  <si>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</si>
  <si>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</si>
  <si>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</si>
  <si>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</si>
  <si>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</si>
  <si>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</si>
  <si>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</si>
  <si>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</si>
  <si>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</si>
  <si>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</si>
  <si>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</si>
  <si>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</si>
  <si>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</si>
  <si>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</si>
  <si>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</si>
  <si>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</si>
  <si>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</si>
  <si>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</si>
  <si>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</si>
  <si>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</si>
  <si>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</si>
  <si>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</si>
  <si>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</si>
  <si>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</si>
  <si>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</si>
  <si>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</si>
  <si>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</si>
  <si>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</si>
  <si>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</si>
  <si>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</si>
  <si>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</si>
  <si>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</si>
  <si>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</si>
  <si>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</si>
  <si>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</si>
  <si>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</si>
  <si>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</si>
  <si>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</si>
  <si>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</si>
  <si>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</si>
  <si>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</si>
  <si>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</si>
  <si>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</si>
  <si>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</si>
  <si>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</si>
  <si>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</si>
  <si>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</si>
  <si>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</si>
  <si>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</si>
  <si>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</si>
  <si>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</si>
  <si>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</si>
  <si>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</si>
  <si>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</si>
  <si>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</si>
  <si>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</si>
  <si>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</si>
  <si>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</si>
  <si>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</si>
  <si>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</si>
  <si>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</si>
  <si>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</si>
  <si>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</si>
  <si>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</si>
  <si>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</si>
  <si>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</si>
  <si>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</si>
  <si>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</si>
  <si>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</si>
  <si>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</si>
  <si>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</si>
  <si>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</si>
  <si>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</si>
  <si>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</si>
  <si>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</si>
  <si>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</si>
  <si>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</si>
  <si>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</si>
  <si>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</si>
  <si>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</si>
  <si>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</si>
  <si>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</si>
  <si>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</si>
  <si>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</si>
  <si>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</si>
  <si>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</si>
  <si>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</si>
  <si>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</si>
  <si>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</si>
  <si>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</si>
  <si>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</si>
  <si>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</si>
  <si>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</si>
  <si>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</si>
  <si>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</si>
  <si>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</si>
  <si>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</si>
  <si>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</si>
  <si>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</si>
  <si>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</si>
  <si>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</si>
  <si>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</si>
  <si>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</si>
  <si>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</si>
  <si>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</si>
  <si>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</si>
  <si>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</si>
  <si>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</si>
  <si>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</si>
  <si>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</si>
  <si>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</si>
  <si>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</si>
  <si>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</si>
  <si>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</si>
  <si>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</si>
  <si>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</si>
  <si>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</si>
  <si>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</si>
  <si>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</si>
  <si>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</si>
  <si>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</si>
  <si>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</si>
  <si>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</si>
  <si>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</si>
  <si>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</si>
  <si>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</si>
  <si>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</si>
  <si>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</si>
  <si>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</si>
  <si>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</si>
  <si>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</si>
  <si>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</si>
  <si>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</si>
  <si>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</si>
  <si>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</si>
  <si>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</si>
  <si>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</si>
  <si>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</si>
  <si>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</si>
  <si>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</si>
  <si>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</si>
  <si>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</si>
  <si>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</si>
  <si>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</si>
  <si>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</si>
  <si>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</si>
  <si>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</si>
  <si>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</si>
  <si>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</si>
  <si>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</si>
  <si>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</si>
  <si>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</si>
  <si>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</si>
  <si>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</si>
  <si>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</si>
  <si>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</si>
  <si>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</si>
  <si>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</si>
  <si>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</si>
  <si>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</si>
  <si>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</si>
  <si>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</si>
  <si>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</si>
  <si>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</si>
  <si>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</si>
  <si>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</si>
  <si>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</si>
  <si>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</si>
  <si>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</si>
  <si>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</si>
  <si>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</si>
  <si>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</si>
  <si>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</si>
  <si>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</si>
  <si>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</si>
  <si>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</si>
  <si>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</si>
  <si>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</si>
  <si>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</si>
  <si>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</si>
  <si>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</si>
  <si>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</si>
  <si>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</si>
  <si>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</si>
  <si>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</si>
  <si>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</si>
  <si>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</si>
  <si>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</si>
  <si>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</si>
  <si>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</si>
  <si>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</si>
  <si>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</si>
  <si>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</si>
  <si>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</si>
  <si>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</si>
  <si>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</si>
  <si>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</si>
  <si>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</si>
  <si>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</si>
  <si>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</si>
  <si>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</si>
  <si>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</si>
  <si>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</si>
  <si>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</si>
  <si>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</si>
  <si>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</si>
  <si>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</si>
  <si>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</si>
  <si>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</si>
  <si>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</si>
  <si>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</si>
  <si>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</si>
  <si>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</si>
  <si>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</si>
  <si>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</si>
  <si>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</si>
  <si>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</si>
  <si>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</si>
  <si>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</si>
  <si>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</si>
  <si>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</si>
  <si>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</si>
  <si>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</si>
  <si>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</si>
  <si>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</si>
  <si>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</si>
  <si>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</si>
  <si>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</si>
  <si>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</si>
  <si>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</si>
  <si>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</si>
  <si>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</si>
  <si>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</si>
  <si>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</si>
  <si>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</si>
  <si>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</si>
  <si>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</si>
  <si>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</si>
  <si>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</si>
  <si>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</si>
  <si>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</si>
  <si>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</si>
  <si>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</si>
  <si>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</si>
  <si>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</si>
  <si>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</si>
  <si>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</si>
  <si>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</si>
  <si>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</si>
  <si>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</si>
  <si>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</si>
  <si>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</si>
  <si>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</si>
  <si>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</si>
  <si>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</si>
  <si>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</si>
  <si>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</si>
  <si>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</si>
  <si>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</si>
  <si>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</si>
  <si>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</si>
  <si>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</si>
  <si>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</si>
  <si>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</si>
  <si>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</si>
  <si>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</si>
  <si>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</si>
  <si>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</si>
  <si>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</si>
  <si>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</si>
  <si>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</si>
  <si>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</si>
  <si>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</si>
  <si>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</si>
  <si>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</si>
  <si>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</si>
  <si>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</si>
  <si>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</si>
  <si>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</si>
  <si>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</si>
  <si>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</si>
  <si>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</si>
  <si>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</si>
  <si>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</si>
  <si>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</si>
  <si>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</si>
  <si>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</si>
  <si>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</si>
  <si>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</si>
  <si>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</si>
  <si>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</si>
  <si>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</si>
  <si>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</si>
  <si>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</si>
  <si>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</si>
  <si>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</si>
  <si>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</si>
  <si>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</si>
  <si>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</si>
  <si>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</si>
  <si>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</si>
  <si>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</si>
  <si>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</si>
  <si>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</si>
  <si>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</si>
  <si>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</si>
  <si>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</si>
  <si>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</si>
  <si>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</si>
  <si>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</si>
  <si>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</si>
  <si>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</si>
  <si>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</si>
  <si>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</si>
  <si>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</si>
  <si>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</si>
  <si>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</si>
  <si>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</si>
  <si>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</si>
  <si>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</si>
  <si>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</si>
  <si>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</si>
  <si>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</si>
  <si>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</si>
  <si>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</si>
  <si>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</si>
  <si>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</si>
  <si>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</si>
  <si>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</si>
  <si>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</si>
  <si>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</si>
  <si>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</si>
  <si>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</si>
  <si>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</si>
  <si>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</si>
  <si>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</si>
  <si>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</si>
  <si>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</si>
  <si>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</si>
  <si>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</si>
  <si>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</si>
  <si>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</si>
  <si>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</si>
  <si>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</si>
  <si>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</si>
  <si>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</si>
  <si>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</si>
  <si>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</si>
  <si>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</si>
  <si>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</si>
  <si>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</si>
  <si>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</si>
  <si>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</si>
  <si>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</si>
  <si>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</si>
  <si>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</si>
  <si>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</si>
  <si>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</si>
  <si>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</si>
  <si>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</si>
  <si>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</si>
  <si>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</si>
  <si>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</si>
  <si>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</si>
  <si>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</si>
  <si>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</si>
  <si>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</si>
  <si>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</si>
  <si>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</si>
  <si>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</si>
  <si>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</si>
  <si>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</si>
  <si>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</si>
  <si>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</si>
  <si>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</si>
  <si>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</si>
  <si>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</si>
  <si>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</si>
  <si>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</si>
  <si>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</si>
  <si>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</si>
  <si>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</si>
  <si>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</si>
  <si>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</si>
  <si>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</si>
  <si>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</si>
  <si>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</si>
  <si>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</si>
  <si>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</si>
  <si>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</si>
  <si>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</si>
  <si>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</si>
  <si>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</si>
  <si>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</si>
  <si>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</si>
  <si>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</si>
  <si>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</si>
  <si>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</si>
  <si>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</si>
  <si>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</si>
  <si>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</si>
  <si>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</si>
  <si>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</si>
  <si>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</si>
  <si>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</si>
  <si>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</si>
  <si>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</si>
  <si>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</si>
  <si>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</si>
  <si>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</si>
  <si>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</si>
  <si>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</si>
  <si>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</si>
  <si>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</si>
  <si>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</si>
  <si>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</si>
  <si>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</si>
  <si>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</si>
  <si>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</si>
  <si>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</si>
  <si>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</si>
  <si>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</si>
  <si>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</si>
  <si>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</si>
  <si>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</si>
  <si>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</si>
  <si>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</si>
  <si>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</si>
  <si>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</si>
  <si>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</si>
  <si>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</si>
  <si>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</si>
  <si>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</si>
  <si>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</si>
  <si>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</si>
  <si>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</si>
  <si>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</si>
  <si>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</si>
  <si>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</si>
  <si>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</si>
  <si>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</si>
  <si>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</si>
  <si>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</si>
  <si>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</si>
  <si>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</si>
  <si>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</si>
  <si>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</si>
  <si>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</si>
  <si>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</si>
  <si>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</si>
  <si>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</si>
  <si>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</si>
  <si>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</si>
  <si>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</si>
  <si>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</si>
  <si>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</si>
  <si>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</si>
  <si>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</si>
  <si>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</si>
  <si>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</si>
  <si>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</si>
  <si>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</si>
  <si>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</si>
  <si>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</si>
  <si>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</si>
  <si>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</si>
  <si>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</si>
  <si>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</si>
  <si>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</si>
  <si>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</si>
  <si>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</si>
  <si>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</si>
  <si>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</si>
  <si>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</si>
  <si>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</si>
  <si>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</si>
  <si>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</si>
  <si>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</si>
  <si>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</si>
  <si>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</si>
  <si>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</si>
  <si>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</si>
  <si>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</si>
  <si>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</si>
  <si>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</si>
  <si>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</si>
  <si>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</si>
  <si>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</si>
  <si>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</si>
  <si>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</si>
  <si>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</si>
  <si>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</si>
  <si>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</si>
  <si>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</si>
  <si>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</si>
  <si>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</si>
  <si>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</si>
  <si>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</si>
  <si>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</si>
  <si>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</si>
  <si>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</si>
  <si>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</si>
  <si>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</si>
  <si>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</si>
  <si>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</si>
  <si>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</si>
  <si>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</si>
  <si>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</si>
  <si>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</si>
  <si>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</si>
  <si>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</si>
  <si>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</si>
  <si>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</si>
  <si>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</si>
  <si>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</si>
  <si>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</si>
  <si>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</si>
  <si>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</si>
  <si>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</si>
  <si>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</si>
  <si>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</si>
  <si>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</si>
  <si>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</si>
  <si>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</si>
  <si>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</si>
  <si>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</si>
  <si>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</si>
  <si>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</si>
  <si>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</si>
  <si>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</si>
  <si>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</si>
  <si>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</si>
  <si>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</si>
  <si>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</si>
  <si>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</si>
  <si>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</si>
  <si>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</si>
  <si>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</si>
  <si>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</si>
  <si>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</si>
  <si>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</si>
  <si>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</si>
  <si>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</si>
  <si>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</si>
  <si>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</si>
  <si>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</si>
  <si>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</si>
  <si>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</si>
  <si>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</si>
  <si>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</si>
  <si>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</si>
  <si>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</si>
  <si>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</si>
  <si>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</si>
  <si>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</si>
  <si>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</si>
  <si>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</si>
  <si>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</si>
  <si>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</si>
  <si>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</si>
  <si>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</si>
  <si>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</si>
  <si>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</si>
  <si>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</si>
  <si>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</si>
  <si>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</si>
  <si>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</si>
  <si>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</si>
  <si>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</si>
  <si>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</si>
  <si>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</si>
  <si>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</si>
  <si>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</si>
  <si>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</si>
  <si>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</si>
  <si>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</si>
  <si>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</si>
  <si>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</si>
  <si>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</si>
  <si>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</si>
  <si>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</si>
  <si>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</si>
  <si>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</si>
  <si>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</si>
  <si>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</si>
  <si>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</si>
  <si>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</si>
  <si>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</si>
  <si>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</si>
  <si>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</si>
  <si>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</si>
  <si>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</si>
  <si>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</si>
  <si>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</si>
  <si>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</si>
  <si>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</si>
  <si>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</si>
  <si>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</si>
  <si>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</si>
  <si>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</si>
  <si>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</si>
  <si>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</si>
  <si>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</si>
  <si>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</si>
  <si>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</si>
  <si>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</si>
  <si>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</si>
  <si>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</si>
  <si>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</si>
  <si>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</si>
  <si>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</si>
  <si>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</si>
  <si>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</si>
  <si>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</si>
  <si>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</si>
  <si>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</si>
  <si>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</si>
  <si>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</si>
  <si>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</si>
  <si>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</si>
  <si>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</si>
  <si>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</si>
  <si>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</si>
  <si>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</si>
  <si>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</si>
  <si>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</si>
  <si>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</si>
  <si>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</si>
  <si>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</si>
  <si>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</si>
  <si>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</si>
  <si>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</si>
  <si>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</si>
  <si>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</si>
  <si>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</si>
  <si>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</si>
  <si>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</si>
  <si>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</si>
  <si>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</si>
  <si>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</si>
  <si>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</si>
  <si>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</si>
  <si>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</si>
  <si>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</si>
  <si>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</si>
  <si>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</si>
  <si>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</si>
  <si>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</si>
  <si>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</si>
  <si>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</si>
  <si>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</si>
  <si>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</si>
  <si>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</si>
  <si>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</si>
  <si>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</si>
  <si>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</si>
  <si>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</si>
  <si>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</si>
  <si>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</si>
  <si>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</si>
  <si>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</si>
  <si>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</si>
  <si>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</si>
  <si>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</si>
  <si>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</si>
  <si>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</si>
  <si>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</si>
  <si>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</si>
  <si>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</si>
  <si>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</si>
  <si>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</si>
  <si>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</si>
  <si>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</si>
  <si>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</si>
  <si>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</si>
  <si>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</si>
  <si>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</si>
  <si>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</si>
  <si>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</si>
  <si>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</si>
  <si>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</si>
  <si>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</si>
  <si>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</si>
  <si>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</si>
  <si>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</si>
  <si>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</si>
  <si>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</si>
  <si>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</si>
  <si>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</si>
  <si>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</si>
  <si>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</si>
  <si>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</si>
  <si>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</si>
  <si>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</si>
  <si>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</si>
  <si>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</si>
  <si>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</si>
  <si>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</si>
  <si>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</si>
  <si>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</si>
  <si>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</si>
  <si>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</si>
  <si>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</si>
  <si>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</si>
  <si>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</si>
  <si>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</si>
  <si>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</si>
  <si>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</si>
  <si>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</si>
  <si>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</si>
  <si>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</si>
  <si>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</si>
  <si>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</si>
  <si>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</si>
  <si>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</si>
  <si>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</si>
  <si>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</si>
  <si>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</si>
  <si>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</si>
  <si>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</si>
  <si>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</si>
  <si>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</si>
  <si>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</si>
  <si>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</si>
  <si>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</si>
  <si>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</si>
  <si>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</si>
  <si>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</si>
  <si>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</si>
  <si>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</si>
  <si>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</si>
  <si>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</si>
  <si>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</si>
  <si>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</si>
  <si>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</si>
  <si>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</si>
  <si>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</si>
  <si>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</si>
  <si>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</si>
  <si>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</si>
  <si>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</si>
  <si>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</si>
  <si>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</si>
  <si>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</si>
  <si>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</si>
  <si>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</si>
  <si>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</si>
  <si>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</si>
  <si>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</si>
  <si>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</si>
  <si>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</si>
  <si>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</si>
  <si>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</si>
  <si>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</si>
  <si>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</si>
  <si>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</si>
  <si>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</si>
  <si>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</si>
  <si>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</si>
  <si>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</si>
  <si>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</si>
  <si>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</si>
  <si>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</si>
  <si>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</si>
  <si>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</si>
  <si>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</si>
  <si>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</si>
  <si>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</si>
  <si>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</si>
  <si>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</si>
  <si>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</si>
  <si>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</si>
  <si>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</si>
  <si>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</si>
  <si>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</si>
  <si>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</si>
  <si>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</si>
  <si>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</si>
  <si>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</si>
  <si>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</si>
  <si>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</si>
  <si>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</si>
  <si>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</si>
  <si>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</si>
  <si>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</si>
  <si>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</si>
  <si>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</si>
  <si>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</si>
  <si>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</si>
  <si>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</si>
  <si>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</si>
  <si>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</si>
  <si>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</si>
  <si>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</si>
  <si>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</si>
  <si>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</si>
  <si>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</si>
  <si>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</si>
  <si>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</si>
  <si>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</si>
  <si>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</si>
  <si>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</si>
  <si>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</si>
  <si>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</si>
  <si>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</si>
  <si>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</si>
  <si>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</si>
  <si>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</si>
  <si>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</si>
  <si>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</si>
  <si>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</si>
  <si>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</si>
  <si>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</si>
  <si>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</si>
  <si>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</si>
  <si>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</si>
  <si>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</si>
  <si>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</si>
  <si>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</si>
  <si>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</si>
  <si>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</si>
  <si>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</si>
  <si>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</si>
  <si>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</si>
  <si>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</si>
  <si>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</si>
  <si>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</si>
  <si>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</si>
  <si>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</si>
  <si>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</si>
  <si>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</si>
  <si>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</si>
  <si>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</si>
  <si>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</si>
  <si>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</si>
  <si>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</si>
  <si>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</si>
  <si>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</si>
  <si>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</si>
  <si>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</si>
  <si>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</si>
  <si>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</si>
  <si>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</si>
  <si>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</si>
  <si>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</si>
  <si>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</si>
  <si>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</si>
  <si>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</si>
  <si>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</si>
  <si>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</si>
  <si>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</si>
  <si>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</si>
  <si>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</si>
  <si>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</si>
  <si>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</si>
  <si>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</si>
  <si>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</si>
  <si>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</si>
  <si>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</si>
  <si>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</si>
  <si>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</si>
  <si>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</si>
  <si>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</si>
  <si>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</si>
  <si>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</si>
  <si>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</si>
  <si>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</si>
  <si>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</si>
  <si>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</si>
  <si>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</si>
  <si>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</si>
  <si>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</si>
  <si>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</si>
  <si>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</si>
  <si>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</si>
  <si>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</si>
  <si>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</si>
  <si>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</si>
  <si>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</si>
  <si>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</si>
  <si>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</si>
  <si>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</si>
  <si>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</si>
  <si>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</si>
  <si>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</si>
  <si>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</si>
  <si>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</si>
  <si>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</si>
  <si>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</si>
  <si>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</si>
  <si>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</si>
  <si>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</si>
  <si>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</si>
  <si>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</si>
  <si>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</si>
  <si>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</si>
  <si>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</si>
  <si>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</si>
  <si>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</si>
  <si>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</si>
  <si>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</si>
  <si>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</si>
  <si>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</si>
  <si>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</si>
  <si>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</si>
  <si>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</si>
  <si>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</si>
  <si>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</si>
  <si>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</si>
  <si>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</si>
  <si>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</si>
  <si>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</si>
  <si>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</si>
  <si>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</si>
  <si>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</si>
  <si>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</si>
  <si>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</si>
  <si>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</si>
  <si>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</si>
  <si>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</si>
  <si>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</si>
  <si>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</si>
  <si>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</si>
  <si>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</si>
  <si>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</si>
  <si>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</si>
  <si>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</si>
  <si>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</si>
  <si>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</si>
  <si>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</si>
  <si>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</si>
  <si>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</si>
  <si>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</si>
  <si>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</si>
  <si>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</si>
  <si>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</si>
  <si>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</si>
  <si>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</si>
  <si>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</si>
  <si>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</si>
  <si>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</si>
  <si>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</si>
  <si>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</si>
  <si>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</si>
  <si>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</si>
  <si>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</si>
  <si>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</si>
  <si>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</si>
  <si>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</si>
  <si>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</si>
  <si>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</si>
  <si>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</si>
  <si>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</si>
  <si>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</si>
  <si>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</si>
  <si>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</si>
  <si>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</si>
  <si>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</si>
  <si>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</si>
  <si>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</si>
  <si>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</si>
  <si>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</si>
  <si>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</si>
  <si>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</si>
  <si>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</si>
  <si>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</si>
  <si>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</si>
  <si>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</si>
  <si>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</si>
  <si>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</si>
  <si>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</si>
  <si>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</si>
  <si>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</si>
  <si>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</si>
  <si>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</si>
  <si>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</si>
  <si>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</si>
  <si>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</si>
  <si>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</si>
  <si>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</si>
  <si>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</si>
  <si>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</si>
  <si>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</si>
  <si>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</si>
  <si>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</si>
  <si>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</si>
  <si>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</si>
  <si>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</si>
  <si>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</si>
  <si>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</si>
  <si>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</si>
  <si>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</si>
  <si>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</si>
  <si>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</si>
  <si>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</si>
  <si>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</si>
  <si>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</si>
  <si>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</si>
  <si>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</si>
  <si>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</si>
  <si>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</si>
  <si>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</si>
  <si>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</si>
  <si>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</si>
  <si>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</si>
  <si>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</si>
  <si>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</si>
  <si>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</si>
  <si>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</si>
  <si>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</si>
  <si>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</si>
  <si>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</si>
  <si>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</si>
  <si>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</si>
  <si>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</si>
  <si>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</si>
  <si>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</si>
  <si>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</si>
  <si>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</si>
  <si>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</si>
  <si>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</si>
  <si>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</si>
  <si>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</si>
  <si>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</si>
  <si>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</si>
  <si>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</si>
  <si>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</si>
  <si>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</si>
  <si>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</si>
  <si>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</si>
  <si>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</si>
  <si>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</si>
  <si>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</si>
  <si>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</si>
  <si>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</si>
  <si>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</si>
  <si>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</si>
  <si>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</si>
  <si>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</si>
  <si>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</si>
  <si>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</si>
  <si>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</si>
  <si>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</si>
  <si>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</si>
  <si>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</si>
  <si>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</si>
  <si>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</si>
  <si>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</si>
  <si>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</si>
  <si>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</si>
  <si>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</si>
  <si>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</si>
  <si>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</si>
  <si>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</si>
  <si>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</si>
  <si>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</si>
  <si>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</si>
  <si>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</si>
  <si>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</si>
  <si>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</si>
  <si>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</si>
  <si>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</si>
  <si>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</si>
  <si>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</si>
  <si>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</si>
  <si>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</si>
  <si>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</si>
  <si>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</si>
  <si>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</si>
  <si>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</si>
  <si>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</si>
  <si>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</si>
  <si>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</si>
  <si>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</si>
  <si>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</si>
  <si>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</si>
  <si>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</si>
  <si>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</si>
  <si>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</si>
  <si>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</si>
  <si>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</si>
  <si>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</si>
  <si>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</si>
  <si>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</si>
  <si>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</si>
  <si>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</si>
  <si>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</si>
  <si>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</si>
  <si>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</si>
  <si>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</si>
  <si>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</si>
  <si>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</si>
  <si>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</si>
  <si>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</si>
  <si>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</si>
  <si>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</si>
  <si>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</si>
  <si>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</si>
  <si>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</si>
  <si>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</si>
  <si>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</si>
  <si>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</si>
  <si>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</si>
  <si>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</si>
  <si>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</si>
  <si>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</si>
  <si>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</si>
  <si>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</si>
  <si>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</si>
  <si>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</si>
  <si>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</si>
  <si>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</si>
  <si>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</si>
  <si>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</si>
  <si>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</si>
  <si>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</si>
  <si>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</si>
  <si>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</si>
  <si>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</si>
  <si>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</si>
  <si>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</si>
  <si>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</si>
  <si>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</si>
  <si>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</si>
  <si>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</si>
  <si>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</si>
  <si>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</si>
  <si>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</si>
  <si>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</si>
  <si>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</si>
  <si>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</si>
  <si>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</si>
  <si>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</si>
  <si>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</si>
  <si>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</si>
  <si>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</si>
  <si>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</si>
  <si>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</si>
  <si>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</si>
  <si>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</si>
  <si>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</si>
  <si>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</si>
  <si>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</si>
  <si>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</si>
  <si>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</si>
  <si>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</si>
  <si>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</si>
  <si>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</si>
  <si>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</si>
  <si>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</si>
  <si>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</si>
  <si>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</si>
  <si>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</si>
  <si>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</si>
  <si>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</si>
  <si>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</si>
  <si>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</si>
  <si>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</si>
  <si>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</si>
  <si>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</si>
  <si>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</si>
  <si>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</si>
  <si>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</si>
  <si>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</si>
  <si>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</si>
  <si>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</si>
  <si>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</si>
  <si>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</si>
  <si>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</si>
  <si>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</si>
  <si>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</si>
  <si>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</si>
  <si>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</si>
  <si>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</si>
  <si>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</si>
  <si>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</si>
  <si>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</si>
  <si>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</si>
  <si>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</si>
  <si>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</si>
  <si>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</si>
  <si>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</si>
  <si>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</si>
  <si>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</si>
  <si>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</si>
  <si>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</si>
  <si>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</si>
  <si>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</si>
  <si>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</si>
  <si>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</si>
  <si>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</si>
  <si>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</si>
  <si>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</si>
  <si>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</si>
  <si>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</si>
  <si>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</si>
  <si>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</si>
  <si>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</si>
  <si>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</si>
  <si>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</si>
  <si>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</si>
  <si>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</si>
  <si>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</si>
  <si>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</si>
  <si>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</si>
  <si>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</si>
  <si>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</si>
  <si>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</si>
  <si>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</si>
  <si>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</si>
  <si>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</si>
  <si>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</si>
  <si>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</si>
  <si>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</si>
  <si>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</si>
  <si>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</si>
  <si>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</si>
  <si>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</si>
  <si>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</si>
  <si>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</si>
  <si>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</si>
  <si>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</si>
  <si>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</si>
  <si>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</si>
  <si>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</si>
  <si>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</si>
  <si>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</si>
  <si>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</si>
  <si>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</si>
  <si>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</si>
  <si>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</si>
  <si>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</si>
  <si>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</si>
  <si>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</si>
  <si>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</si>
  <si>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</si>
  <si>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</si>
  <si>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</si>
  <si>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</si>
  <si>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</si>
  <si>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</si>
  <si>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</si>
  <si>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</si>
  <si>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</si>
  <si>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</si>
  <si>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</si>
  <si>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</si>
  <si>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</si>
  <si>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</si>
  <si>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</si>
  <si>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</si>
  <si>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</si>
  <si>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</si>
  <si>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</si>
  <si>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</si>
  <si>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</si>
  <si>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</si>
  <si>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</si>
  <si>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</si>
  <si>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</si>
  <si>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</si>
  <si>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</si>
  <si>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</si>
  <si>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</si>
  <si>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</si>
  <si>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</si>
  <si>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</si>
  <si>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</si>
  <si>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</si>
  <si>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</si>
  <si>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</si>
  <si>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</si>
  <si>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</si>
  <si>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</si>
  <si>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</si>
  <si>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</si>
  <si>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</si>
  <si>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</si>
  <si>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</si>
  <si>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</si>
  <si>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</si>
  <si>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</si>
  <si>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</si>
  <si>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</si>
  <si>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</si>
  <si>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</si>
  <si>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</si>
  <si>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</si>
  <si>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</si>
  <si>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</si>
  <si>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</si>
  <si>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</si>
  <si>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</si>
  <si>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</si>
  <si>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</si>
  <si>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</si>
  <si>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</si>
  <si>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</si>
  <si>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</si>
  <si>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</si>
  <si>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</si>
  <si>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</si>
  <si>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</si>
  <si>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</si>
  <si>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</si>
  <si>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</si>
  <si>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</si>
  <si>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</si>
  <si>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</si>
  <si>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</si>
  <si>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</si>
  <si>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</si>
  <si>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</si>
  <si>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</si>
  <si>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</si>
  <si>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</si>
  <si>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</si>
  <si>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</si>
  <si>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</si>
  <si>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</si>
  <si>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</si>
  <si>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</si>
  <si>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</si>
  <si>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</si>
  <si>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</si>
  <si>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</si>
  <si>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</si>
  <si>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</si>
  <si>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</si>
  <si>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</si>
  <si>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</si>
  <si>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</si>
  <si>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</si>
  <si>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</si>
  <si>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</si>
  <si>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</si>
  <si>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</si>
  <si>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</si>
  <si>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</si>
  <si>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</si>
  <si>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</si>
  <si>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</si>
  <si>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</si>
  <si>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</si>
  <si>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</si>
  <si>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</si>
  <si>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</si>
  <si>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</si>
  <si>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</si>
  <si>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</si>
  <si>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</si>
  <si>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</si>
  <si>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</si>
  <si>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</si>
  <si>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</si>
  <si>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</si>
  <si>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</si>
  <si>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</si>
  <si>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</si>
  <si>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</si>
  <si>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</si>
  <si>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</si>
  <si>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</si>
  <si>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</si>
  <si>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</si>
  <si>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</si>
  <si>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</si>
  <si>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</si>
  <si>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</si>
  <si>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</si>
  <si>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</si>
  <si>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</si>
  <si>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</si>
  <si>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</si>
  <si>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</si>
  <si>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</si>
  <si>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</si>
  <si>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</si>
  <si>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</si>
  <si>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</si>
  <si>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</si>
  <si>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</si>
  <si>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</si>
  <si>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</si>
  <si>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</si>
  <si>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</si>
  <si>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</si>
  <si>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</si>
  <si>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</si>
  <si>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</si>
  <si>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</si>
  <si>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</si>
  <si>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</si>
  <si>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</si>
  <si>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</si>
  <si>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</si>
  <si>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</si>
  <si>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</si>
  <si>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</si>
  <si>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</si>
  <si>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</si>
  <si>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</si>
  <si>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</si>
  <si>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</si>
  <si>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</si>
  <si>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</si>
  <si>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</si>
  <si>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</si>
  <si>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</si>
  <si>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</si>
  <si>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</si>
  <si>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</si>
  <si>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</si>
  <si>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</si>
  <si>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</si>
  <si>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</si>
  <si>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</si>
  <si>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</si>
  <si>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</si>
  <si>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</si>
  <si>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</si>
  <si>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</si>
  <si>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</si>
  <si>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</si>
  <si>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</si>
  <si>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</si>
  <si>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</si>
  <si>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</si>
  <si>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</si>
  <si>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</si>
  <si>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</si>
  <si>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</si>
  <si>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</si>
  <si>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</si>
  <si>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</si>
  <si>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</si>
  <si>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</si>
  <si>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</si>
  <si>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</si>
  <si>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</si>
  <si>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</si>
  <si>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</si>
  <si>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</si>
  <si>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</si>
  <si>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</si>
  <si>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</si>
  <si>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</si>
  <si>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</si>
  <si>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</si>
  <si>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</si>
  <si>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</si>
  <si>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</si>
  <si>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</si>
  <si>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</si>
  <si>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</si>
  <si>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</si>
  <si>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</si>
  <si>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</si>
  <si>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</si>
  <si>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</si>
  <si>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</si>
  <si>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</si>
  <si>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</si>
  <si>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</si>
  <si>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</si>
  <si>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</si>
  <si>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</si>
  <si>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</si>
  <si>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</si>
  <si>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</si>
  <si>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</si>
  <si>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</si>
  <si>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</si>
  <si>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</si>
  <si>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</si>
  <si>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</si>
  <si>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</si>
  <si>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</si>
  <si>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</si>
  <si>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</si>
  <si>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</si>
  <si>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</si>
  <si>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</si>
  <si>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</si>
  <si>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</si>
  <si>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</si>
  <si>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</si>
  <si>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</si>
  <si>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</si>
  <si>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</si>
  <si>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</si>
  <si>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</si>
  <si>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</si>
  <si>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</si>
  <si>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</si>
  <si>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</si>
  <si>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</si>
  <si>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</si>
  <si>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</si>
  <si>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</si>
  <si>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</si>
  <si>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</si>
  <si>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</si>
  <si>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</si>
  <si>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</si>
  <si>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</si>
  <si>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</si>
  <si>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</si>
  <si>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</si>
  <si>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</si>
  <si>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</si>
  <si>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</si>
  <si>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</si>
  <si>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</si>
  <si>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</si>
  <si>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</si>
  <si>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</si>
  <si>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</si>
  <si>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</si>
  <si>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</si>
  <si>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</si>
  <si>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</si>
  <si>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</si>
  <si>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</si>
  <si>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</si>
  <si>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</si>
  <si>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</si>
  <si>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</si>
  <si>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</si>
  <si>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</si>
  <si>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</si>
  <si>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</si>
  <si>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</si>
  <si>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</si>
  <si>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</si>
  <si>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</si>
  <si>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</si>
  <si>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</si>
  <si>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</si>
  <si>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</si>
  <si>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</si>
  <si>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</si>
  <si>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</si>
  <si>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</si>
  <si>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</si>
  <si>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</si>
  <si>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</si>
  <si>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</si>
  <si>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</si>
  <si>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</si>
  <si>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</si>
  <si>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</si>
  <si>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</si>
  <si>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</si>
  <si>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</si>
  <si>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</si>
  <si>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</si>
  <si>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</si>
  <si>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</si>
  <si>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</si>
  <si>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</si>
  <si>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</si>
  <si>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</si>
  <si>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</si>
  <si>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</si>
  <si>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</si>
  <si>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</si>
  <si>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</si>
  <si>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</si>
  <si>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</si>
  <si>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</si>
  <si>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</si>
  <si>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</si>
  <si>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</si>
  <si>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</si>
  <si>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</si>
  <si>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</si>
  <si>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</si>
  <si>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</si>
  <si>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</si>
  <si>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</si>
  <si>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</si>
  <si>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</si>
  <si>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</si>
  <si>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</si>
  <si>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</si>
  <si>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</si>
  <si>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</si>
  <si>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</si>
  <si>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</si>
  <si>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</si>
  <si>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</si>
  <si>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</si>
  <si>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</si>
  <si>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</si>
  <si>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</si>
  <si>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</si>
  <si>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</si>
  <si>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</si>
  <si>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</si>
  <si>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</si>
  <si>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</si>
  <si>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</si>
  <si>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</si>
  <si>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</si>
  <si>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</si>
  <si>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</si>
  <si>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</si>
  <si>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</si>
  <si>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</si>
  <si>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</si>
  <si>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</si>
  <si>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</si>
  <si>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</si>
  <si>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</si>
  <si>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</si>
  <si>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</si>
  <si>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</si>
  <si>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</si>
  <si>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</si>
  <si>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</si>
  <si>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</si>
  <si>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</si>
  <si>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</si>
  <si>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</si>
  <si>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</si>
  <si>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</si>
  <si>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</si>
  <si>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</si>
  <si>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</si>
  <si>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</si>
  <si>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</si>
  <si>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</si>
  <si>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</si>
  <si>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</si>
  <si>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</si>
  <si>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</si>
  <si>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</si>
  <si>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</si>
  <si>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</si>
  <si>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</si>
  <si>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</si>
  <si>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</si>
  <si>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</si>
  <si>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</si>
  <si>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</si>
  <si>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</si>
  <si>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</si>
  <si>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</si>
  <si>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</si>
  <si>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</si>
  <si>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</si>
  <si>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</si>
  <si>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</si>
  <si>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</si>
  <si>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</si>
  <si>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</si>
  <si>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</si>
  <si>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</si>
  <si>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</si>
  <si>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</si>
  <si>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</si>
  <si>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</si>
  <si>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</si>
  <si>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</si>
  <si>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</si>
  <si>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</si>
  <si>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</si>
  <si>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</si>
  <si>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</si>
  <si>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</si>
  <si>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</si>
  <si>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</si>
  <si>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</si>
  <si>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</si>
  <si>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</si>
  <si>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</si>
  <si>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</si>
  <si>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</si>
  <si>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</si>
  <si>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</si>
  <si>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</si>
  <si>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</si>
  <si>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</si>
  <si>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</si>
  <si>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</si>
  <si>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</si>
  <si>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</si>
  <si>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</si>
  <si>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</si>
  <si>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</si>
  <si>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</si>
  <si>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</si>
  <si>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</si>
  <si>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</si>
  <si>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</si>
  <si>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</si>
  <si>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</si>
  <si>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</si>
  <si>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</si>
  <si>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</si>
  <si>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</si>
  <si>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</si>
  <si>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</si>
  <si>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</si>
  <si>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</si>
  <si>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</si>
  <si>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</si>
  <si>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</si>
  <si>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</si>
  <si>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</si>
  <si>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</si>
  <si>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</si>
  <si>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</si>
  <si>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</si>
  <si>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</si>
  <si>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</si>
  <si>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</si>
  <si>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</si>
  <si>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</si>
  <si>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</si>
  <si>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</si>
  <si>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</si>
  <si>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</si>
  <si>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</si>
  <si>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</si>
  <si>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</si>
  <si>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</si>
  <si>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</si>
  <si>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</si>
  <si>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</si>
  <si>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</si>
  <si>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</si>
  <si>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</si>
  <si>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</si>
  <si>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</si>
  <si>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</si>
  <si>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</si>
  <si>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</si>
  <si>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</si>
  <si>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</si>
  <si>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</si>
  <si>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</si>
  <si>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</si>
  <si>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</si>
  <si>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</si>
  <si>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</si>
  <si>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</si>
  <si>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</si>
  <si>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</si>
  <si>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</si>
  <si>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</si>
  <si>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</si>
  <si>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</si>
  <si>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</si>
  <si>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</si>
  <si>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</si>
  <si>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</si>
  <si>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</si>
  <si>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</si>
  <si>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</si>
  <si>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</si>
  <si>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</si>
  <si>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</si>
  <si>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</si>
  <si>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</si>
  <si>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</si>
  <si>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</si>
  <si>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</si>
  <si>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</si>
  <si>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</si>
  <si>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</si>
  <si>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</si>
  <si>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</si>
  <si>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</si>
  <si>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</si>
  <si>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</si>
  <si>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</si>
  <si>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</si>
  <si>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</si>
  <si>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</si>
  <si>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</si>
  <si>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</si>
  <si>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</si>
  <si>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</si>
  <si>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</si>
  <si>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</si>
  <si>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</si>
  <si>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</si>
  <si>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</si>
  <si>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</si>
  <si>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</si>
  <si>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</si>
  <si>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</si>
  <si>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</si>
  <si>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</si>
  <si>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</si>
  <si>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</si>
  <si>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</si>
  <si>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</si>
  <si>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</si>
  <si>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</si>
  <si>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</si>
  <si>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</si>
  <si>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</si>
  <si>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</si>
  <si>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</si>
  <si>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</si>
  <si>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</si>
  <si>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</si>
  <si>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</si>
  <si>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</si>
  <si>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</si>
  <si>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</si>
  <si>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</si>
  <si>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</si>
  <si>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</si>
  <si>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</si>
  <si>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</si>
  <si>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</si>
  <si>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</si>
  <si>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</si>
  <si>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</si>
  <si>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</si>
  <si>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</si>
  <si>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</si>
  <si>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</si>
  <si>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</si>
  <si>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</si>
  <si>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</si>
  <si>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</si>
  <si>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</si>
  <si>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</si>
  <si>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</si>
  <si>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</si>
  <si>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</si>
  <si>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</si>
  <si>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</si>
  <si>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</si>
  <si>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</si>
  <si>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</si>
  <si>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</si>
  <si>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</si>
  <si>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</si>
  <si>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</si>
  <si>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</si>
  <si>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</si>
  <si>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</si>
  <si>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</si>
  <si>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</si>
  <si>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</si>
  <si>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</si>
  <si>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</si>
  <si>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</si>
  <si>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</si>
  <si>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</si>
  <si>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</si>
  <si>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</si>
  <si>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</si>
  <si>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</si>
  <si>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</si>
  <si>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</si>
  <si>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</si>
  <si>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</si>
  <si>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</si>
  <si>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</si>
  <si>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</si>
  <si>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</si>
  <si>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</si>
  <si>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</si>
  <si>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</si>
  <si>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</si>
  <si>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</si>
  <si>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</si>
  <si>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</si>
  <si>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</si>
  <si>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</si>
  <si>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</si>
  <si>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</si>
  <si>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</si>
  <si>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</si>
  <si>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</si>
  <si>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</si>
  <si>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</si>
  <si>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</si>
  <si>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</si>
  <si>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</si>
  <si>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</si>
  <si>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</si>
  <si>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</si>
  <si>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</si>
  <si>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</si>
  <si>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</si>
  <si>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</si>
  <si>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</si>
  <si>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</si>
  <si>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</si>
  <si>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</si>
  <si>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</si>
  <si>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</si>
  <si>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</si>
  <si>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</si>
  <si>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</si>
  <si>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</si>
  <si>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</si>
  <si>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</si>
  <si>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</si>
  <si>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</si>
  <si>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</si>
  <si>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</si>
  <si>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</si>
  <si>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</si>
  <si>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</si>
  <si>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</si>
  <si>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</si>
  <si>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</si>
  <si>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</si>
  <si>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</si>
  <si>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</si>
  <si>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</si>
  <si>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</si>
  <si>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</si>
  <si>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</si>
  <si>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</si>
  <si>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</si>
  <si>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</si>
  <si>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</si>
  <si>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</si>
  <si>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</si>
  <si>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</si>
  <si>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</si>
  <si>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</si>
  <si>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</si>
  <si>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</si>
  <si>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</si>
  <si>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</si>
  <si>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</si>
  <si>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</si>
  <si>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</si>
  <si>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</si>
  <si>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</si>
  <si>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</si>
  <si>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</si>
  <si>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</si>
  <si>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</si>
  <si>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</si>
  <si>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</si>
  <si>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</si>
  <si>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</si>
  <si>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</si>
  <si>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</si>
  <si>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</si>
  <si>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</si>
  <si>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</si>
  <si>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</si>
  <si>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</si>
  <si>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</si>
  <si>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</si>
  <si>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</si>
  <si>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</si>
  <si>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</si>
  <si>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</si>
  <si>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</si>
  <si>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</si>
  <si>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</si>
  <si>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</si>
  <si>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</si>
  <si>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</si>
  <si>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</si>
  <si>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</si>
  <si>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</si>
  <si>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</si>
  <si>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</si>
  <si>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</si>
  <si>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</si>
  <si>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</si>
  <si>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</si>
  <si>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</si>
  <si>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</si>
  <si>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</si>
  <si>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</si>
  <si>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</si>
  <si>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</si>
  <si>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</si>
  <si>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</si>
  <si>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</si>
  <si>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</si>
  <si>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</si>
  <si>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</si>
  <si>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</si>
  <si>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</si>
  <si>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</si>
  <si>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</si>
  <si>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</si>
  <si>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</si>
  <si>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</si>
  <si>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</si>
  <si>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</si>
  <si>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</si>
  <si>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</si>
  <si>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</si>
  <si>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</si>
  <si>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</si>
  <si>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</si>
  <si>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</si>
  <si>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</si>
  <si>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</si>
  <si>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</si>
  <si>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</si>
  <si>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</si>
  <si>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</si>
  <si>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</si>
  <si>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</si>
  <si>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</si>
  <si>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</si>
  <si>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</si>
  <si>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</si>
  <si>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</si>
  <si>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</si>
  <si>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</si>
  <si>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</si>
  <si>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</si>
  <si>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</si>
  <si>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</si>
  <si>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</si>
  <si>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</si>
  <si>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</si>
  <si>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</si>
  <si>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</si>
  <si>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</si>
  <si>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</si>
  <si>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</si>
  <si>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</si>
  <si>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</si>
  <si>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</si>
  <si>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</si>
  <si>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</si>
  <si>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</si>
  <si>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</si>
  <si>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</si>
  <si>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</si>
  <si>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</si>
  <si>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</si>
  <si>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</si>
  <si>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</si>
  <si>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</si>
  <si>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</si>
  <si>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</si>
  <si>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</si>
  <si>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</si>
  <si>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</si>
  <si>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</si>
  <si>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</si>
  <si>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</si>
  <si>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</si>
  <si>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</si>
  <si>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</si>
  <si>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</si>
  <si>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</si>
  <si>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</si>
  <si>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</si>
  <si>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</si>
  <si>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</si>
  <si>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</si>
  <si>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</si>
  <si>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</si>
  <si>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</si>
  <si>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</si>
  <si>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</si>
  <si>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</si>
  <si>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</si>
  <si>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</si>
  <si>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</si>
  <si>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</si>
  <si>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</si>
  <si>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</si>
  <si>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</si>
  <si>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</si>
  <si>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</si>
  <si>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</si>
  <si>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</si>
  <si>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</si>
  <si>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</si>
  <si>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</si>
  <si>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</si>
  <si>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</si>
  <si>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</si>
  <si>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</si>
  <si>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</si>
  <si>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</si>
  <si>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</si>
  <si>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</si>
  <si>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</si>
  <si>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</si>
  <si>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</si>
  <si>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</si>
  <si>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</si>
  <si>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</si>
  <si>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</si>
  <si>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</si>
  <si>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</si>
  <si>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</si>
  <si>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</si>
  <si>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</si>
  <si>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</si>
  <si>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</si>
  <si>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</si>
  <si>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</si>
  <si>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</si>
  <si>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</si>
  <si>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</si>
  <si>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</si>
  <si>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</si>
  <si>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</si>
  <si>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</si>
  <si>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</si>
  <si>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</si>
  <si>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</si>
  <si>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</si>
  <si>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</si>
  <si>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</si>
  <si>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</si>
  <si>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</si>
  <si>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</si>
  <si>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</si>
  <si>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</si>
  <si>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</si>
  <si>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</si>
  <si>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</si>
  <si>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</si>
  <si>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</si>
  <si>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</si>
  <si>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</si>
  <si>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</si>
  <si>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</si>
  <si>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</si>
  <si>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</si>
  <si>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</si>
  <si>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</si>
  <si>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</si>
  <si>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</si>
  <si>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</si>
  <si>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</si>
  <si>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</si>
  <si>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</si>
  <si>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</si>
  <si>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</si>
  <si>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</si>
  <si>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</si>
  <si>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</si>
  <si>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</si>
  <si>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</si>
  <si>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</si>
  <si>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</si>
  <si>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</si>
  <si>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</si>
  <si>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</si>
  <si>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</si>
  <si>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</si>
  <si>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</si>
  <si>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</si>
  <si>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</si>
  <si>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</si>
  <si>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</si>
  <si>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</si>
  <si>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</si>
  <si>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</si>
  <si>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</si>
  <si>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</si>
  <si>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</si>
  <si>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</si>
  <si>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</si>
  <si>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</si>
  <si>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</si>
  <si>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</si>
  <si>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</si>
  <si>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</si>
  <si>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</si>
  <si>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</si>
  <si>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</si>
  <si>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</si>
  <si>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</si>
  <si>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</si>
  <si>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</si>
  <si>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</si>
  <si>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</si>
  <si>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</si>
  <si>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</si>
  <si>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</si>
  <si>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</si>
  <si>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</si>
  <si>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</si>
  <si>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</si>
  <si>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</si>
  <si>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</si>
  <si>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</si>
  <si>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</si>
  <si>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</si>
  <si>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</si>
  <si>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</si>
  <si>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</si>
  <si>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</si>
  <si>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</si>
  <si>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</si>
  <si>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</si>
  <si>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</si>
  <si>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</si>
  <si>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</si>
  <si>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</si>
  <si>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</si>
  <si>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</si>
  <si>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</si>
  <si>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</si>
  <si>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</si>
  <si>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</si>
  <si>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</si>
  <si>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</si>
  <si>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</si>
  <si>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</si>
  <si>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</si>
  <si>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</si>
  <si>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</si>
  <si>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</si>
  <si>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</si>
  <si>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</si>
  <si>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</si>
  <si>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</si>
  <si>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</si>
  <si>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</si>
  <si>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</si>
  <si>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</si>
  <si>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</si>
  <si>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</si>
  <si>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</si>
  <si>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</si>
  <si>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</si>
  <si>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</si>
  <si>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</si>
  <si>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</si>
  <si>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</si>
  <si>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</si>
  <si>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</si>
  <si>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</si>
  <si>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</si>
  <si>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</si>
  <si>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</si>
  <si>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</si>
  <si>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</si>
  <si>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</si>
  <si>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</si>
  <si>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</si>
  <si>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</si>
  <si>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</si>
  <si>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</si>
  <si>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</si>
  <si>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</si>
  <si>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</si>
  <si>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</si>
  <si>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</si>
  <si>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</si>
  <si>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</si>
  <si>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</si>
  <si>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</si>
  <si>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</si>
  <si>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</si>
  <si>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</si>
  <si>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</si>
  <si>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</si>
  <si>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</si>
  <si>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</si>
  <si>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</si>
  <si>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</si>
  <si>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</si>
  <si>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</si>
  <si>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</si>
  <si>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</si>
  <si>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</si>
  <si>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</si>
  <si>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</si>
  <si>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</si>
  <si>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</si>
  <si>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</si>
  <si>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</si>
  <si>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</si>
  <si>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</si>
  <si>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</si>
  <si>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</si>
  <si>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</si>
  <si>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</si>
  <si>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</si>
  <si>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</si>
  <si>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</si>
  <si>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</si>
  <si>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</si>
  <si>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</si>
  <si>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</si>
  <si>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</si>
  <si>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</si>
  <si>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</si>
  <si>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</si>
  <si>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</si>
  <si>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</si>
  <si>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</si>
  <si>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</si>
  <si>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</si>
  <si>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</si>
  <si>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</si>
  <si>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</si>
  <si>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</si>
  <si>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</si>
  <si>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</si>
  <si>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</si>
  <si>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</si>
  <si>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</si>
  <si>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</si>
  <si>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</si>
  <si>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</si>
  <si>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</si>
  <si>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</si>
  <si>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</si>
  <si>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</si>
  <si>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</si>
  <si>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</si>
  <si>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</si>
  <si>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</si>
  <si>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</si>
  <si>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</si>
  <si>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</si>
  <si>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</si>
  <si>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</si>
  <si>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2025-2</t>
    <phoneticPr fontId="3" type="noConversion"/>
  </si>
  <si>
    <t>2025-3</t>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</si>
  <si>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</si>
  <si>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</si>
  <si>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</si>
  <si>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</si>
  <si>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</si>
  <si>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</si>
  <si>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</si>
  <si>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2025-2</t>
    <phoneticPr fontId="3" type="noConversion"/>
  </si>
  <si>
    <t>农产品批发市场</t>
    <phoneticPr fontId="3" type="noConversion"/>
  </si>
  <si>
    <t>经市政府批准的一级农产品批发市场用地</t>
    <phoneticPr fontId="3" type="noConversion"/>
  </si>
  <si>
    <t>商务金融用地</t>
  </si>
  <si>
    <t>城镇住宅用地</t>
  </si>
  <si>
    <t>M4科研用地</t>
  </si>
  <si>
    <t>农产品批发市场</t>
  </si>
  <si>
    <t>经市政府批准的一级农产品批发市场用地</t>
  </si>
  <si>
    <t>正评单价</t>
    <phoneticPr fontId="134" type="noConversion"/>
  </si>
  <si>
    <t>正评总价</t>
    <phoneticPr fontId="134" type="noConversion"/>
  </si>
  <si>
    <t>复估单价       （不低于）</t>
    <phoneticPr fontId="134" type="noConversion"/>
  </si>
  <si>
    <t>复估总价       （不低于）</t>
    <phoneticPr fontId="1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</si>
</sst>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1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95" fillId="6" borderId="1" xfId="0" applyNumberFormat="1"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NumberFormat="1" applyFont="1" applyFill="1" applyBorder="1" applyAlignment="1" applyProtection="1">
      <alignment horizontal="center" vertical="center"/>
      <protection locked="0"/>
    </xf>
    <xf numFmtId="0" fontId="0" fillId="0" borderId="1" xfId="0" applyNumberFormat="1" applyBorder="1" applyAlignment="1" applyProtection="1">
      <alignment horizontal="center" vertical="center"/>
      <protection locked="0"/>
    </xf>
    <xf numFmtId="0" fontId="0" fillId="6" borderId="1" xfId="0" applyNumberFormat="1"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NumberFormat="1" applyFont="1" applyAlignment="1" applyProtection="1">
      <alignment horizontal="left" vertical="center"/>
      <protection locked="0"/>
    </xf>
    <xf numFmtId="2" fontId="144" fillId="13" borderId="0" xfId="9" applyNumberFormat="1" applyFont="1" applyFill="1" applyAlignment="1" applyProtection="1">
      <alignment horizontal="right" vertical="center"/>
    </xf>
    <xf numFmtId="2" fontId="144" fillId="21" borderId="0" xfId="9" applyNumberFormat="1" applyFont="1" applyFill="1" applyAlignment="1" applyProtection="1">
      <alignment horizontal="right" vertical="center"/>
    </xf>
    <xf numFmtId="0" fontId="144" fillId="13" borderId="0" xfId="9" applyNumberFormat="1" applyFont="1" applyFill="1" applyAlignment="1" applyProtection="1">
      <alignment horizontal="right" vertical="center"/>
    </xf>
    <xf numFmtId="0" fontId="144" fillId="21" borderId="0" xfId="9" applyNumberFormat="1" applyFont="1" applyFill="1" applyAlignment="1" applyProtection="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pplyProtection="1">
      <alignment horizontal="right" vertical="center"/>
    </xf>
    <xf numFmtId="1" fontId="0" fillId="5" borderId="0" xfId="0" applyNumberFormat="1" applyFill="1">
      <alignment vertical="center"/>
    </xf>
    <xf numFmtId="0" fontId="107" fillId="6" borderId="1"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 xfId="0" applyFont="1" applyFill="1" applyBorder="1" applyAlignment="1" applyProtection="1">
      <alignment horizontal="left" vertical="center"/>
    </xf>
    <xf numFmtId="0" fontId="107" fillId="6" borderId="24" xfId="0" applyFont="1" applyFill="1" applyBorder="1" applyAlignment="1" applyProtection="1">
      <alignment horizontal="left" vertical="center"/>
    </xf>
    <xf numFmtId="0" fontId="107" fillId="6" borderId="32" xfId="0" applyFont="1" applyFill="1" applyBorder="1" applyAlignment="1" applyProtection="1">
      <alignment horizontal="left" vertical="center"/>
    </xf>
    <xf numFmtId="0" fontId="107" fillId="6" borderId="49" xfId="0" applyFont="1" applyFill="1" applyBorder="1" applyAlignment="1" applyProtection="1">
      <alignment horizontal="left" vertical="center"/>
    </xf>
    <xf numFmtId="0" fontId="107" fillId="6" borderId="75" xfId="0" applyNumberFormat="1" applyFont="1" applyFill="1" applyBorder="1" applyAlignment="1" applyProtection="1">
      <alignment horizontal="left" vertical="center"/>
    </xf>
    <xf numFmtId="0" fontId="107" fillId="6" borderId="73" xfId="0" applyNumberFormat="1" applyFont="1" applyFill="1" applyBorder="1" applyAlignment="1" applyProtection="1">
      <alignment horizontal="left" vertical="center"/>
    </xf>
    <xf numFmtId="0" fontId="107" fillId="6" borderId="76" xfId="0" applyNumberFormat="1" applyFont="1" applyFill="1" applyBorder="1" applyAlignment="1" applyProtection="1">
      <alignment horizontal="left" vertical="center"/>
    </xf>
    <xf numFmtId="0" fontId="107" fillId="6" borderId="9" xfId="0" applyNumberFormat="1" applyFont="1" applyFill="1" applyBorder="1" applyAlignment="1" applyProtection="1">
      <alignment horizontal="left" vertical="center"/>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9"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6" borderId="32"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400050</xdr:colOff>
      <xdr:row>31</xdr:row>
      <xdr:rowOff>124745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72250" cy="5439695"/>
        </a:xfrm>
        <a:prstGeom prst="rect">
          <a:avLst/>
        </a:prstGeom>
      </xdr:spPr>
    </xdr:pic>
    <xdr:clientData/>
  </xdr:twoCellAnchor>
  <xdr:twoCellAnchor editAs="oneCell">
    <xdr:from>
      <xdr:col>9</xdr:col>
      <xdr:colOff>485774</xdr:colOff>
      <xdr:row>0</xdr:row>
      <xdr:rowOff>0</xdr:rowOff>
    </xdr:from>
    <xdr:to>
      <xdr:col>17</xdr:col>
      <xdr:colOff>161925</xdr:colOff>
      <xdr:row>31</xdr:row>
      <xdr:rowOff>45180</xdr:rowOff>
    </xdr:to>
    <xdr:pic>
      <xdr:nvPicPr>
        <xdr:cNvPr id="3" name="图片 2"/>
        <xdr:cNvPicPr>
          <a:picLocks noChangeAspect="1"/>
        </xdr:cNvPicPr>
      </xdr:nvPicPr>
      <xdr:blipFill>
        <a:blip xmlns:r="http://schemas.openxmlformats.org/officeDocument/2006/relationships" r:embed="rId2"/>
        <a:stretch>
          <a:fillRect/>
        </a:stretch>
      </xdr:blipFill>
      <xdr:spPr>
        <a:xfrm>
          <a:off x="6657974" y="0"/>
          <a:ext cx="5162551" cy="53601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受贵公司委托，我公司对进行了预评估。</v>
      </c>
    </row>
    <row r="7" spans="1:2" s="1203" customFormat="1">
      <c r="A7" s="1201" t="s">
        <v>566</v>
      </c>
      <c r="B7" s="1202" t="e">
        <f>'预评函-1'!A7</f>
        <v>#DIV/0!</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e">
        <f>'预评函-1'!A10</f>
        <v>#DIV/0!</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为估价委托人了解估价对象房地产市场价值提供参考依据。</v>
      </c>
    </row>
    <row r="12" spans="1:2" s="1203" customFormat="1">
      <c r="A12" s="1201" t="s">
        <v>528</v>
      </c>
      <c r="B12" s="1202" t="str">
        <f>'预评函-1'!A15</f>
        <v>2025年7月23日</v>
      </c>
    </row>
    <row r="13" spans="1:2" s="1203" customFormat="1">
      <c r="A13" s="1201" t="s">
        <v>529</v>
      </c>
      <c r="B13" s="1202" t="str">
        <f>'预评函-1'!A18</f>
        <v>本次估价的“房地产价值”是指在正常市场情况下，在价值时点2025年7月23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本次评估采用的主估价方法为基准地价系数修正法和基准地价系数修正法。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t="e">
        <f ca="1">'预评函-2'!D5</f>
        <v>#REF!</v>
      </c>
    </row>
    <row r="21" spans="1:2" s="1203" customFormat="1">
      <c r="A21" s="1201" t="s">
        <v>537</v>
      </c>
      <c r="B21" s="1202" t="e">
        <f ca="1">'预评函-2'!D7</f>
        <v>#REF!</v>
      </c>
    </row>
    <row r="22" spans="1:2" s="1203" customFormat="1">
      <c r="A22" s="1201" t="s">
        <v>538</v>
      </c>
      <c r="B22" s="1202" t="e">
        <f ca="1">'预评函-2'!D6</f>
        <v>#REF!</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t="e">
        <f ca="1">'预评函-2'!D13</f>
        <v>#REF!</v>
      </c>
    </row>
    <row r="31" spans="1:2" s="1203" customFormat="1">
      <c r="A31" s="1201" t="s">
        <v>576</v>
      </c>
      <c r="B31" s="1202" t="e">
        <f ca="1">'预评函-2'!D15</f>
        <v>#REF!</v>
      </c>
    </row>
    <row r="32" spans="1:2" s="1203" customFormat="1">
      <c r="A32" s="1201" t="s">
        <v>543</v>
      </c>
      <c r="B32" s="1202" t="e">
        <f ca="1">'预评函-2'!D14</f>
        <v>#REF!</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房地产</v>
      </c>
    </row>
    <row r="42" spans="1:2" s="1203" customFormat="1">
      <c r="A42" s="1201" t="s">
        <v>590</v>
      </c>
      <c r="B42" s="1202" t="str">
        <f>'预评函-3'!B2</f>
        <v>建筑面积</v>
      </c>
    </row>
    <row r="43" spans="1:2" s="1203" customFormat="1">
      <c r="A43" s="1201" t="s">
        <v>591</v>
      </c>
      <c r="B43" s="1202">
        <f>'预评函-3'!B4</f>
        <v>0</v>
      </c>
    </row>
    <row r="44" spans="1:2" s="1203" customFormat="1">
      <c r="A44" s="1201" t="s">
        <v>575</v>
      </c>
      <c r="B44" s="1202" t="str">
        <f>'预评函-3'!C2</f>
        <v>(分摊)土地面积</v>
      </c>
    </row>
    <row r="45" spans="1:2" s="1203" customFormat="1">
      <c r="A45" s="1201" t="s">
        <v>547</v>
      </c>
      <c r="B45" s="1202" t="e">
        <f>'预评函-3'!C4</f>
        <v>#DIV/0!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2.本次评估设定估价对象房地产权属无争议，未被查封或者以其他形式限制其房地产权利，未设定抵押权等他项权利，不涉及第三方权利义务。</v>
      </c>
    </row>
    <row r="59" spans="1:2" s="1203" customFormat="1">
      <c r="A59" s="1201" t="s">
        <v>554</v>
      </c>
      <c r="B59" s="1202" t="str">
        <f>'预评函-4'!A13</f>
        <v>——</v>
      </c>
    </row>
    <row r="60" spans="1:2" s="1203" customFormat="1">
      <c r="A60" s="1201" t="s">
        <v>555</v>
      </c>
      <c r="B60" s="1202" t="str">
        <f>'预评函-4'!A14</f>
        <v>——</v>
      </c>
    </row>
    <row r="61" spans="1:2" s="1203" customFormat="1">
      <c r="A61" s="1201" t="s">
        <v>556</v>
      </c>
      <c r="B61" s="1202" t="str">
        <f>'预评函-4'!A15</f>
        <v>——</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v>
      </c>
    </row>
    <row r="65" spans="1:2" s="1203" customFormat="1">
      <c r="A65" s="1201" t="s">
        <v>559</v>
      </c>
      <c r="B65" s="120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D26" sqref="D26"/>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8" width="15.125" style="1551" customWidth="1"/>
    <col min="29" max="16384" width="9" style="1507"/>
  </cols>
  <sheetData>
    <row r="1" spans="1:28" s="1545" customFormat="1" ht="40.5">
      <c r="A1" s="1539" t="s">
        <v>44</v>
      </c>
      <c r="B1" s="1540" t="s">
        <v>977</v>
      </c>
      <c r="C1" s="1541" t="s">
        <v>314</v>
      </c>
      <c r="D1" s="1543" t="s">
        <v>3351</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c r="X1" s="1542" t="s">
        <v>673</v>
      </c>
      <c r="Y1" s="1542" t="s">
        <v>21</v>
      </c>
      <c r="Z1" s="1542" t="s">
        <v>3407</v>
      </c>
      <c r="AA1" s="1542" t="s">
        <v>3406</v>
      </c>
      <c r="AB1" s="1542" t="s">
        <v>3</v>
      </c>
    </row>
    <row r="2" spans="1:28">
      <c r="A2" s="1546" t="s">
        <v>19</v>
      </c>
      <c r="B2" s="1546" t="s">
        <v>993</v>
      </c>
      <c r="C2" s="1547" t="s">
        <v>315</v>
      </c>
      <c r="D2" s="1548" t="s">
        <v>994</v>
      </c>
      <c r="E2" s="1548" t="s">
        <v>995</v>
      </c>
      <c r="F2" s="1548" t="s">
        <v>996</v>
      </c>
      <c r="G2" s="1548">
        <v>20</v>
      </c>
      <c r="H2" s="1548" t="s">
        <v>996</v>
      </c>
      <c r="I2" s="1548" t="s">
        <v>3337</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c r="X2" s="1551" t="s">
        <v>2439</v>
      </c>
      <c r="Y2" s="1551" t="s">
        <v>3414</v>
      </c>
      <c r="Z2" s="1551" t="s">
        <v>2452</v>
      </c>
      <c r="AA2" s="1551" t="s">
        <v>3415</v>
      </c>
      <c r="AB2" s="1551" t="s">
        <v>2479</v>
      </c>
    </row>
    <row r="3" spans="1:28">
      <c r="A3" s="1546" t="s">
        <v>1001</v>
      </c>
      <c r="B3" s="1549" t="s">
        <v>448</v>
      </c>
      <c r="C3" s="1550" t="s">
        <v>316</v>
      </c>
      <c r="D3" s="1548" t="s">
        <v>1002</v>
      </c>
      <c r="E3" s="1548" t="s">
        <v>13</v>
      </c>
      <c r="F3" s="1548" t="s">
        <v>1003</v>
      </c>
      <c r="G3" s="1548">
        <v>40</v>
      </c>
      <c r="H3" s="1548" t="s">
        <v>1003</v>
      </c>
      <c r="I3" s="1548" t="s">
        <v>3338</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c r="X3" s="1551" t="s">
        <v>2441</v>
      </c>
      <c r="Z3" s="1551" t="s">
        <v>2454</v>
      </c>
      <c r="AB3" s="1551" t="s">
        <v>2481</v>
      </c>
    </row>
    <row r="4" spans="1:28">
      <c r="A4" s="1546" t="s">
        <v>1008</v>
      </c>
      <c r="B4" s="1546" t="s">
        <v>1009</v>
      </c>
      <c r="C4" s="1547" t="s">
        <v>317</v>
      </c>
      <c r="D4" s="1548" t="s">
        <v>389</v>
      </c>
      <c r="E4" s="1548" t="s">
        <v>1010</v>
      </c>
      <c r="F4" s="1548" t="s">
        <v>1011</v>
      </c>
      <c r="G4" s="1548">
        <v>50</v>
      </c>
      <c r="H4" s="1548" t="s">
        <v>1011</v>
      </c>
      <c r="I4" s="1548" t="s">
        <v>3339</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c r="X4" s="1551" t="s">
        <v>2443</v>
      </c>
      <c r="Z4" s="1551" t="s">
        <v>2456</v>
      </c>
      <c r="AB4" s="1551" t="s">
        <v>2483</v>
      </c>
    </row>
    <row r="5" spans="1:28">
      <c r="A5" s="1546" t="s">
        <v>1014</v>
      </c>
      <c r="B5" s="1546" t="s">
        <v>1015</v>
      </c>
      <c r="C5" s="1547" t="s">
        <v>318</v>
      </c>
      <c r="F5" s="1548" t="s">
        <v>1016</v>
      </c>
      <c r="G5" s="1548">
        <v>70</v>
      </c>
      <c r="H5" s="1548" t="s">
        <v>1017</v>
      </c>
      <c r="I5" s="1548" t="s">
        <v>3340</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c r="X5" s="1551" t="s">
        <v>2445</v>
      </c>
      <c r="Z5" s="1551" t="s">
        <v>2458</v>
      </c>
      <c r="AB5" s="1551" t="s">
        <v>3416</v>
      </c>
    </row>
    <row r="6" spans="1:28">
      <c r="A6" s="1546" t="s">
        <v>1020</v>
      </c>
      <c r="B6" s="1549" t="s">
        <v>449</v>
      </c>
      <c r="C6" s="1552" t="s">
        <v>24</v>
      </c>
      <c r="F6" s="1548" t="s">
        <v>1017</v>
      </c>
      <c r="H6" s="1548" t="s">
        <v>1021</v>
      </c>
      <c r="I6" s="1548" t="s">
        <v>3341</v>
      </c>
      <c r="K6" s="1548" t="s">
        <v>1022</v>
      </c>
      <c r="L6" s="1548" t="s">
        <v>1022</v>
      </c>
      <c r="M6" s="1548" t="s">
        <v>1022</v>
      </c>
      <c r="N6" s="1548" t="s">
        <v>1022</v>
      </c>
      <c r="O6" s="1548" t="s">
        <v>1022</v>
      </c>
      <c r="P6" s="1548" t="s">
        <v>1022</v>
      </c>
      <c r="Q6" s="1548" t="s">
        <v>1022</v>
      </c>
      <c r="R6" s="1548" t="s">
        <v>446</v>
      </c>
      <c r="S6" s="1548" t="s">
        <v>1022</v>
      </c>
      <c r="T6" s="1548"/>
      <c r="U6" s="1548" t="s">
        <v>1022</v>
      </c>
      <c r="W6" s="1548" t="s">
        <v>1022</v>
      </c>
      <c r="X6" s="1551" t="s">
        <v>2447</v>
      </c>
      <c r="Z6" s="1551" t="s">
        <v>2460</v>
      </c>
      <c r="AB6" s="1551" t="s">
        <v>2486</v>
      </c>
    </row>
    <row r="7" spans="1:28">
      <c r="A7" s="1546" t="s">
        <v>1023</v>
      </c>
      <c r="B7" s="1549" t="s">
        <v>450</v>
      </c>
      <c r="C7" s="1547" t="s">
        <v>25</v>
      </c>
      <c r="F7" s="1548" t="s">
        <v>1024</v>
      </c>
      <c r="H7" s="1548" t="s">
        <v>1025</v>
      </c>
      <c r="I7" s="1548" t="s">
        <v>3342</v>
      </c>
      <c r="X7" s="1551" t="s">
        <v>2449</v>
      </c>
      <c r="Z7" s="1551" t="s">
        <v>2462</v>
      </c>
      <c r="AB7" s="1551" t="s">
        <v>2488</v>
      </c>
    </row>
    <row r="8" spans="1:28">
      <c r="A8" s="1546" t="s">
        <v>1026</v>
      </c>
      <c r="B8" s="1546" t="s">
        <v>1027</v>
      </c>
      <c r="C8" s="1547" t="s">
        <v>319</v>
      </c>
      <c r="F8" s="1548" t="s">
        <v>1028</v>
      </c>
      <c r="H8" s="1548" t="s">
        <v>2577</v>
      </c>
      <c r="I8" s="1548" t="s">
        <v>3343</v>
      </c>
      <c r="X8" s="1551" t="s">
        <v>3417</v>
      </c>
      <c r="Z8" s="1551" t="s">
        <v>2464</v>
      </c>
      <c r="AB8" s="1551" t="s">
        <v>2490</v>
      </c>
    </row>
    <row r="9" spans="1:28">
      <c r="A9" s="1546" t="s">
        <v>1029</v>
      </c>
      <c r="B9" s="1546" t="s">
        <v>1030</v>
      </c>
      <c r="C9" s="1547" t="s">
        <v>320</v>
      </c>
      <c r="F9" s="1548" t="s">
        <v>1031</v>
      </c>
      <c r="H9" s="1548"/>
      <c r="I9" s="1551" t="s">
        <v>3344</v>
      </c>
      <c r="X9" s="1551" t="s">
        <v>3418</v>
      </c>
      <c r="Z9" s="1551" t="s">
        <v>2466</v>
      </c>
      <c r="AB9" s="1551" t="s">
        <v>2492</v>
      </c>
    </row>
    <row r="10" spans="1:28">
      <c r="A10" s="1546" t="s">
        <v>1032</v>
      </c>
      <c r="B10" s="1546" t="s">
        <v>1033</v>
      </c>
      <c r="C10" s="1547" t="s">
        <v>321</v>
      </c>
      <c r="F10" s="1548" t="s">
        <v>2578</v>
      </c>
      <c r="I10" s="1551" t="s">
        <v>3345</v>
      </c>
      <c r="Z10" s="1551" t="s">
        <v>2468</v>
      </c>
      <c r="AB10" s="1551" t="s">
        <v>2494</v>
      </c>
    </row>
    <row r="11" spans="1:28">
      <c r="A11" s="1546" t="s">
        <v>1034</v>
      </c>
      <c r="B11" s="1546" t="s">
        <v>1035</v>
      </c>
      <c r="C11" s="1547" t="s">
        <v>322</v>
      </c>
      <c r="F11" s="1548" t="s">
        <v>13</v>
      </c>
      <c r="I11" s="1551" t="s">
        <v>3346</v>
      </c>
      <c r="Z11" s="1551" t="s">
        <v>2470</v>
      </c>
      <c r="AB11" s="1551" t="s">
        <v>2496</v>
      </c>
    </row>
    <row r="12" spans="1:28">
      <c r="A12" s="1546" t="s">
        <v>1036</v>
      </c>
      <c r="B12" s="1546" t="s">
        <v>1037</v>
      </c>
      <c r="C12" s="1547" t="s">
        <v>323</v>
      </c>
      <c r="I12" s="1551" t="s">
        <v>3347</v>
      </c>
      <c r="Z12" s="1551" t="s">
        <v>2472</v>
      </c>
      <c r="AB12" s="1551" t="s">
        <v>2498</v>
      </c>
    </row>
    <row r="13" spans="1:28">
      <c r="A13" s="1546" t="s">
        <v>1038</v>
      </c>
      <c r="B13" s="1546" t="s">
        <v>1039</v>
      </c>
      <c r="C13" s="1547" t="s">
        <v>324</v>
      </c>
      <c r="I13" s="1551" t="s">
        <v>3348</v>
      </c>
      <c r="Z13" s="1551" t="s">
        <v>2474</v>
      </c>
    </row>
    <row r="14" spans="1:28">
      <c r="A14" s="1546" t="s">
        <v>1040</v>
      </c>
      <c r="B14" s="1546" t="s">
        <v>1041</v>
      </c>
      <c r="C14" s="1548" t="s">
        <v>13</v>
      </c>
      <c r="I14" s="1551" t="s">
        <v>3349</v>
      </c>
      <c r="Z14" s="1551" t="s">
        <v>2476</v>
      </c>
    </row>
    <row r="15" spans="1:28">
      <c r="A15" s="1546" t="s">
        <v>1042</v>
      </c>
      <c r="B15" s="1546" t="s">
        <v>1043</v>
      </c>
      <c r="C15" s="1547"/>
      <c r="I15" s="1551" t="s">
        <v>3350</v>
      </c>
    </row>
    <row r="16" spans="1:28">
      <c r="A16" s="1546" t="s">
        <v>1044</v>
      </c>
      <c r="B16" s="1546" t="s">
        <v>312</v>
      </c>
      <c r="C16" s="1547"/>
    </row>
    <row r="17" spans="1:3">
      <c r="A17" s="1546" t="s">
        <v>1045</v>
      </c>
      <c r="B17" s="1546" t="s">
        <v>2293</v>
      </c>
      <c r="C17" s="1547"/>
    </row>
    <row r="18" spans="1:3">
      <c r="A18" s="1546" t="s">
        <v>1046</v>
      </c>
      <c r="B18" s="1546" t="s">
        <v>2433</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18"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7月23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18"/>
      <c r="B54" s="1554" t="s">
        <v>385</v>
      </c>
      <c r="C54" s="1551" t="s">
        <v>583</v>
      </c>
    </row>
    <row r="55" spans="1:4">
      <c r="A55" s="3518"/>
      <c r="B55" s="1554" t="s">
        <v>386</v>
      </c>
      <c r="C55" s="1551" t="s">
        <v>584</v>
      </c>
    </row>
    <row r="56" spans="1:4">
      <c r="A56" s="3518"/>
      <c r="B56" s="1554" t="s">
        <v>387</v>
      </c>
      <c r="C56" s="1551" t="s">
        <v>588</v>
      </c>
    </row>
    <row r="57" spans="1:4">
      <c r="A57" s="3518"/>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D26" sqref="D26"/>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2500</v>
      </c>
      <c r="B1" s="3014"/>
      <c r="C1" s="3014"/>
      <c r="D1" s="3014"/>
      <c r="E1" s="3014"/>
      <c r="F1" s="3015"/>
      <c r="I1" s="3437" t="s">
        <v>2593</v>
      </c>
      <c r="J1" s="3226"/>
      <c r="K1" s="3226"/>
      <c r="L1" s="3226"/>
      <c r="M1" s="3226"/>
      <c r="N1" s="3438"/>
      <c r="O1" s="3438"/>
      <c r="P1" s="3438"/>
      <c r="Q1" s="3438"/>
      <c r="R1" s="3438"/>
    </row>
    <row r="2" spans="1:18">
      <c r="A2" s="3017"/>
      <c r="B2" s="3018"/>
      <c r="C2" s="3018"/>
      <c r="D2" s="3018"/>
      <c r="E2" s="3018"/>
      <c r="F2" s="3019"/>
      <c r="I2" s="3519" t="s">
        <v>2580</v>
      </c>
      <c r="J2" s="3519"/>
      <c r="K2" s="3519"/>
      <c r="L2" s="3519"/>
      <c r="M2" s="3519"/>
      <c r="N2" s="3519"/>
      <c r="O2" s="3519"/>
      <c r="P2" s="3519"/>
      <c r="Q2" s="3519"/>
      <c r="R2" s="3519"/>
    </row>
    <row r="3" spans="1:18">
      <c r="A3" s="3020" t="s">
        <v>2501</v>
      </c>
      <c r="B3" s="3021">
        <f>项目基本情况!D3</f>
        <v>45861</v>
      </c>
      <c r="C3" s="3023"/>
      <c r="D3" s="3023"/>
      <c r="E3" s="3023"/>
      <c r="F3" s="3019"/>
      <c r="I3" s="3439"/>
      <c r="J3" s="3439" t="s">
        <v>2584</v>
      </c>
      <c r="K3" s="3439" t="s">
        <v>2585</v>
      </c>
      <c r="L3" s="3439" t="s">
        <v>2586</v>
      </c>
      <c r="M3" s="3439" t="s">
        <v>2587</v>
      </c>
      <c r="N3" s="3440" t="s">
        <v>2588</v>
      </c>
      <c r="O3" s="3440" t="s">
        <v>2589</v>
      </c>
      <c r="P3" s="3440" t="s">
        <v>2590</v>
      </c>
      <c r="Q3" s="3440" t="s">
        <v>2591</v>
      </c>
      <c r="R3" s="3440" t="s">
        <v>2592</v>
      </c>
    </row>
    <row r="4" spans="1:18">
      <c r="A4" s="3020" t="s">
        <v>2502</v>
      </c>
      <c r="B4" s="3023" t="s">
        <v>2503</v>
      </c>
      <c r="C4" s="3023" t="s">
        <v>2504</v>
      </c>
      <c r="D4" s="3023" t="s">
        <v>2505</v>
      </c>
      <c r="E4" s="3023" t="s">
        <v>2506</v>
      </c>
      <c r="F4" s="3019"/>
      <c r="I4" s="3439" t="s">
        <v>2581</v>
      </c>
      <c r="J4" s="3439">
        <v>80</v>
      </c>
      <c r="K4" s="3439">
        <v>70</v>
      </c>
      <c r="L4" s="3439">
        <v>20</v>
      </c>
      <c r="M4" s="3439">
        <v>30</v>
      </c>
      <c r="N4" s="3023">
        <v>45</v>
      </c>
      <c r="O4" s="3023">
        <v>60</v>
      </c>
      <c r="P4" s="3023">
        <v>50</v>
      </c>
      <c r="Q4" s="3023">
        <v>20</v>
      </c>
      <c r="R4" s="3023">
        <v>375</v>
      </c>
    </row>
    <row r="5" spans="1:18">
      <c r="A5" s="3024">
        <v>40</v>
      </c>
      <c r="B5" s="3021">
        <v>46375</v>
      </c>
      <c r="C5" s="3023">
        <f>ROUNDDOWN(MIN((B5-B3)/365,A5),2)</f>
        <v>1.4</v>
      </c>
      <c r="D5" s="3025">
        <f>IF(ISERROR(ROUND(POWER(1+E5,A5-C5)*(POWER(1+E5,C5)-1)/(POWER(1+E5,A5)-1),3)),0,ROUND(POWER(1+E5,A5-C5)*(POWER(1+E5,C5)-1)/(POWER(1+E5,A5)-1),4))</f>
        <v>6.7500000000000004E-2</v>
      </c>
      <c r="E5" s="3026">
        <v>0.04</v>
      </c>
      <c r="F5" s="3019"/>
      <c r="I5" s="3439" t="s">
        <v>2582</v>
      </c>
      <c r="J5" s="3439">
        <v>70</v>
      </c>
      <c r="K5" s="3439">
        <v>60</v>
      </c>
      <c r="L5" s="3439">
        <v>15</v>
      </c>
      <c r="M5" s="3439">
        <v>25</v>
      </c>
      <c r="N5" s="3023">
        <v>40</v>
      </c>
      <c r="O5" s="3023">
        <v>50</v>
      </c>
      <c r="P5" s="3023">
        <v>40</v>
      </c>
      <c r="Q5" s="3023">
        <v>15</v>
      </c>
      <c r="R5" s="3023">
        <v>315</v>
      </c>
    </row>
    <row r="6" spans="1:18">
      <c r="A6" s="3024">
        <v>50</v>
      </c>
      <c r="B6" s="3021">
        <v>50028</v>
      </c>
      <c r="C6" s="3023">
        <f>ROUNDDOWN(MIN((B6-B3)/365,A6),2)</f>
        <v>11.41</v>
      </c>
      <c r="D6" s="3025">
        <f>IF(ISERROR(ROUND(POWER(1+E6,A6-C6)*(POWER(1+E6,C6)-1)/(POWER(1+E6,A6)-1),3)),0,ROUND(POWER(1+E6,A6-C6)*(POWER(1+E6,C6)-1)/(POWER(1+E6,A6)-1),4))</f>
        <v>0.4199</v>
      </c>
      <c r="E6" s="3026">
        <v>0.04</v>
      </c>
      <c r="F6" s="3019"/>
      <c r="I6" s="3439" t="s">
        <v>2583</v>
      </c>
      <c r="J6" s="3439">
        <v>60</v>
      </c>
      <c r="K6" s="3439">
        <v>50</v>
      </c>
      <c r="L6" s="3439">
        <v>10</v>
      </c>
      <c r="M6" s="3439">
        <v>20</v>
      </c>
      <c r="N6" s="3023">
        <v>35</v>
      </c>
      <c r="O6" s="3023">
        <v>40</v>
      </c>
      <c r="P6" s="3023">
        <v>30</v>
      </c>
      <c r="Q6" s="3023">
        <v>10</v>
      </c>
      <c r="R6" s="3023">
        <v>255</v>
      </c>
    </row>
    <row r="7" spans="1:18">
      <c r="A7" s="3024">
        <v>70</v>
      </c>
      <c r="B7" s="3021">
        <v>57333</v>
      </c>
      <c r="C7" s="3023">
        <f>ROUNDDOWN(MIN((B7-B3)/365,A7),2)</f>
        <v>31.43</v>
      </c>
      <c r="D7" s="3025">
        <f>IF(ISERROR(ROUND(POWER(1+E7,A7-C7)*(POWER(1+E7,C7)-1)/(POWER(1+E7,A7)-1),3)),0,ROUND(POWER(1+E7,A7-C7)*(POWER(1+E7,C7)-1)/(POWER(1+E7,A7)-1),4))</f>
        <v>0.7571</v>
      </c>
      <c r="E7" s="3026">
        <v>0.04</v>
      </c>
      <c r="F7" s="3019"/>
    </row>
    <row r="8" spans="1:18">
      <c r="A8" s="3017"/>
      <c r="B8" s="3018"/>
      <c r="C8" s="3018"/>
      <c r="D8" s="3018"/>
      <c r="E8" s="3018"/>
      <c r="F8" s="3019"/>
    </row>
    <row r="9" spans="1:18">
      <c r="A9" s="3020" t="s">
        <v>2507</v>
      </c>
      <c r="B9" s="3023"/>
      <c r="C9" s="3023"/>
      <c r="D9" s="3023"/>
      <c r="E9" s="3023"/>
      <c r="F9" s="3027"/>
    </row>
    <row r="10" spans="1:18">
      <c r="A10" s="3020" t="s">
        <v>2508</v>
      </c>
      <c r="B10" s="3023"/>
      <c r="C10" s="3023"/>
      <c r="D10" s="3023" t="s">
        <v>2506</v>
      </c>
      <c r="E10" s="3023"/>
      <c r="F10" s="3027" t="s">
        <v>2505</v>
      </c>
    </row>
    <row r="11" spans="1:18">
      <c r="A11" s="3020" t="s">
        <v>2509</v>
      </c>
      <c r="B11" s="3028">
        <v>70</v>
      </c>
      <c r="C11" s="3023" t="s">
        <v>2510</v>
      </c>
      <c r="D11" s="3029">
        <v>4.4999999999999998E-2</v>
      </c>
      <c r="E11" s="3023" t="s">
        <v>2511</v>
      </c>
      <c r="F11" s="3030">
        <f>ROUND(1-(1/(POWER(1+D11,B11))),4)</f>
        <v>0.95409999999999995</v>
      </c>
    </row>
    <row r="12" spans="1:18">
      <c r="A12" s="3020" t="s">
        <v>2512</v>
      </c>
      <c r="B12" s="3028">
        <v>40</v>
      </c>
      <c r="C12" s="3023" t="s">
        <v>2513</v>
      </c>
      <c r="D12" s="3029">
        <v>4.4999999999999998E-2</v>
      </c>
      <c r="E12" s="3023" t="s">
        <v>2514</v>
      </c>
      <c r="F12" s="3030">
        <f>ROUND(1-(1/(POWER(1+D12,B12))),4)</f>
        <v>0.82809999999999995</v>
      </c>
    </row>
    <row r="13" spans="1:18">
      <c r="A13" s="3020" t="s">
        <v>2515</v>
      </c>
      <c r="B13" s="3023"/>
      <c r="C13" s="3023"/>
      <c r="D13" s="3018"/>
      <c r="E13" s="3018"/>
      <c r="F13" s="3019"/>
    </row>
    <row r="14" spans="1:18">
      <c r="A14" s="3020" t="s">
        <v>2516</v>
      </c>
      <c r="B14" s="3028">
        <v>5000</v>
      </c>
      <c r="C14" s="3022"/>
      <c r="D14" s="3018"/>
      <c r="E14" s="3018"/>
      <c r="F14" s="3019"/>
    </row>
    <row r="15" spans="1:18">
      <c r="A15" s="3020" t="s">
        <v>2517</v>
      </c>
      <c r="B15" s="3023">
        <f>ROUND(B14*F12/F11,2)</f>
        <v>4339.6899999999996</v>
      </c>
      <c r="C15" s="3023">
        <f>ROUND(F12/F11,4)</f>
        <v>0.8679</v>
      </c>
      <c r="D15" s="3018"/>
      <c r="E15" s="3018"/>
      <c r="F15" s="3019"/>
    </row>
    <row r="16" spans="1:18">
      <c r="A16" s="3020" t="s">
        <v>2518</v>
      </c>
      <c r="B16" s="3023"/>
      <c r="C16" s="3023"/>
      <c r="D16" s="3018"/>
      <c r="E16" s="3018"/>
      <c r="F16" s="3019"/>
    </row>
    <row r="17" spans="1:14">
      <c r="A17" s="3020" t="s">
        <v>2517</v>
      </c>
      <c r="B17" s="3029">
        <v>4810</v>
      </c>
      <c r="C17" s="3022"/>
      <c r="D17" s="3018"/>
      <c r="E17" s="3018"/>
      <c r="F17" s="3019"/>
    </row>
    <row r="18" spans="1:14" ht="14.25" thickBot="1">
      <c r="A18" s="3031" t="s">
        <v>2516</v>
      </c>
      <c r="B18" s="3032">
        <f>ROUND(B17*F11/F12,2)</f>
        <v>5541.87</v>
      </c>
      <c r="C18" s="3032">
        <f>ROUND(F11/F12,4)</f>
        <v>1.1521999999999999</v>
      </c>
      <c r="D18" s="3033"/>
      <c r="E18" s="3033"/>
      <c r="F18" s="3034"/>
    </row>
    <row r="19" spans="1:14" ht="14.25" thickBot="1"/>
    <row r="20" spans="1:14" s="3069" customFormat="1" ht="14.25" thickTop="1">
      <c r="A20" s="3066" t="s">
        <v>2519</v>
      </c>
      <c r="B20" s="3067"/>
      <c r="C20" s="3067"/>
      <c r="D20" s="3067"/>
      <c r="E20" s="3067"/>
      <c r="F20" s="3067"/>
      <c r="G20" s="3068"/>
      <c r="I20" s="3070" t="s">
        <v>2564</v>
      </c>
      <c r="J20" s="3070" t="s">
        <v>2569</v>
      </c>
      <c r="K20" s="3070"/>
      <c r="L20" s="3070"/>
      <c r="M20" s="3070"/>
    </row>
    <row r="21" spans="1:14">
      <c r="A21" s="3035"/>
      <c r="B21" s="3036" t="s">
        <v>2520</v>
      </c>
      <c r="C21" s="3036" t="s">
        <v>2521</v>
      </c>
      <c r="D21" s="3036" t="s">
        <v>2522</v>
      </c>
      <c r="E21" s="3036" t="s">
        <v>2523</v>
      </c>
      <c r="F21" s="3036" t="s">
        <v>2524</v>
      </c>
      <c r="G21" s="3037" t="s">
        <v>2525</v>
      </c>
      <c r="I21" s="3058">
        <v>5</v>
      </c>
      <c r="J21" s="3058">
        <v>54.2</v>
      </c>
    </row>
    <row r="22" spans="1:14">
      <c r="A22" s="3035" t="s">
        <v>2526</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4">
      <c r="A23" s="3035" t="s">
        <v>2527</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2567</v>
      </c>
      <c r="N23" s="3457" t="s">
        <v>2568</v>
      </c>
    </row>
    <row r="24" spans="1:14">
      <c r="A24" s="3035" t="s">
        <v>2528</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2566</v>
      </c>
      <c r="N24" s="3457">
        <v>10</v>
      </c>
    </row>
    <row r="25" spans="1:14">
      <c r="A25" s="3035" t="s">
        <v>2529</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2570</v>
      </c>
      <c r="N25" s="3457">
        <v>8</v>
      </c>
    </row>
    <row r="26" spans="1:14">
      <c r="A26" s="3040"/>
      <c r="B26" s="3041"/>
      <c r="C26" s="3041"/>
      <c r="D26" s="3041"/>
      <c r="E26" s="3041"/>
      <c r="F26" s="3041"/>
      <c r="G26" s="3042"/>
      <c r="I26" s="3058">
        <v>30</v>
      </c>
      <c r="J26" s="3058">
        <v>90.5</v>
      </c>
      <c r="K26" s="3058">
        <f t="shared" si="2"/>
        <v>4.2000000000000028</v>
      </c>
      <c r="L26" s="3058" t="s">
        <v>2571</v>
      </c>
      <c r="N26" s="3457">
        <v>5</v>
      </c>
    </row>
    <row r="27" spans="1:14">
      <c r="A27" s="3040" t="s">
        <v>2530</v>
      </c>
      <c r="B27" s="3041"/>
      <c r="C27" s="3041"/>
      <c r="D27" s="3041"/>
      <c r="E27" s="3041"/>
      <c r="F27" s="3041"/>
      <c r="G27" s="3042"/>
      <c r="I27" s="3058">
        <v>35</v>
      </c>
      <c r="J27" s="3058">
        <v>93.8</v>
      </c>
      <c r="K27" s="3058">
        <f t="shared" si="2"/>
        <v>3.2999999999999972</v>
      </c>
      <c r="L27" s="3058" t="s">
        <v>2572</v>
      </c>
      <c r="N27" s="3457">
        <v>3</v>
      </c>
    </row>
    <row r="28" spans="1:14">
      <c r="A28" s="3040" t="s">
        <v>2531</v>
      </c>
      <c r="B28" s="3041"/>
      <c r="C28" s="3041"/>
      <c r="D28" s="3041"/>
      <c r="E28" s="3041"/>
      <c r="F28" s="3041"/>
      <c r="G28" s="3042"/>
      <c r="I28" s="3058">
        <v>40</v>
      </c>
      <c r="J28" s="3058">
        <v>96.4</v>
      </c>
      <c r="K28" s="3058">
        <f t="shared" si="2"/>
        <v>2.6000000000000085</v>
      </c>
      <c r="L28" s="3058" t="s">
        <v>2573</v>
      </c>
      <c r="N28" s="3457">
        <v>2</v>
      </c>
    </row>
    <row r="29" spans="1:14">
      <c r="A29" s="3040" t="s">
        <v>2532</v>
      </c>
      <c r="B29" s="3041"/>
      <c r="C29" s="3041"/>
      <c r="D29" s="3041"/>
      <c r="E29" s="3041"/>
      <c r="F29" s="3041"/>
      <c r="G29" s="3042"/>
      <c r="I29" s="3058">
        <v>45</v>
      </c>
      <c r="J29" s="3058">
        <v>98.4</v>
      </c>
      <c r="K29" s="3058">
        <f t="shared" si="2"/>
        <v>2</v>
      </c>
    </row>
    <row r="30" spans="1:14">
      <c r="A30" s="3040" t="s">
        <v>2533</v>
      </c>
      <c r="B30" s="3041"/>
      <c r="C30" s="3041"/>
      <c r="D30" s="3041"/>
      <c r="E30" s="3041"/>
      <c r="F30" s="3041"/>
      <c r="G30" s="3042"/>
      <c r="I30" s="3058">
        <v>50</v>
      </c>
      <c r="J30" s="3058">
        <v>100</v>
      </c>
      <c r="K30" s="3058">
        <f t="shared" si="2"/>
        <v>1.5999999999999943</v>
      </c>
    </row>
    <row r="31" spans="1:14">
      <c r="A31" s="3040" t="s">
        <v>2534</v>
      </c>
      <c r="B31" s="3041"/>
      <c r="C31" s="3041"/>
      <c r="D31" s="3041"/>
      <c r="E31" s="3041"/>
      <c r="F31" s="3041"/>
      <c r="G31" s="3042"/>
      <c r="I31" s="3058" t="s">
        <v>2565</v>
      </c>
    </row>
    <row r="32" spans="1:14">
      <c r="A32" s="3040" t="s">
        <v>2535</v>
      </c>
      <c r="B32" s="3041"/>
      <c r="C32" s="3041"/>
      <c r="D32" s="3041"/>
      <c r="E32" s="3041"/>
      <c r="F32" s="3041"/>
      <c r="G32" s="3042"/>
    </row>
    <row r="33" spans="1:14">
      <c r="A33" s="3040" t="s">
        <v>2536</v>
      </c>
      <c r="B33" s="3041"/>
      <c r="C33" s="3041"/>
      <c r="D33" s="3041"/>
      <c r="E33" s="3041"/>
      <c r="F33" s="3041"/>
      <c r="G33" s="3042"/>
      <c r="I33" s="3058" t="s">
        <v>2564</v>
      </c>
      <c r="J33" s="3058" t="s">
        <v>2574</v>
      </c>
    </row>
    <row r="34" spans="1:14">
      <c r="A34" s="3040" t="s">
        <v>2537</v>
      </c>
      <c r="B34" s="3041"/>
      <c r="C34" s="3041"/>
      <c r="D34" s="3041"/>
      <c r="E34" s="3041"/>
      <c r="F34" s="3041"/>
      <c r="G34" s="3042"/>
      <c r="I34" s="3058">
        <v>5</v>
      </c>
      <c r="J34" s="3058">
        <v>55.1</v>
      </c>
    </row>
    <row r="35" spans="1:14">
      <c r="A35" s="3040" t="s">
        <v>2538</v>
      </c>
      <c r="B35" s="3041"/>
      <c r="C35" s="3041"/>
      <c r="D35" s="3041"/>
      <c r="E35" s="3041"/>
      <c r="F35" s="3041"/>
      <c r="G35" s="3042"/>
      <c r="I35" s="3058">
        <v>10</v>
      </c>
      <c r="J35" s="3058">
        <v>67</v>
      </c>
      <c r="K35" s="3058">
        <f>J35-J34</f>
        <v>11.899999999999999</v>
      </c>
    </row>
    <row r="36" spans="1:14">
      <c r="A36" s="3040" t="s">
        <v>2539</v>
      </c>
      <c r="B36" s="3041"/>
      <c r="C36" s="3041"/>
      <c r="D36" s="3041"/>
      <c r="E36" s="3041"/>
      <c r="F36" s="3041"/>
      <c r="G36" s="3042"/>
      <c r="I36" s="3058">
        <v>15</v>
      </c>
      <c r="J36" s="3058">
        <v>76.3</v>
      </c>
      <c r="K36" s="3058">
        <f t="shared" ref="K36:K41" si="3">J36-J35</f>
        <v>9.2999999999999972</v>
      </c>
      <c r="L36" s="3058" t="s">
        <v>2567</v>
      </c>
      <c r="N36" s="3457" t="s">
        <v>2568</v>
      </c>
    </row>
    <row r="37" spans="1:14">
      <c r="A37" s="3040" t="s">
        <v>2540</v>
      </c>
      <c r="B37" s="3041"/>
      <c r="C37" s="3041"/>
      <c r="D37" s="3041"/>
      <c r="E37" s="3041"/>
      <c r="F37" s="3041"/>
      <c r="G37" s="3042"/>
      <c r="I37" s="3058">
        <v>20</v>
      </c>
      <c r="J37" s="3058">
        <v>83.6</v>
      </c>
      <c r="K37" s="3058">
        <f t="shared" si="3"/>
        <v>7.2999999999999972</v>
      </c>
      <c r="L37" s="3058" t="s">
        <v>2566</v>
      </c>
      <c r="N37" s="3457">
        <v>10</v>
      </c>
    </row>
    <row r="38" spans="1:14">
      <c r="A38" s="3040" t="s">
        <v>2541</v>
      </c>
      <c r="B38" s="3041"/>
      <c r="C38" s="3041"/>
      <c r="D38" s="3041"/>
      <c r="E38" s="3041"/>
      <c r="F38" s="3041"/>
      <c r="G38" s="3042"/>
      <c r="I38" s="3058">
        <v>25</v>
      </c>
      <c r="J38" s="3058">
        <v>89.3</v>
      </c>
      <c r="K38" s="3058">
        <f t="shared" si="3"/>
        <v>5.7000000000000028</v>
      </c>
      <c r="L38" s="3058" t="s">
        <v>2570</v>
      </c>
      <c r="N38" s="3457">
        <v>8</v>
      </c>
    </row>
    <row r="39" spans="1:14">
      <c r="A39" s="3040"/>
      <c r="B39" s="3041"/>
      <c r="C39" s="3041"/>
      <c r="D39" s="3041"/>
      <c r="E39" s="3041"/>
      <c r="F39" s="3041"/>
      <c r="G39" s="3042"/>
      <c r="I39" s="3058">
        <v>30</v>
      </c>
      <c r="J39" s="3058">
        <v>93.8</v>
      </c>
      <c r="K39" s="3058">
        <f t="shared" si="3"/>
        <v>4.5</v>
      </c>
      <c r="L39" s="3058" t="s">
        <v>2571</v>
      </c>
      <c r="N39" s="3457">
        <v>6</v>
      </c>
    </row>
    <row r="40" spans="1:14">
      <c r="A40" s="3043" t="s">
        <v>2542</v>
      </c>
      <c r="B40" s="3044"/>
      <c r="C40" s="3044"/>
      <c r="D40" s="3044"/>
      <c r="E40" s="3044"/>
      <c r="F40" s="3044"/>
      <c r="G40" s="3045"/>
      <c r="I40" s="3058">
        <v>35</v>
      </c>
      <c r="J40" s="3058">
        <v>97.2</v>
      </c>
      <c r="K40" s="3058">
        <f t="shared" si="3"/>
        <v>3.4000000000000057</v>
      </c>
      <c r="L40" s="3058" t="s">
        <v>2572</v>
      </c>
      <c r="N40" s="3457">
        <v>3</v>
      </c>
    </row>
    <row r="41" spans="1:14">
      <c r="A41" s="3046" t="s">
        <v>2543</v>
      </c>
      <c r="B41" s="3047" t="s">
        <v>2544</v>
      </c>
      <c r="C41" s="3048" t="s">
        <v>2545</v>
      </c>
      <c r="D41" s="3048" t="s">
        <v>2546</v>
      </c>
      <c r="E41" s="3049"/>
      <c r="F41" s="3050"/>
      <c r="G41" s="3051"/>
      <c r="I41" s="3058">
        <v>40</v>
      </c>
      <c r="J41" s="3058">
        <v>100</v>
      </c>
      <c r="K41" s="3058">
        <f t="shared" si="3"/>
        <v>2.7999999999999972</v>
      </c>
    </row>
    <row r="42" spans="1:14">
      <c r="A42" s="3046" t="s">
        <v>2547</v>
      </c>
      <c r="B42" s="3047" t="s">
        <v>2548</v>
      </c>
      <c r="C42" s="3048" t="s">
        <v>2549</v>
      </c>
      <c r="D42" s="3052" t="s">
        <v>2550</v>
      </c>
      <c r="E42" s="3044" t="s">
        <v>2551</v>
      </c>
      <c r="F42" s="3044"/>
      <c r="G42" s="3045"/>
    </row>
    <row r="43" spans="1:14">
      <c r="A43" s="3046" t="s">
        <v>2552</v>
      </c>
      <c r="B43" s="3047" t="s">
        <v>2553</v>
      </c>
      <c r="C43" s="3048" t="s">
        <v>2554</v>
      </c>
      <c r="D43" s="3048" t="s">
        <v>2555</v>
      </c>
      <c r="E43" s="3049" t="s">
        <v>2556</v>
      </c>
      <c r="F43" s="3050"/>
      <c r="G43" s="3051"/>
      <c r="I43" s="3058" t="s">
        <v>2564</v>
      </c>
      <c r="J43" s="3058" t="s">
        <v>2575</v>
      </c>
    </row>
    <row r="44" spans="1:14">
      <c r="A44" s="3046" t="s">
        <v>2557</v>
      </c>
      <c r="B44" s="3047" t="s">
        <v>2558</v>
      </c>
      <c r="C44" s="3048" t="s">
        <v>2559</v>
      </c>
      <c r="D44" s="3052">
        <v>0.5</v>
      </c>
      <c r="E44" s="3049" t="s">
        <v>2560</v>
      </c>
      <c r="F44" s="3050"/>
      <c r="G44" s="3051"/>
      <c r="I44" s="3058">
        <v>30</v>
      </c>
      <c r="J44" s="3058">
        <v>81.7</v>
      </c>
    </row>
    <row r="45" spans="1:14" ht="14.25" thickBot="1">
      <c r="A45" s="3053" t="s">
        <v>2561</v>
      </c>
      <c r="B45" s="3054" t="s">
        <v>2548</v>
      </c>
      <c r="C45" s="3055" t="s">
        <v>2548</v>
      </c>
      <c r="D45" s="3055" t="s">
        <v>2562</v>
      </c>
      <c r="E45" s="3056" t="s">
        <v>2563</v>
      </c>
      <c r="F45" s="3056"/>
      <c r="G45" s="3057"/>
      <c r="I45" s="3058">
        <v>40</v>
      </c>
      <c r="J45" s="3058">
        <v>89.2</v>
      </c>
      <c r="K45" s="3058">
        <f>J45-J44</f>
        <v>7.5</v>
      </c>
    </row>
    <row r="46" spans="1:14">
      <c r="I46" s="3058">
        <v>50</v>
      </c>
      <c r="J46" s="3058">
        <v>94.3</v>
      </c>
      <c r="K46" s="3058">
        <f t="shared" ref="K46:K47" si="4">J46-J45</f>
        <v>5.0999999999999943</v>
      </c>
    </row>
    <row r="47" spans="1:14">
      <c r="I47" s="3058">
        <v>60</v>
      </c>
      <c r="J47" s="3058">
        <v>97.7</v>
      </c>
      <c r="K47" s="3058">
        <f t="shared" si="4"/>
        <v>3.4000000000000057</v>
      </c>
    </row>
    <row r="48" spans="1:14" ht="14.25" thickBot="1"/>
    <row r="49" spans="1:4">
      <c r="A49" s="3013" t="s">
        <v>3387</v>
      </c>
    </row>
    <row r="50" spans="1:4">
      <c r="A50" s="3449" t="s">
        <v>3388</v>
      </c>
      <c r="B50" s="3449" t="s">
        <v>3389</v>
      </c>
      <c r="C50" s="3449" t="s">
        <v>3390</v>
      </c>
      <c r="D50" s="3449" t="s">
        <v>3391</v>
      </c>
    </row>
    <row r="51" spans="1:4">
      <c r="A51" s="3449" t="s">
        <v>3392</v>
      </c>
      <c r="B51" s="3022">
        <f>B52+B53</f>
        <v>15000</v>
      </c>
      <c r="C51" s="3450">
        <f>D51/B51</f>
        <v>2666.6666666666665</v>
      </c>
      <c r="D51" s="3022">
        <f>D52+D53</f>
        <v>40000000</v>
      </c>
    </row>
    <row r="52" spans="1:4">
      <c r="A52" s="3451" t="s">
        <v>3393</v>
      </c>
      <c r="B52" s="3452">
        <v>10000</v>
      </c>
      <c r="C52" s="3452">
        <v>1500</v>
      </c>
      <c r="D52" s="3453">
        <f>C52*B52</f>
        <v>15000000</v>
      </c>
    </row>
    <row r="53" spans="1:4">
      <c r="A53" s="3451" t="s">
        <v>3394</v>
      </c>
      <c r="B53" s="3452">
        <v>5000</v>
      </c>
      <c r="C53" s="3452">
        <v>5000</v>
      </c>
      <c r="D53" s="3453">
        <f>C53*B53</f>
        <v>25000000</v>
      </c>
    </row>
    <row r="54" spans="1:4">
      <c r="A54" s="3449" t="s">
        <v>3395</v>
      </c>
      <c r="B54" s="3022">
        <f>B51</f>
        <v>15000</v>
      </c>
      <c r="C54" s="3029">
        <v>700</v>
      </c>
      <c r="D54" s="3022">
        <f t="shared" ref="D54:D55" si="5">C54*B54</f>
        <v>10500000</v>
      </c>
    </row>
    <row r="55" spans="1:4">
      <c r="A55" s="3449" t="s">
        <v>3396</v>
      </c>
      <c r="B55" s="3022">
        <f>B51</f>
        <v>15000</v>
      </c>
      <c r="C55" s="3029">
        <v>1500</v>
      </c>
      <c r="D55" s="3022">
        <f t="shared" si="5"/>
        <v>22500000</v>
      </c>
    </row>
    <row r="56" spans="1:4">
      <c r="A56" s="3449" t="s">
        <v>3397</v>
      </c>
      <c r="B56" s="3022">
        <f>B51</f>
        <v>15000</v>
      </c>
      <c r="C56" s="3454">
        <f>C51+C54+C55</f>
        <v>4866.6666666666661</v>
      </c>
      <c r="D56" s="3022">
        <f>D51+D54+D55</f>
        <v>73000000</v>
      </c>
    </row>
    <row r="58" spans="1:4">
      <c r="A58" s="3449" t="s">
        <v>3398</v>
      </c>
      <c r="B58" s="3455">
        <v>0.05</v>
      </c>
      <c r="C58" s="3022">
        <f>C56*(1+B58)</f>
        <v>5110</v>
      </c>
      <c r="D58" s="3022">
        <f>D56*B58</f>
        <v>3650000</v>
      </c>
    </row>
    <row r="60" spans="1:4">
      <c r="A60" s="3449" t="s">
        <v>3399</v>
      </c>
      <c r="B60" s="3029">
        <v>3500</v>
      </c>
      <c r="C60" s="3029">
        <f>C53</f>
        <v>5000</v>
      </c>
      <c r="D60" s="3022">
        <f>C60*B60</f>
        <v>17500000</v>
      </c>
    </row>
    <row r="62" spans="1:4">
      <c r="A62" s="3449" t="s">
        <v>3400</v>
      </c>
      <c r="B62" s="3029">
        <f>B51</f>
        <v>15000</v>
      </c>
      <c r="C62" s="3456">
        <f>D62/B62</f>
        <v>6276.666666666667</v>
      </c>
      <c r="D62" s="3029">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D4" sqref="D4"/>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20" t="str">
        <f>IF(B10="北京市","北京市",C10)&amp;F10&amp;IF(结果表!G1="在建","出让国有建设用地使用权及在建建筑物",IF(结果表!G1="土地","出让国有建设用地使用权",))&amp;B9&amp;"预评估"</f>
        <v>预评估</v>
      </c>
      <c r="C1" s="3521"/>
      <c r="D1" s="3521"/>
      <c r="E1" s="3521"/>
      <c r="F1" s="3521"/>
      <c r="G1" s="3521"/>
      <c r="H1" s="3521"/>
      <c r="I1" s="3522"/>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房地产</v>
      </c>
      <c r="T2" s="1745"/>
      <c r="U2" s="1745"/>
      <c r="V2" s="1745"/>
      <c r="W2" s="1745"/>
      <c r="X2" s="1745"/>
      <c r="Y2" s="1745"/>
      <c r="Z2" s="1745"/>
      <c r="AA2" s="1745"/>
      <c r="AB2" s="1745"/>
    </row>
    <row r="3" spans="1:30">
      <c r="A3" s="302" t="s">
        <v>2170</v>
      </c>
      <c r="B3" s="2373"/>
      <c r="C3" s="2374" t="s">
        <v>2171</v>
      </c>
      <c r="D3" s="2373">
        <v>45861</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c r="C8" s="2390"/>
      <c r="D8" s="3523" t="s">
        <v>2177</v>
      </c>
      <c r="E8" s="2391"/>
      <c r="F8" s="2392"/>
      <c r="G8" s="2663"/>
      <c r="H8" s="2663"/>
      <c r="I8" s="2663"/>
      <c r="J8" s="2439"/>
      <c r="K8" s="2614"/>
      <c r="L8" s="2613"/>
      <c r="M8" s="2613"/>
      <c r="N8" s="2439"/>
      <c r="O8" s="2450"/>
      <c r="P8" s="2439"/>
      <c r="Q8" s="2439"/>
      <c r="R8" s="2439"/>
    </row>
    <row r="9" spans="1:30" ht="13.5" thickBot="1">
      <c r="A9" s="2393" t="s">
        <v>2178</v>
      </c>
      <c r="B9" s="2394"/>
      <c r="C9" s="2395"/>
      <c r="D9" s="3524"/>
      <c r="E9" s="2394"/>
      <c r="F9" s="2396"/>
      <c r="G9" s="2665"/>
      <c r="H9" s="2665"/>
      <c r="I9" s="2665"/>
      <c r="J9" s="2439"/>
      <c r="K9" s="2616"/>
      <c r="L9" s="2613"/>
      <c r="M9" s="2613"/>
      <c r="N9" s="2439"/>
      <c r="O9" s="2450"/>
      <c r="P9" s="2439"/>
      <c r="Q9" s="2439"/>
      <c r="R9" s="2439"/>
    </row>
    <row r="10" spans="1:30" ht="13.5" thickTop="1">
      <c r="A10" s="2397" t="s">
        <v>2179</v>
      </c>
      <c r="B10" s="2398"/>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2576</v>
      </c>
      <c r="J12" s="3062"/>
      <c r="K12" s="2613"/>
      <c r="L12" s="2613"/>
      <c r="M12" s="2439"/>
      <c r="N12" s="2450"/>
      <c r="O12" s="2439"/>
      <c r="P12" s="2439"/>
      <c r="Q12" s="2439"/>
      <c r="AD12" s="1745"/>
    </row>
    <row r="13" spans="1:30">
      <c r="A13" s="3423" t="s">
        <v>3332</v>
      </c>
      <c r="B13" s="2407" t="s">
        <v>2190</v>
      </c>
      <c r="C13" s="856"/>
      <c r="D13" s="856"/>
      <c r="E13" s="856"/>
      <c r="F13" s="856"/>
      <c r="G13" s="856"/>
      <c r="H13" s="856"/>
      <c r="I13" s="856"/>
      <c r="J13" s="3062"/>
      <c r="K13" s="2613"/>
      <c r="L13" s="2613"/>
      <c r="M13" s="2439"/>
      <c r="N13" s="2450"/>
      <c r="O13" s="2439"/>
      <c r="P13" s="2439"/>
      <c r="Q13" s="2439"/>
      <c r="AD13" s="1745"/>
    </row>
    <row r="14" spans="1:30">
      <c r="A14" s="1081"/>
      <c r="B14" s="2407" t="s">
        <v>2191</v>
      </c>
      <c r="C14" s="2408"/>
      <c r="D14" s="2408"/>
      <c r="E14" s="2408"/>
      <c r="F14" s="2408"/>
      <c r="G14" s="2408"/>
      <c r="H14" s="2408"/>
      <c r="I14" s="2408"/>
      <c r="J14" s="3063"/>
      <c r="K14" s="2613"/>
      <c r="L14" s="2613"/>
      <c r="M14" s="2439"/>
      <c r="N14" s="2450"/>
      <c r="O14" s="2439"/>
      <c r="P14" s="2439"/>
      <c r="Q14" s="2439"/>
      <c r="AD14" s="1745"/>
    </row>
    <row r="15" spans="1:30">
      <c r="A15" s="320"/>
      <c r="B15" s="2409" t="s">
        <v>2192</v>
      </c>
      <c r="C15" s="2410" t="str">
        <f>IF(A13="出让",IF(C13="","",ROUNDDOWN(MIN((C13-$D$3)/365,C14),2)),C14)</f>
        <v/>
      </c>
      <c r="D15" s="2410" t="str">
        <f>IF(A13="出让",IF(D13="","",ROUNDDOWN(MIN((D13-$D$3)/365,D14),2)),D14)</f>
        <v/>
      </c>
      <c r="E15" s="2410" t="str">
        <f>IF(A13="出让",IF(E13="","",ROUNDDOWN(MIN((E13-$D$3)/365,E14),2)),E14)</f>
        <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2193</v>
      </c>
      <c r="B16" s="3530"/>
      <c r="C16" s="3531"/>
      <c r="D16" s="3532"/>
      <c r="E16" s="2413" t="s">
        <v>2194</v>
      </c>
      <c r="F16" s="3533"/>
      <c r="G16" s="3534"/>
      <c r="H16" s="3534"/>
      <c r="I16" s="3535"/>
      <c r="J16" s="2439"/>
      <c r="K16" s="2617"/>
      <c r="L16" s="2451"/>
      <c r="M16" s="2451"/>
      <c r="N16" s="2509"/>
      <c r="O16" s="2451"/>
      <c r="P16" s="2509"/>
      <c r="Q16" s="2439"/>
      <c r="R16" s="2439"/>
    </row>
    <row r="17" spans="1:28">
      <c r="A17" s="313" t="s">
        <v>2195</v>
      </c>
      <c r="B17" s="302" t="s">
        <v>2196</v>
      </c>
      <c r="C17" s="8">
        <f>'数据-汇总表'!E3</f>
        <v>0</v>
      </c>
      <c r="D17" s="2322" t="s">
        <v>2197</v>
      </c>
      <c r="E17" s="3536" t="s">
        <v>2198</v>
      </c>
      <c r="F17" s="3537"/>
      <c r="G17" s="3537"/>
      <c r="H17" s="3537"/>
      <c r="I17" s="3538"/>
      <c r="J17" s="2439"/>
      <c r="K17" s="2618"/>
      <c r="L17" s="2451"/>
      <c r="M17" s="2451"/>
      <c r="N17" s="2509"/>
      <c r="O17" s="2451"/>
      <c r="P17" s="2509"/>
      <c r="Q17" s="2439"/>
      <c r="R17" s="2439"/>
      <c r="S17" s="2439"/>
      <c r="T17" s="2439"/>
      <c r="U17" s="2439"/>
      <c r="V17" s="2439"/>
    </row>
    <row r="18" spans="1:28" ht="24.75" thickBot="1">
      <c r="A18" s="2414" t="s">
        <v>2199</v>
      </c>
      <c r="B18" s="1090" t="s">
        <v>2200</v>
      </c>
      <c r="C18" s="2415" t="e">
        <f>'数据-汇总表'!D3</f>
        <v>#DIV/0!</v>
      </c>
      <c r="D18" s="1092" t="s">
        <v>2201</v>
      </c>
      <c r="E18" s="3539" t="s">
        <v>2202</v>
      </c>
      <c r="F18" s="3540"/>
      <c r="G18" s="3540"/>
      <c r="H18" s="3540"/>
      <c r="I18" s="3541"/>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26" t="s">
        <v>2206</v>
      </c>
      <c r="C20" s="3527"/>
      <c r="D20" s="3528" t="s">
        <v>2207</v>
      </c>
      <c r="E20" s="3529"/>
      <c r="F20" s="2647" t="s">
        <v>1056</v>
      </c>
      <c r="G20" s="2664"/>
      <c r="H20" s="2664"/>
      <c r="I20" s="2664"/>
      <c r="J20" s="2439"/>
      <c r="K20" s="3525"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25"/>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25"/>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543"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543"/>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543"/>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544"/>
      <c r="B30" s="302" t="s">
        <v>2218</v>
      </c>
      <c r="C30" s="3545"/>
      <c r="D30" s="3546"/>
      <c r="E30" s="2664"/>
      <c r="F30" s="2664"/>
      <c r="G30" s="2664"/>
      <c r="H30" s="2664"/>
      <c r="I30" s="2664"/>
      <c r="J30" s="2439"/>
      <c r="K30" s="2616"/>
      <c r="L30" s="2613"/>
      <c r="M30" s="2613"/>
      <c r="N30" s="2439"/>
      <c r="O30" s="2450"/>
      <c r="P30" s="2439"/>
      <c r="Q30" s="2439"/>
      <c r="R30" s="2439"/>
      <c r="S30" s="2439"/>
      <c r="T30" s="2439"/>
      <c r="U30" s="2439"/>
      <c r="V30" s="2439"/>
    </row>
    <row r="31" spans="1:28">
      <c r="A31" s="3547"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48"/>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48"/>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542" t="s">
        <v>2228</v>
      </c>
      <c r="T34" s="2428" t="str">
        <f>NUMBERSTRING(7-K34,1)&amp;"通"</f>
        <v>七通</v>
      </c>
      <c r="U34" s="2439"/>
      <c r="V34" s="2439"/>
    </row>
    <row r="35" spans="1:30">
      <c r="A35" s="2429"/>
      <c r="B35" s="3549" t="s">
        <v>2229</v>
      </c>
      <c r="C35" s="3549"/>
      <c r="D35" s="3549"/>
      <c r="E35" s="3549"/>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42"/>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2579</v>
      </c>
      <c r="G36" s="2664"/>
      <c r="H36" s="2664"/>
      <c r="I36" s="2664"/>
      <c r="J36" s="2439"/>
      <c r="K36" s="2616"/>
      <c r="L36" s="2613"/>
      <c r="M36" s="2613"/>
      <c r="N36" s="2439"/>
      <c r="O36" s="2450"/>
      <c r="P36" s="2439"/>
      <c r="Q36" s="2439"/>
      <c r="R36" s="2439"/>
      <c r="S36" s="2439"/>
      <c r="T36" s="2439"/>
      <c r="U36" s="2439"/>
      <c r="V36" s="2439"/>
    </row>
    <row r="37" spans="1:30">
      <c r="A37" s="2630" t="s">
        <v>2230</v>
      </c>
      <c r="B37" s="2431"/>
      <c r="C37" s="2431"/>
      <c r="D37" s="2431"/>
      <c r="E37" s="2431"/>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c r="C38" s="2432"/>
      <c r="D38" s="2432"/>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I17" sqref="I17"/>
      <selection pane="topRight" activeCell="I17" sqref="I17"/>
      <selection pane="bottomLeft" activeCell="I17" sqref="I17"/>
      <selection pane="bottomRight" activeCell="I17" sqref="I17"/>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0</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0</v>
      </c>
      <c r="H5" s="13">
        <f t="shared" ref="H5:AT5" si="0">SUM(H13:H656)</f>
        <v>0</v>
      </c>
      <c r="I5" s="13">
        <f t="shared" si="0"/>
        <v>0</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0</v>
      </c>
      <c r="BA5" s="15">
        <f t="shared" si="1"/>
        <v>0</v>
      </c>
      <c r="BB5" s="15">
        <f t="shared" si="1"/>
        <v>0</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t="e">
        <f>H6+AC6+AT6</f>
        <v>#DIV/0!</v>
      </c>
      <c r="F6" s="13" t="s">
        <v>0</v>
      </c>
      <c r="G6" s="13" t="s">
        <v>1</v>
      </c>
      <c r="H6" s="17" t="e">
        <f>SUMIF(I$12:AB$12,"总值",I6:AB6)</f>
        <v>#DIV/0!</v>
      </c>
      <c r="I6" s="13" t="e">
        <f t="shared" ref="I6:AB6" si="2">ROUND($A$3*I5/$B$3,2)</f>
        <v>#DIV/0!</v>
      </c>
      <c r="J6" s="13" t="e">
        <f t="shared" si="2"/>
        <v>#DIV/0!</v>
      </c>
      <c r="K6" s="13" t="e">
        <f t="shared" si="2"/>
        <v>#DIV/0!</v>
      </c>
      <c r="L6" s="13" t="e">
        <f t="shared" si="2"/>
        <v>#DIV/0!</v>
      </c>
      <c r="M6" s="13" t="e">
        <f t="shared" si="2"/>
        <v>#DIV/0!</v>
      </c>
      <c r="N6" s="13" t="e">
        <f t="shared" si="2"/>
        <v>#DIV/0!</v>
      </c>
      <c r="O6" s="13" t="e">
        <f t="shared" si="2"/>
        <v>#DIV/0!</v>
      </c>
      <c r="P6" s="13" t="e">
        <f t="shared" si="2"/>
        <v>#DIV/0!</v>
      </c>
      <c r="Q6" s="13" t="e">
        <f t="shared" si="2"/>
        <v>#DIV/0!</v>
      </c>
      <c r="R6" s="13" t="e">
        <f t="shared" si="2"/>
        <v>#DIV/0!</v>
      </c>
      <c r="S6" s="13" t="e">
        <f t="shared" si="2"/>
        <v>#DIV/0!</v>
      </c>
      <c r="T6" s="13" t="e">
        <f t="shared" si="2"/>
        <v>#DIV/0!</v>
      </c>
      <c r="U6" s="13" t="e">
        <f t="shared" si="2"/>
        <v>#DIV/0!</v>
      </c>
      <c r="V6" s="13" t="e">
        <f t="shared" si="2"/>
        <v>#DIV/0!</v>
      </c>
      <c r="W6" s="13" t="e">
        <f t="shared" si="2"/>
        <v>#DIV/0!</v>
      </c>
      <c r="X6" s="13" t="e">
        <f t="shared" si="2"/>
        <v>#DIV/0!</v>
      </c>
      <c r="Y6" s="13" t="e">
        <f t="shared" si="2"/>
        <v>#DIV/0!</v>
      </c>
      <c r="Z6" s="13" t="e">
        <f t="shared" si="2"/>
        <v>#DIV/0!</v>
      </c>
      <c r="AA6" s="13" t="e">
        <f t="shared" si="2"/>
        <v>#DIV/0!</v>
      </c>
      <c r="AB6" s="13" t="e">
        <f t="shared" si="2"/>
        <v>#DIV/0!</v>
      </c>
      <c r="AC6" s="17" t="e">
        <f>SUMIF(AD$12:AS$12,"总值",AD6:AS6)</f>
        <v>#DIV/0!</v>
      </c>
      <c r="AD6" s="13" t="e">
        <f t="shared" ref="AD6:AS6" si="3">ROUND($A$3*AD5/$B$3,2)</f>
        <v>#DIV/0!</v>
      </c>
      <c r="AE6" s="13" t="e">
        <f t="shared" si="3"/>
        <v>#DIV/0!</v>
      </c>
      <c r="AF6" s="13" t="e">
        <f t="shared" si="3"/>
        <v>#DIV/0!</v>
      </c>
      <c r="AG6" s="13" t="e">
        <f t="shared" si="3"/>
        <v>#DIV/0!</v>
      </c>
      <c r="AH6" s="13" t="e">
        <f t="shared" si="3"/>
        <v>#DIV/0!</v>
      </c>
      <c r="AI6" s="13" t="e">
        <f t="shared" si="3"/>
        <v>#DIV/0!</v>
      </c>
      <c r="AJ6" s="13" t="e">
        <f t="shared" si="3"/>
        <v>#DIV/0!</v>
      </c>
      <c r="AK6" s="13" t="e">
        <f t="shared" si="3"/>
        <v>#DIV/0!</v>
      </c>
      <c r="AL6" s="13" t="e">
        <f t="shared" si="3"/>
        <v>#DIV/0!</v>
      </c>
      <c r="AM6" s="13" t="e">
        <f t="shared" si="3"/>
        <v>#DIV/0!</v>
      </c>
      <c r="AN6" s="13" t="e">
        <f t="shared" si="3"/>
        <v>#DIV/0!</v>
      </c>
      <c r="AO6" s="13" t="e">
        <f t="shared" si="3"/>
        <v>#DIV/0!</v>
      </c>
      <c r="AP6" s="13" t="e">
        <f t="shared" si="3"/>
        <v>#DIV/0!</v>
      </c>
      <c r="AQ6" s="13" t="e">
        <f t="shared" si="3"/>
        <v>#DIV/0!</v>
      </c>
      <c r="AR6" s="13" t="e">
        <f t="shared" si="3"/>
        <v>#DIV/0!</v>
      </c>
      <c r="AS6" s="13" t="e">
        <f t="shared" si="3"/>
        <v>#DIV/0!</v>
      </c>
      <c r="AT6" s="17">
        <f>IF(C3="是",ROUND($A$3*AT5/$B$3,2),0)</f>
        <v>0</v>
      </c>
      <c r="AU6" s="1588"/>
      <c r="AV6" s="12" t="s">
        <v>1072</v>
      </c>
      <c r="AW6" s="1586"/>
      <c r="AX6" s="1586"/>
      <c r="AY6" s="18" t="e">
        <f>IF(AY3&gt;0,AY3,ROUND($A$3*AZ5/$B$3,2))</f>
        <v>#DIV/0!</v>
      </c>
      <c r="AZ6" s="13" t="s">
        <v>2</v>
      </c>
      <c r="BA6" s="13" t="e">
        <f>ROUND($AY$6*BA5/$AZ$5,2)</f>
        <v>#DIV/0!</v>
      </c>
      <c r="BB6" s="13" t="e">
        <f>ROUND($AY$6*BB5/$AZ$5,2)</f>
        <v>#DIV/0!</v>
      </c>
      <c r="BC6" s="13" t="e">
        <f t="shared" ref="BC6:BH6" si="4">ROUND($AY$6*BC5/$AZ$5,2)</f>
        <v>#DIV/0!</v>
      </c>
      <c r="BD6" s="13" t="e">
        <f t="shared" si="4"/>
        <v>#DIV/0!</v>
      </c>
      <c r="BE6" s="13" t="e">
        <f t="shared" si="4"/>
        <v>#DIV/0!</v>
      </c>
      <c r="BF6" s="13" t="e">
        <f t="shared" si="4"/>
        <v>#DIV/0!</v>
      </c>
      <c r="BG6" s="13" t="e">
        <f t="shared" si="4"/>
        <v>#DIV/0!</v>
      </c>
      <c r="BH6" s="13" t="e">
        <f t="shared" si="4"/>
        <v>#DIV/0!</v>
      </c>
      <c r="BI6" s="13" t="e">
        <f t="shared" ref="BI6:BT6" si="5">ROUND($AY$6*BI5/$AZ$5,2)</f>
        <v>#DIV/0!</v>
      </c>
      <c r="BJ6" s="13" t="e">
        <f t="shared" si="5"/>
        <v>#DIV/0!</v>
      </c>
      <c r="BK6" s="13" t="e">
        <f t="shared" si="5"/>
        <v>#DIV/0!</v>
      </c>
      <c r="BL6" s="13" t="e">
        <f t="shared" si="5"/>
        <v>#DIV/0!</v>
      </c>
      <c r="BM6" s="13" t="e">
        <f t="shared" si="5"/>
        <v>#DIV/0!</v>
      </c>
      <c r="BN6" s="13" t="e">
        <f t="shared" si="5"/>
        <v>#DIV/0!</v>
      </c>
      <c r="BO6" s="13" t="e">
        <f t="shared" si="5"/>
        <v>#DIV/0!</v>
      </c>
      <c r="BP6" s="13" t="e">
        <f t="shared" si="5"/>
        <v>#DIV/0!</v>
      </c>
      <c r="BQ6" s="13" t="e">
        <f t="shared" si="5"/>
        <v>#DIV/0!</v>
      </c>
      <c r="BR6" s="13" t="e">
        <f t="shared" si="5"/>
        <v>#DIV/0!</v>
      </c>
      <c r="BS6" s="13" t="e">
        <f t="shared" si="5"/>
        <v>#DIV/0!</v>
      </c>
      <c r="BT6" s="19" t="e">
        <f t="shared" si="5"/>
        <v>#DIV/0!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f>I9</f>
        <v>0</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f>I10</f>
        <v>0</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c r="D13" s="1625"/>
      <c r="E13" s="13" t="e">
        <f>IF($C$3="是",ROUND($A$3*G13/$B$3,2),ROUND($A$3*(G13-AT13)/$B$3,2))</f>
        <v>#DIV/0!</v>
      </c>
      <c r="F13" s="29"/>
      <c r="G13" s="30">
        <f>H13+AC13+AT13</f>
        <v>0</v>
      </c>
      <c r="H13" s="17">
        <f>SUMIF(I$12:AB$12,"总值",I13:AB13)</f>
        <v>0</v>
      </c>
      <c r="I13" s="1626"/>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t="e">
        <f>ROUND($AY$6*AZ13/$AZ$5,2)</f>
        <v>#DIV/0!</v>
      </c>
      <c r="AZ13" s="13">
        <f>BA13+BL13</f>
        <v>0</v>
      </c>
      <c r="BA13" s="13">
        <f>SUM(BB13:BK13)</f>
        <v>0</v>
      </c>
      <c r="BB13" s="13">
        <f>IF($D13="是",I13-J13,0)</f>
        <v>0</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t="e">
        <f>IF($C$3="是",ROUND($A$3*G14/$B$3,2),ROUND($A$3*(G14-AT14)/$B$3,2))</f>
        <v>#DIV/0!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t="e">
        <f>ROUND($AY$6*AZ14/$AZ$5,2)</f>
        <v>#DIV/0!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t="e">
        <f>IF($C$3="是",ROUND($A$3*G15/$B$3,2),ROUND($A$3*(G15-AT15)/$B$3,2))</f>
        <v>#DIV/0!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t="e">
        <f>ROUND($AY$6*AZ15/$AZ$5,2)</f>
        <v>#DIV/0!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t="e">
        <f>IF($C$3="是",ROUND($A$3*G16/$B$3,2),ROUND($A$3*(G16-AT16)/$B$3,2))</f>
        <v>#DIV/0!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t="e">
        <f>ROUND($AY$6*AZ16/$AZ$5,2)</f>
        <v>#DIV/0!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t="e">
        <f>IF($C$3="是",ROUND($A$3*G17/$B$3,2),ROUND($A$3*(G17-AT17)/$B$3,2))</f>
        <v>#DIV/0!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t="e">
        <f>ROUND($AY$6*AZ17/$AZ$5,2)</f>
        <v>#DIV/0!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t="e">
        <f t="shared" ref="E18:E112" si="7">IF($C$3="是",ROUND($A$3*G18/$B$3,2),ROUND($A$3*(G18-AT18)/$B$3,2))</f>
        <v>#DIV/0!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t="e">
        <f t="shared" ref="AY18:AY109" si="14">ROUND($AY$6*AZ18/$AZ$5,2)</f>
        <v>#DIV/0!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t="e">
        <f t="shared" si="7"/>
        <v>#DIV/0!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t="e">
        <f t="shared" si="14"/>
        <v>#DIV/0!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t="e">
        <f t="shared" si="7"/>
        <v>#DIV/0!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t="e">
        <f t="shared" si="14"/>
        <v>#DIV/0!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t="e">
        <f t="shared" si="7"/>
        <v>#DIV/0!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t="e">
        <f t="shared" si="14"/>
        <v>#DIV/0!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t="e">
        <f t="shared" si="7"/>
        <v>#DIV/0!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t="e">
        <f t="shared" si="14"/>
        <v>#DIV/0!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t="e">
        <f t="shared" si="7"/>
        <v>#DIV/0!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t="e">
        <f t="shared" si="14"/>
        <v>#DIV/0!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t="e">
        <f t="shared" si="7"/>
        <v>#DIV/0!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t="e">
        <f t="shared" si="14"/>
        <v>#DIV/0!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t="e">
        <f t="shared" si="7"/>
        <v>#DIV/0!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t="e">
        <f t="shared" si="14"/>
        <v>#DIV/0!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t="e">
        <f t="shared" si="7"/>
        <v>#DIV/0!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t="e">
        <f t="shared" si="14"/>
        <v>#DIV/0!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t="e">
        <f t="shared" si="7"/>
        <v>#DIV/0!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t="e">
        <f t="shared" si="14"/>
        <v>#DIV/0!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t="e">
        <f t="shared" si="7"/>
        <v>#DIV/0!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t="e">
        <f t="shared" si="14"/>
        <v>#DIV/0!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t="e">
        <f t="shared" si="7"/>
        <v>#DIV/0!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t="e">
        <f t="shared" si="14"/>
        <v>#DIV/0!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t="e">
        <f t="shared" si="7"/>
        <v>#DIV/0!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t="e">
        <f t="shared" si="14"/>
        <v>#DIV/0!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t="e">
        <f t="shared" si="7"/>
        <v>#DIV/0!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t="e">
        <f t="shared" si="14"/>
        <v>#DIV/0!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t="e">
        <f t="shared" si="7"/>
        <v>#DIV/0!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t="e">
        <f t="shared" si="14"/>
        <v>#DIV/0!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t="e">
        <f t="shared" si="7"/>
        <v>#DIV/0!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t="e">
        <f t="shared" si="14"/>
        <v>#DIV/0!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t="e">
        <f t="shared" si="7"/>
        <v>#DIV/0!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t="e">
        <f t="shared" si="14"/>
        <v>#DIV/0!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t="e">
        <f t="shared" si="7"/>
        <v>#DIV/0!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t="e">
        <f t="shared" si="14"/>
        <v>#DIV/0!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t="e">
        <f t="shared" si="7"/>
        <v>#DIV/0!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t="e">
        <f t="shared" si="14"/>
        <v>#DIV/0!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t="e">
        <f t="shared" si="7"/>
        <v>#DIV/0!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t="e">
        <f t="shared" si="14"/>
        <v>#DIV/0!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t="e">
        <f t="shared" si="7"/>
        <v>#DIV/0!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t="e">
        <f t="shared" si="14"/>
        <v>#DIV/0!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t="e">
        <f t="shared" si="7"/>
        <v>#DIV/0!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t="e">
        <f t="shared" si="14"/>
        <v>#DIV/0!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t="e">
        <f t="shared" si="7"/>
        <v>#DIV/0!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t="e">
        <f t="shared" si="14"/>
        <v>#DIV/0!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t="e">
        <f t="shared" si="7"/>
        <v>#DIV/0!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t="e">
        <f t="shared" si="14"/>
        <v>#DIV/0!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t="e">
        <f t="shared" si="7"/>
        <v>#DIV/0!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t="e">
        <f t="shared" si="14"/>
        <v>#DIV/0!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t="e">
        <f t="shared" si="7"/>
        <v>#DIV/0!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t="e">
        <f t="shared" si="14"/>
        <v>#DIV/0!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t="e">
        <f t="shared" si="7"/>
        <v>#DIV/0!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t="e">
        <f t="shared" si="14"/>
        <v>#DIV/0!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t="e">
        <f t="shared" si="7"/>
        <v>#DIV/0!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t="e">
        <f t="shared" si="14"/>
        <v>#DIV/0!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t="e">
        <f t="shared" si="7"/>
        <v>#DIV/0!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t="e">
        <f t="shared" si="14"/>
        <v>#DIV/0!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t="e">
        <f t="shared" si="7"/>
        <v>#DIV/0!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t="e">
        <f t="shared" si="14"/>
        <v>#DIV/0!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t="e">
        <f t="shared" si="7"/>
        <v>#DIV/0!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t="e">
        <f t="shared" si="14"/>
        <v>#DIV/0!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t="e">
        <f t="shared" si="7"/>
        <v>#DIV/0!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t="e">
        <f t="shared" si="14"/>
        <v>#DIV/0!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t="e">
        <f t="shared" si="7"/>
        <v>#DIV/0!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t="e">
        <f t="shared" si="14"/>
        <v>#DIV/0!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t="e">
        <f t="shared" si="7"/>
        <v>#DIV/0!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t="e">
        <f t="shared" si="14"/>
        <v>#DIV/0!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t="e">
        <f t="shared" si="7"/>
        <v>#DIV/0!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t="e">
        <f t="shared" si="14"/>
        <v>#DIV/0!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t="e">
        <f t="shared" si="7"/>
        <v>#DIV/0!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t="e">
        <f t="shared" si="14"/>
        <v>#DIV/0!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t="e">
        <f t="shared" si="7"/>
        <v>#DIV/0!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t="e">
        <f t="shared" si="14"/>
        <v>#DIV/0!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t="e">
        <f t="shared" si="7"/>
        <v>#DIV/0!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t="e">
        <f t="shared" si="14"/>
        <v>#DIV/0!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t="e">
        <f t="shared" si="7"/>
        <v>#DIV/0!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t="e">
        <f t="shared" si="14"/>
        <v>#DIV/0!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t="e">
        <f t="shared" si="7"/>
        <v>#DIV/0!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t="e">
        <f t="shared" si="14"/>
        <v>#DIV/0!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t="e">
        <f t="shared" si="7"/>
        <v>#DIV/0!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t="e">
        <f t="shared" si="14"/>
        <v>#DIV/0!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t="e">
        <f t="shared" si="7"/>
        <v>#DIV/0!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t="e">
        <f t="shared" si="14"/>
        <v>#DIV/0!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t="e">
        <f t="shared" si="7"/>
        <v>#DIV/0!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t="e">
        <f t="shared" si="14"/>
        <v>#DIV/0!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t="e">
        <f t="shared" si="7"/>
        <v>#DIV/0!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t="e">
        <f t="shared" si="14"/>
        <v>#DIV/0!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t="e">
        <f t="shared" si="7"/>
        <v>#DIV/0!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t="e">
        <f t="shared" si="14"/>
        <v>#DIV/0!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t="e">
        <f t="shared" si="7"/>
        <v>#DIV/0!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t="e">
        <f t="shared" si="14"/>
        <v>#DIV/0!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t="e">
        <f t="shared" si="7"/>
        <v>#DIV/0!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t="e">
        <f t="shared" si="14"/>
        <v>#DIV/0!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t="e">
        <f t="shared" si="7"/>
        <v>#DIV/0!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t="e">
        <f t="shared" si="14"/>
        <v>#DIV/0!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t="e">
        <f t="shared" si="7"/>
        <v>#DIV/0!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t="e">
        <f t="shared" si="14"/>
        <v>#DIV/0!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t="e">
        <f t="shared" si="7"/>
        <v>#DIV/0!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t="e">
        <f t="shared" si="14"/>
        <v>#DIV/0!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t="e">
        <f t="shared" si="7"/>
        <v>#DIV/0!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t="e">
        <f t="shared" si="14"/>
        <v>#DIV/0!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t="e">
        <f t="shared" si="7"/>
        <v>#DIV/0!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t="e">
        <f t="shared" si="14"/>
        <v>#DIV/0!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t="e">
        <f t="shared" si="7"/>
        <v>#DIV/0!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t="e">
        <f t="shared" si="14"/>
        <v>#DIV/0!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t="e">
        <f t="shared" si="7"/>
        <v>#DIV/0!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t="e">
        <f t="shared" si="14"/>
        <v>#DIV/0!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t="e">
        <f t="shared" si="7"/>
        <v>#DIV/0!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t="e">
        <f t="shared" si="14"/>
        <v>#DIV/0!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t="e">
        <f t="shared" si="7"/>
        <v>#DIV/0!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t="e">
        <f t="shared" si="14"/>
        <v>#DIV/0!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t="e">
        <f t="shared" si="7"/>
        <v>#DIV/0!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t="e">
        <f t="shared" si="14"/>
        <v>#DIV/0!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t="e">
        <f t="shared" si="7"/>
        <v>#DIV/0!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t="e">
        <f t="shared" si="14"/>
        <v>#DIV/0!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t="e">
        <f t="shared" si="7"/>
        <v>#DIV/0!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t="e">
        <f t="shared" si="14"/>
        <v>#DIV/0!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t="e">
        <f t="shared" si="7"/>
        <v>#DIV/0!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t="e">
        <f t="shared" si="14"/>
        <v>#DIV/0!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t="e">
        <f t="shared" si="7"/>
        <v>#DIV/0!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t="e">
        <f t="shared" si="14"/>
        <v>#DIV/0!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t="e">
        <f t="shared" si="7"/>
        <v>#DIV/0!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t="e">
        <f t="shared" si="14"/>
        <v>#DIV/0!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t="e">
        <f t="shared" si="7"/>
        <v>#DIV/0!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t="e">
        <f t="shared" si="14"/>
        <v>#DIV/0!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t="e">
        <f t="shared" si="7"/>
        <v>#DIV/0!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t="e">
        <f t="shared" si="14"/>
        <v>#DIV/0!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t="e">
        <f t="shared" si="7"/>
        <v>#DIV/0!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t="e">
        <f t="shared" si="14"/>
        <v>#DIV/0!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t="e">
        <f t="shared" si="7"/>
        <v>#DIV/0!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t="e">
        <f t="shared" si="14"/>
        <v>#DIV/0!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t="e">
        <f t="shared" si="7"/>
        <v>#DIV/0!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t="e">
        <f t="shared" si="14"/>
        <v>#DIV/0!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t="e">
        <f t="shared" si="7"/>
        <v>#DIV/0!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t="e">
        <f t="shared" si="14"/>
        <v>#DIV/0!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t="e">
        <f t="shared" si="7"/>
        <v>#DIV/0!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t="e">
        <f t="shared" si="14"/>
        <v>#DIV/0!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t="e">
        <f t="shared" si="7"/>
        <v>#DIV/0!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t="e">
        <f t="shared" si="14"/>
        <v>#DIV/0!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t="e">
        <f t="shared" si="7"/>
        <v>#DIV/0!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t="e">
        <f t="shared" si="14"/>
        <v>#DIV/0!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t="e">
        <f t="shared" si="7"/>
        <v>#DIV/0!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t="e">
        <f t="shared" si="14"/>
        <v>#DIV/0!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t="e">
        <f t="shared" si="7"/>
        <v>#DIV/0!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t="e">
        <f t="shared" si="14"/>
        <v>#DIV/0!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t="e">
        <f t="shared" si="7"/>
        <v>#DIV/0!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t="e">
        <f t="shared" si="14"/>
        <v>#DIV/0!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t="e">
        <f t="shared" si="7"/>
        <v>#DIV/0!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t="e">
        <f t="shared" si="14"/>
        <v>#DIV/0!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t="e">
        <f t="shared" si="7"/>
        <v>#DIV/0!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t="e">
        <f t="shared" si="14"/>
        <v>#DIV/0!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t="e">
        <f t="shared" si="7"/>
        <v>#DIV/0!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t="e">
        <f t="shared" si="14"/>
        <v>#DIV/0!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t="e">
        <f t="shared" si="7"/>
        <v>#DIV/0!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t="e">
        <f t="shared" si="14"/>
        <v>#DIV/0!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t="e">
        <f t="shared" si="7"/>
        <v>#DIV/0!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t="e">
        <f t="shared" si="14"/>
        <v>#DIV/0!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t="e">
        <f t="shared" si="7"/>
        <v>#DIV/0!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t="e">
        <f t="shared" si="14"/>
        <v>#DIV/0!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t="e">
        <f t="shared" si="7"/>
        <v>#DIV/0!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t="e">
        <f t="shared" si="14"/>
        <v>#DIV/0!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t="e">
        <f t="shared" si="7"/>
        <v>#DIV/0!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t="e">
        <f t="shared" si="14"/>
        <v>#DIV/0!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t="e">
        <f t="shared" si="7"/>
        <v>#DIV/0!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t="e">
        <f t="shared" si="14"/>
        <v>#DIV/0!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t="e">
        <f t="shared" si="7"/>
        <v>#DIV/0!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t="e">
        <f t="shared" si="14"/>
        <v>#DIV/0!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t="e">
        <f t="shared" si="7"/>
        <v>#DIV/0!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t="e">
        <f t="shared" si="14"/>
        <v>#DIV/0!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t="e">
        <f t="shared" si="7"/>
        <v>#DIV/0!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t="e">
        <f t="shared" si="14"/>
        <v>#DIV/0!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t="e">
        <f t="shared" si="7"/>
        <v>#DIV/0!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t="e">
        <f t="shared" si="14"/>
        <v>#DIV/0!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t="e">
        <f t="shared" si="7"/>
        <v>#DIV/0!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t="e">
        <f t="shared" si="14"/>
        <v>#DIV/0!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t="e">
        <f t="shared" si="7"/>
        <v>#DIV/0!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t="e">
        <f t="shared" si="14"/>
        <v>#DIV/0!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t="e">
        <f t="shared" si="7"/>
        <v>#DIV/0!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t="e">
        <f t="shared" si="14"/>
        <v>#DIV/0!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t="e">
        <f t="shared" si="7"/>
        <v>#DIV/0!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t="e">
        <f t="shared" si="14"/>
        <v>#DIV/0!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t="e">
        <f t="shared" si="7"/>
        <v>#DIV/0!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t="e">
        <f t="shared" si="14"/>
        <v>#DIV/0!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t="e">
        <f t="shared" si="7"/>
        <v>#DIV/0!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t="e">
        <f t="shared" ref="AY110:AY141" si="39">ROUND($AY$6*AZ110/$AZ$5,2)</f>
        <v>#DIV/0!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t="e">
        <f t="shared" si="7"/>
        <v>#DIV/0!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t="e">
        <f t="shared" si="39"/>
        <v>#DIV/0!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t="e">
        <f t="shared" si="7"/>
        <v>#DIV/0!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t="e">
        <f t="shared" si="39"/>
        <v>#DIV/0!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t="e">
        <f t="shared" ref="E113:E144" si="61">IF($C$3="是",ROUND($A$3*G113/$B$3,2),ROUND($A$3*(G113-AT113)/$B$3,2))</f>
        <v>#DIV/0!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t="e">
        <f t="shared" si="39"/>
        <v>#DIV/0!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t="e">
        <f t="shared" si="61"/>
        <v>#DIV/0!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t="e">
        <f t="shared" si="39"/>
        <v>#DIV/0!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t="e">
        <f t="shared" si="61"/>
        <v>#DIV/0!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t="e">
        <f t="shared" si="39"/>
        <v>#DIV/0!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t="e">
        <f t="shared" si="61"/>
        <v>#DIV/0!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t="e">
        <f t="shared" si="39"/>
        <v>#DIV/0!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t="e">
        <f t="shared" si="61"/>
        <v>#DIV/0!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t="e">
        <f t="shared" si="39"/>
        <v>#DIV/0!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t="e">
        <f t="shared" si="61"/>
        <v>#DIV/0!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t="e">
        <f t="shared" si="39"/>
        <v>#DIV/0!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t="e">
        <f t="shared" si="61"/>
        <v>#DIV/0!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t="e">
        <f t="shared" si="39"/>
        <v>#DIV/0!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t="e">
        <f t="shared" si="61"/>
        <v>#DIV/0!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t="e">
        <f t="shared" si="39"/>
        <v>#DIV/0!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t="e">
        <f t="shared" si="61"/>
        <v>#DIV/0!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t="e">
        <f t="shared" si="39"/>
        <v>#DIV/0!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t="e">
        <f t="shared" si="61"/>
        <v>#DIV/0!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t="e">
        <f t="shared" si="39"/>
        <v>#DIV/0!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t="e">
        <f t="shared" si="61"/>
        <v>#DIV/0!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t="e">
        <f t="shared" si="39"/>
        <v>#DIV/0!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t="e">
        <f t="shared" si="61"/>
        <v>#DIV/0!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t="e">
        <f t="shared" si="39"/>
        <v>#DIV/0!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t="e">
        <f t="shared" si="61"/>
        <v>#DIV/0!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t="e">
        <f t="shared" si="39"/>
        <v>#DIV/0!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t="e">
        <f t="shared" si="61"/>
        <v>#DIV/0!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t="e">
        <f t="shared" si="39"/>
        <v>#DIV/0!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t="e">
        <f t="shared" si="61"/>
        <v>#DIV/0!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t="e">
        <f t="shared" si="39"/>
        <v>#DIV/0!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t="e">
        <f t="shared" si="61"/>
        <v>#DIV/0!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t="e">
        <f t="shared" si="39"/>
        <v>#DIV/0!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t="e">
        <f t="shared" si="61"/>
        <v>#DIV/0!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t="e">
        <f t="shared" si="39"/>
        <v>#DIV/0!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t="e">
        <f t="shared" si="61"/>
        <v>#DIV/0!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t="e">
        <f t="shared" si="39"/>
        <v>#DIV/0!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t="e">
        <f t="shared" si="61"/>
        <v>#DIV/0!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t="e">
        <f t="shared" si="39"/>
        <v>#DIV/0!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t="e">
        <f t="shared" si="61"/>
        <v>#DIV/0!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t="e">
        <f t="shared" si="39"/>
        <v>#DIV/0!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t="e">
        <f t="shared" si="61"/>
        <v>#DIV/0!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t="e">
        <f t="shared" si="39"/>
        <v>#DIV/0!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t="e">
        <f t="shared" si="61"/>
        <v>#DIV/0!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t="e">
        <f t="shared" si="39"/>
        <v>#DIV/0!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t="e">
        <f t="shared" si="61"/>
        <v>#DIV/0!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t="e">
        <f t="shared" si="39"/>
        <v>#DIV/0!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t="e">
        <f t="shared" si="61"/>
        <v>#DIV/0!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t="e">
        <f t="shared" si="39"/>
        <v>#DIV/0!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t="e">
        <f t="shared" si="61"/>
        <v>#DIV/0!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t="e">
        <f t="shared" si="39"/>
        <v>#DIV/0!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t="e">
        <f t="shared" si="61"/>
        <v>#DIV/0!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t="e">
        <f t="shared" si="39"/>
        <v>#DIV/0!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t="e">
        <f t="shared" si="61"/>
        <v>#DIV/0!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t="e">
        <f t="shared" si="39"/>
        <v>#DIV/0!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t="e">
        <f t="shared" si="61"/>
        <v>#DIV/0!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t="e">
        <f t="shared" si="39"/>
        <v>#DIV/0!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t="e">
        <f t="shared" si="61"/>
        <v>#DIV/0!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t="e">
        <f t="shared" si="39"/>
        <v>#DIV/0!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t="e">
        <f t="shared" si="61"/>
        <v>#DIV/0!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t="e">
        <f t="shared" ref="AY142:AY173" si="68">ROUND($AY$6*AZ142/$AZ$5,2)</f>
        <v>#DIV/0!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t="e">
        <f t="shared" si="61"/>
        <v>#DIV/0!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t="e">
        <f t="shared" si="68"/>
        <v>#DIV/0!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t="e">
        <f t="shared" si="61"/>
        <v>#DIV/0!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t="e">
        <f t="shared" si="68"/>
        <v>#DIV/0!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t="e">
        <f t="shared" ref="E145:E176" si="90">IF($C$3="是",ROUND($A$3*G145/$B$3,2),ROUND($A$3*(G145-AT145)/$B$3,2))</f>
        <v>#DIV/0!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t="e">
        <f t="shared" si="68"/>
        <v>#DIV/0!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t="e">
        <f t="shared" si="90"/>
        <v>#DIV/0!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t="e">
        <f t="shared" si="68"/>
        <v>#DIV/0!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t="e">
        <f t="shared" si="90"/>
        <v>#DIV/0!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t="e">
        <f t="shared" si="68"/>
        <v>#DIV/0!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t="e">
        <f t="shared" si="90"/>
        <v>#DIV/0!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t="e">
        <f t="shared" si="68"/>
        <v>#DIV/0!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t="e">
        <f t="shared" si="90"/>
        <v>#DIV/0!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t="e">
        <f t="shared" si="68"/>
        <v>#DIV/0!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t="e">
        <f t="shared" si="90"/>
        <v>#DIV/0!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t="e">
        <f t="shared" si="68"/>
        <v>#DIV/0!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t="e">
        <f t="shared" si="90"/>
        <v>#DIV/0!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t="e">
        <f t="shared" si="68"/>
        <v>#DIV/0!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t="e">
        <f t="shared" si="90"/>
        <v>#DIV/0!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t="e">
        <f t="shared" si="68"/>
        <v>#DIV/0!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t="e">
        <f t="shared" si="90"/>
        <v>#DIV/0!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t="e">
        <f t="shared" si="68"/>
        <v>#DIV/0!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t="e">
        <f t="shared" si="90"/>
        <v>#DIV/0!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t="e">
        <f t="shared" si="68"/>
        <v>#DIV/0!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t="e">
        <f t="shared" si="90"/>
        <v>#DIV/0!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t="e">
        <f t="shared" si="68"/>
        <v>#DIV/0!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t="e">
        <f t="shared" si="90"/>
        <v>#DIV/0!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t="e">
        <f t="shared" si="68"/>
        <v>#DIV/0!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t="e">
        <f t="shared" si="90"/>
        <v>#DIV/0!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t="e">
        <f t="shared" si="68"/>
        <v>#DIV/0!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t="e">
        <f t="shared" si="90"/>
        <v>#DIV/0!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t="e">
        <f t="shared" si="68"/>
        <v>#DIV/0!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t="e">
        <f t="shared" si="90"/>
        <v>#DIV/0!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t="e">
        <f t="shared" si="68"/>
        <v>#DIV/0!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t="e">
        <f t="shared" si="90"/>
        <v>#DIV/0!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t="e">
        <f t="shared" si="68"/>
        <v>#DIV/0!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t="e">
        <f t="shared" si="90"/>
        <v>#DIV/0!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t="e">
        <f t="shared" si="68"/>
        <v>#DIV/0!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t="e">
        <f t="shared" si="90"/>
        <v>#DIV/0!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t="e">
        <f t="shared" si="68"/>
        <v>#DIV/0!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t="e">
        <f t="shared" si="90"/>
        <v>#DIV/0!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t="e">
        <f t="shared" si="68"/>
        <v>#DIV/0!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t="e">
        <f t="shared" si="90"/>
        <v>#DIV/0!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t="e">
        <f t="shared" si="68"/>
        <v>#DIV/0!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t="e">
        <f t="shared" si="90"/>
        <v>#DIV/0!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t="e">
        <f t="shared" si="68"/>
        <v>#DIV/0!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t="e">
        <f t="shared" si="90"/>
        <v>#DIV/0!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t="e">
        <f t="shared" si="68"/>
        <v>#DIV/0!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t="e">
        <f t="shared" si="90"/>
        <v>#DIV/0!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t="e">
        <f t="shared" si="68"/>
        <v>#DIV/0!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t="e">
        <f t="shared" si="90"/>
        <v>#DIV/0!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t="e">
        <f t="shared" si="68"/>
        <v>#DIV/0!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t="e">
        <f t="shared" si="90"/>
        <v>#DIV/0!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t="e">
        <f t="shared" si="68"/>
        <v>#DIV/0!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t="e">
        <f t="shared" si="90"/>
        <v>#DIV/0!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t="e">
        <f t="shared" si="68"/>
        <v>#DIV/0!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t="e">
        <f t="shared" si="90"/>
        <v>#DIV/0!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t="e">
        <f t="shared" si="68"/>
        <v>#DIV/0!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t="e">
        <f t="shared" si="90"/>
        <v>#DIV/0!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t="e">
        <f t="shared" si="68"/>
        <v>#DIV/0!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t="e">
        <f t="shared" si="90"/>
        <v>#DIV/0!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t="e">
        <f t="shared" si="68"/>
        <v>#DIV/0!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t="e">
        <f t="shared" si="90"/>
        <v>#DIV/0!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t="e">
        <f t="shared" ref="AY174:AY205" si="97">ROUND($AY$6*AZ174/$AZ$5,2)</f>
        <v>#DIV/0!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t="e">
        <f t="shared" si="90"/>
        <v>#DIV/0!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t="e">
        <f t="shared" si="97"/>
        <v>#DIV/0!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t="e">
        <f t="shared" si="90"/>
        <v>#DIV/0!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t="e">
        <f t="shared" si="97"/>
        <v>#DIV/0!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t="e">
        <f t="shared" ref="E177:E207" si="119">IF($C$3="是",ROUND($A$3*G177/$B$3,2),ROUND($A$3*(G177-AT177)/$B$3,2))</f>
        <v>#DIV/0!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t="e">
        <f t="shared" si="97"/>
        <v>#DIV/0!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t="e">
        <f t="shared" si="119"/>
        <v>#DIV/0!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t="e">
        <f t="shared" si="97"/>
        <v>#DIV/0!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t="e">
        <f t="shared" si="119"/>
        <v>#DIV/0!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t="e">
        <f t="shared" si="97"/>
        <v>#DIV/0!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t="e">
        <f t="shared" si="119"/>
        <v>#DIV/0!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t="e">
        <f t="shared" si="97"/>
        <v>#DIV/0!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t="e">
        <f t="shared" si="119"/>
        <v>#DIV/0!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t="e">
        <f t="shared" si="97"/>
        <v>#DIV/0!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t="e">
        <f t="shared" si="119"/>
        <v>#DIV/0!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t="e">
        <f t="shared" si="97"/>
        <v>#DIV/0!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t="e">
        <f t="shared" si="119"/>
        <v>#DIV/0!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t="e">
        <f t="shared" si="97"/>
        <v>#DIV/0!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t="e">
        <f t="shared" si="119"/>
        <v>#DIV/0!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t="e">
        <f t="shared" si="97"/>
        <v>#DIV/0!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t="e">
        <f t="shared" si="119"/>
        <v>#DIV/0!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t="e">
        <f t="shared" si="97"/>
        <v>#DIV/0!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t="e">
        <f t="shared" si="119"/>
        <v>#DIV/0!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t="e">
        <f t="shared" si="97"/>
        <v>#DIV/0!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t="e">
        <f t="shared" si="119"/>
        <v>#DIV/0!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t="e">
        <f t="shared" si="97"/>
        <v>#DIV/0!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t="e">
        <f t="shared" si="119"/>
        <v>#DIV/0!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t="e">
        <f t="shared" si="97"/>
        <v>#DIV/0!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t="e">
        <f t="shared" si="119"/>
        <v>#DIV/0!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t="e">
        <f t="shared" si="97"/>
        <v>#DIV/0!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t="e">
        <f t="shared" si="119"/>
        <v>#DIV/0!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t="e">
        <f t="shared" si="97"/>
        <v>#DIV/0!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t="e">
        <f t="shared" si="119"/>
        <v>#DIV/0!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t="e">
        <f t="shared" si="97"/>
        <v>#DIV/0!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t="e">
        <f t="shared" si="119"/>
        <v>#DIV/0!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t="e">
        <f t="shared" si="97"/>
        <v>#DIV/0!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t="e">
        <f t="shared" si="119"/>
        <v>#DIV/0!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t="e">
        <f t="shared" si="97"/>
        <v>#DIV/0!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t="e">
        <f t="shared" si="119"/>
        <v>#DIV/0!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t="e">
        <f t="shared" si="97"/>
        <v>#DIV/0!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t="e">
        <f t="shared" si="119"/>
        <v>#DIV/0!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t="e">
        <f t="shared" si="97"/>
        <v>#DIV/0!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t="e">
        <f t="shared" si="119"/>
        <v>#DIV/0!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t="e">
        <f t="shared" si="97"/>
        <v>#DIV/0!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t="e">
        <f t="shared" si="119"/>
        <v>#DIV/0!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t="e">
        <f t="shared" si="97"/>
        <v>#DIV/0!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t="e">
        <f t="shared" si="119"/>
        <v>#DIV/0!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t="e">
        <f t="shared" si="97"/>
        <v>#DIV/0!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t="e">
        <f t="shared" si="119"/>
        <v>#DIV/0!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t="e">
        <f t="shared" si="97"/>
        <v>#DIV/0!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t="e">
        <f t="shared" si="119"/>
        <v>#DIV/0!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t="e">
        <f t="shared" si="97"/>
        <v>#DIV/0!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t="e">
        <f t="shared" si="119"/>
        <v>#DIV/0!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t="e">
        <f t="shared" si="97"/>
        <v>#DIV/0!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t="e">
        <f t="shared" si="119"/>
        <v>#DIV/0!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t="e">
        <f t="shared" si="97"/>
        <v>#DIV/0!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t="e">
        <f t="shared" si="119"/>
        <v>#DIV/0!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t="e">
        <f t="shared" si="97"/>
        <v>#DIV/0!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t="e">
        <f t="shared" si="119"/>
        <v>#DIV/0!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t="e">
        <f t="shared" si="97"/>
        <v>#DIV/0!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t="e">
        <f t="shared" si="119"/>
        <v>#DIV/0!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t="e">
        <f t="shared" si="97"/>
        <v>#DIV/0!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t="e">
        <f t="shared" si="119"/>
        <v>#DIV/0!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t="e">
        <f>ROUND($AY$6*AZ206/$AZ$5,2)</f>
        <v>#DIV/0!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t="e">
        <f t="shared" si="119"/>
        <v>#DIV/0!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t="e">
        <f>ROUND($AY$6*AZ207/$AZ$5,2)</f>
        <v>#DIV/0!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t="e">
        <f t="shared" ref="E208:E302" si="123">IF($C$3="是",ROUND($A$3*G208/$B$3,2),ROUND($A$3*(G208-AT208)/$B$3,2))</f>
        <v>#DIV/0!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t="e">
        <f t="shared" ref="AY208:AY299" si="130">ROUND($AY$6*AZ208/$AZ$5,2)</f>
        <v>#DIV/0!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t="e">
        <f t="shared" si="123"/>
        <v>#DIV/0!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t="e">
        <f t="shared" si="130"/>
        <v>#DIV/0!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t="e">
        <f t="shared" si="123"/>
        <v>#DIV/0!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t="e">
        <f t="shared" si="130"/>
        <v>#DIV/0!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t="e">
        <f t="shared" si="123"/>
        <v>#DIV/0!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t="e">
        <f t="shared" si="130"/>
        <v>#DIV/0!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t="e">
        <f t="shared" si="123"/>
        <v>#DIV/0!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t="e">
        <f t="shared" si="130"/>
        <v>#DIV/0!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t="e">
        <f t="shared" si="123"/>
        <v>#DIV/0!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t="e">
        <f t="shared" si="130"/>
        <v>#DIV/0!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t="e">
        <f t="shared" si="123"/>
        <v>#DIV/0!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t="e">
        <f t="shared" si="130"/>
        <v>#DIV/0!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t="e">
        <f t="shared" si="123"/>
        <v>#DIV/0!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t="e">
        <f t="shared" si="130"/>
        <v>#DIV/0!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t="e">
        <f t="shared" si="123"/>
        <v>#DIV/0!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t="e">
        <f t="shared" si="130"/>
        <v>#DIV/0!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t="e">
        <f t="shared" si="123"/>
        <v>#DIV/0!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t="e">
        <f t="shared" si="130"/>
        <v>#DIV/0!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t="e">
        <f t="shared" si="123"/>
        <v>#DIV/0!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t="e">
        <f t="shared" si="130"/>
        <v>#DIV/0!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t="e">
        <f t="shared" si="123"/>
        <v>#DIV/0!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t="e">
        <f t="shared" si="130"/>
        <v>#DIV/0!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t="e">
        <f t="shared" si="123"/>
        <v>#DIV/0!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t="e">
        <f t="shared" si="130"/>
        <v>#DIV/0!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t="e">
        <f t="shared" si="123"/>
        <v>#DIV/0!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t="e">
        <f t="shared" si="130"/>
        <v>#DIV/0!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t="e">
        <f t="shared" si="123"/>
        <v>#DIV/0!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t="e">
        <f t="shared" si="130"/>
        <v>#DIV/0!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t="e">
        <f t="shared" si="123"/>
        <v>#DIV/0!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t="e">
        <f t="shared" si="130"/>
        <v>#DIV/0!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t="e">
        <f t="shared" si="123"/>
        <v>#DIV/0!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t="e">
        <f t="shared" si="130"/>
        <v>#DIV/0!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t="e">
        <f t="shared" si="123"/>
        <v>#DIV/0!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t="e">
        <f t="shared" si="130"/>
        <v>#DIV/0!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t="e">
        <f t="shared" si="123"/>
        <v>#DIV/0!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t="e">
        <f t="shared" si="130"/>
        <v>#DIV/0!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t="e">
        <f t="shared" si="123"/>
        <v>#DIV/0!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t="e">
        <f t="shared" si="130"/>
        <v>#DIV/0!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t="e">
        <f t="shared" si="123"/>
        <v>#DIV/0!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t="e">
        <f t="shared" si="130"/>
        <v>#DIV/0!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t="e">
        <f t="shared" si="123"/>
        <v>#DIV/0!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t="e">
        <f t="shared" si="130"/>
        <v>#DIV/0!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t="e">
        <f t="shared" si="123"/>
        <v>#DIV/0!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t="e">
        <f t="shared" si="130"/>
        <v>#DIV/0!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t="e">
        <f t="shared" si="123"/>
        <v>#DIV/0!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t="e">
        <f t="shared" si="130"/>
        <v>#DIV/0!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t="e">
        <f t="shared" si="123"/>
        <v>#DIV/0!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t="e">
        <f t="shared" si="130"/>
        <v>#DIV/0!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t="e">
        <f t="shared" si="123"/>
        <v>#DIV/0!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t="e">
        <f t="shared" si="130"/>
        <v>#DIV/0!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t="e">
        <f t="shared" si="123"/>
        <v>#DIV/0!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t="e">
        <f t="shared" si="130"/>
        <v>#DIV/0!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t="e">
        <f t="shared" si="123"/>
        <v>#DIV/0!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t="e">
        <f t="shared" si="130"/>
        <v>#DIV/0!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t="e">
        <f t="shared" si="123"/>
        <v>#DIV/0!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t="e">
        <f t="shared" si="130"/>
        <v>#DIV/0!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t="e">
        <f t="shared" si="123"/>
        <v>#DIV/0!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t="e">
        <f t="shared" si="130"/>
        <v>#DIV/0!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t="e">
        <f t="shared" si="123"/>
        <v>#DIV/0!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t="e">
        <f t="shared" si="130"/>
        <v>#DIV/0!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t="e">
        <f t="shared" si="123"/>
        <v>#DIV/0!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t="e">
        <f t="shared" si="130"/>
        <v>#DIV/0!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t="e">
        <f t="shared" si="123"/>
        <v>#DIV/0!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t="e">
        <f t="shared" si="130"/>
        <v>#DIV/0!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t="e">
        <f t="shared" si="123"/>
        <v>#DIV/0!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t="e">
        <f t="shared" si="130"/>
        <v>#DIV/0!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t="e">
        <f t="shared" si="123"/>
        <v>#DIV/0!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t="e">
        <f t="shared" si="130"/>
        <v>#DIV/0!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t="e">
        <f t="shared" si="123"/>
        <v>#DIV/0!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t="e">
        <f t="shared" si="130"/>
        <v>#DIV/0!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t="e">
        <f t="shared" si="123"/>
        <v>#DIV/0!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t="e">
        <f t="shared" si="130"/>
        <v>#DIV/0!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t="e">
        <f t="shared" si="123"/>
        <v>#DIV/0!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t="e">
        <f t="shared" si="130"/>
        <v>#DIV/0!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t="e">
        <f t="shared" si="123"/>
        <v>#DIV/0!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t="e">
        <f t="shared" si="130"/>
        <v>#DIV/0!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t="e">
        <f t="shared" si="123"/>
        <v>#DIV/0!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t="e">
        <f t="shared" si="130"/>
        <v>#DIV/0!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t="e">
        <f t="shared" si="123"/>
        <v>#DIV/0!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t="e">
        <f t="shared" si="130"/>
        <v>#DIV/0!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t="e">
        <f t="shared" si="123"/>
        <v>#DIV/0!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t="e">
        <f t="shared" si="130"/>
        <v>#DIV/0!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t="e">
        <f t="shared" si="123"/>
        <v>#DIV/0!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t="e">
        <f t="shared" si="130"/>
        <v>#DIV/0!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t="e">
        <f t="shared" si="123"/>
        <v>#DIV/0!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t="e">
        <f t="shared" si="130"/>
        <v>#DIV/0!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t="e">
        <f t="shared" si="123"/>
        <v>#DIV/0!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t="e">
        <f t="shared" si="130"/>
        <v>#DIV/0!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t="e">
        <f t="shared" si="123"/>
        <v>#DIV/0!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t="e">
        <f t="shared" si="130"/>
        <v>#DIV/0!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t="e">
        <f t="shared" si="123"/>
        <v>#DIV/0!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t="e">
        <f t="shared" si="130"/>
        <v>#DIV/0!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t="e">
        <f t="shared" si="123"/>
        <v>#DIV/0!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t="e">
        <f t="shared" si="130"/>
        <v>#DIV/0!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t="e">
        <f t="shared" si="123"/>
        <v>#DIV/0!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t="e">
        <f t="shared" si="130"/>
        <v>#DIV/0!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t="e">
        <f t="shared" si="123"/>
        <v>#DIV/0!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t="e">
        <f t="shared" si="130"/>
        <v>#DIV/0!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t="e">
        <f t="shared" si="123"/>
        <v>#DIV/0!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t="e">
        <f t="shared" si="130"/>
        <v>#DIV/0!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t="e">
        <f t="shared" si="123"/>
        <v>#DIV/0!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t="e">
        <f t="shared" si="130"/>
        <v>#DIV/0!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t="e">
        <f t="shared" si="123"/>
        <v>#DIV/0!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t="e">
        <f t="shared" si="130"/>
        <v>#DIV/0!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t="e">
        <f t="shared" si="123"/>
        <v>#DIV/0!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t="e">
        <f t="shared" si="130"/>
        <v>#DIV/0!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t="e">
        <f t="shared" si="123"/>
        <v>#DIV/0!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t="e">
        <f t="shared" si="130"/>
        <v>#DIV/0!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t="e">
        <f t="shared" si="123"/>
        <v>#DIV/0!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t="e">
        <f t="shared" si="130"/>
        <v>#DIV/0!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t="e">
        <f t="shared" si="123"/>
        <v>#DIV/0!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t="e">
        <f t="shared" si="130"/>
        <v>#DIV/0!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t="e">
        <f t="shared" si="123"/>
        <v>#DIV/0!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t="e">
        <f t="shared" si="130"/>
        <v>#DIV/0!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t="e">
        <f t="shared" si="123"/>
        <v>#DIV/0!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t="e">
        <f t="shared" si="130"/>
        <v>#DIV/0!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t="e">
        <f t="shared" si="123"/>
        <v>#DIV/0!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t="e">
        <f t="shared" si="130"/>
        <v>#DIV/0!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t="e">
        <f t="shared" si="123"/>
        <v>#DIV/0!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t="e">
        <f t="shared" si="130"/>
        <v>#DIV/0!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t="e">
        <f t="shared" si="123"/>
        <v>#DIV/0!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t="e">
        <f t="shared" si="130"/>
        <v>#DIV/0!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t="e">
        <f t="shared" si="123"/>
        <v>#DIV/0!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t="e">
        <f t="shared" si="130"/>
        <v>#DIV/0!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t="e">
        <f t="shared" si="123"/>
        <v>#DIV/0!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t="e">
        <f t="shared" si="130"/>
        <v>#DIV/0!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t="e">
        <f t="shared" si="123"/>
        <v>#DIV/0!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t="e">
        <f t="shared" si="130"/>
        <v>#DIV/0!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t="e">
        <f t="shared" si="123"/>
        <v>#DIV/0!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t="e">
        <f t="shared" si="130"/>
        <v>#DIV/0!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t="e">
        <f t="shared" si="123"/>
        <v>#DIV/0!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t="e">
        <f t="shared" si="130"/>
        <v>#DIV/0!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t="e">
        <f t="shared" si="123"/>
        <v>#DIV/0!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t="e">
        <f t="shared" si="130"/>
        <v>#DIV/0!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t="e">
        <f t="shared" si="123"/>
        <v>#DIV/0!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t="e">
        <f t="shared" si="130"/>
        <v>#DIV/0!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t="e">
        <f t="shared" si="123"/>
        <v>#DIV/0!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t="e">
        <f t="shared" si="130"/>
        <v>#DIV/0!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t="e">
        <f t="shared" si="123"/>
        <v>#DIV/0!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t="e">
        <f t="shared" si="130"/>
        <v>#DIV/0!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t="e">
        <f t="shared" si="123"/>
        <v>#DIV/0!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t="e">
        <f t="shared" si="130"/>
        <v>#DIV/0!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t="e">
        <f t="shared" si="123"/>
        <v>#DIV/0!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t="e">
        <f t="shared" si="130"/>
        <v>#DIV/0!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t="e">
        <f t="shared" si="123"/>
        <v>#DIV/0!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t="e">
        <f t="shared" si="130"/>
        <v>#DIV/0!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t="e">
        <f t="shared" si="123"/>
        <v>#DIV/0!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t="e">
        <f t="shared" si="130"/>
        <v>#DIV/0!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t="e">
        <f t="shared" si="123"/>
        <v>#DIV/0!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t="e">
        <f t="shared" si="130"/>
        <v>#DIV/0!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t="e">
        <f t="shared" si="123"/>
        <v>#DIV/0!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t="e">
        <f t="shared" si="130"/>
        <v>#DIV/0!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t="e">
        <f t="shared" si="123"/>
        <v>#DIV/0!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t="e">
        <f t="shared" si="130"/>
        <v>#DIV/0!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t="e">
        <f t="shared" si="123"/>
        <v>#DIV/0!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t="e">
        <f t="shared" si="130"/>
        <v>#DIV/0!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t="e">
        <f t="shared" si="123"/>
        <v>#DIV/0!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t="e">
        <f t="shared" si="130"/>
        <v>#DIV/0!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t="e">
        <f t="shared" si="123"/>
        <v>#DIV/0!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t="e">
        <f t="shared" si="130"/>
        <v>#DIV/0!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t="e">
        <f t="shared" si="123"/>
        <v>#DIV/0!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t="e">
        <f t="shared" si="130"/>
        <v>#DIV/0!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t="e">
        <f t="shared" si="123"/>
        <v>#DIV/0!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t="e">
        <f t="shared" si="130"/>
        <v>#DIV/0!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t="e">
        <f t="shared" si="123"/>
        <v>#DIV/0!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t="e">
        <f t="shared" si="130"/>
        <v>#DIV/0!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t="e">
        <f t="shared" si="123"/>
        <v>#DIV/0!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t="e">
        <f t="shared" si="130"/>
        <v>#DIV/0!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t="e">
        <f t="shared" si="123"/>
        <v>#DIV/0!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t="e">
        <f t="shared" si="130"/>
        <v>#DIV/0!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t="e">
        <f t="shared" si="123"/>
        <v>#DIV/0!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t="e">
        <f t="shared" si="130"/>
        <v>#DIV/0!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t="e">
        <f t="shared" si="123"/>
        <v>#DIV/0!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t="e">
        <f t="shared" si="130"/>
        <v>#DIV/0!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t="e">
        <f t="shared" si="123"/>
        <v>#DIV/0!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t="e">
        <f t="shared" si="130"/>
        <v>#DIV/0!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t="e">
        <f t="shared" si="123"/>
        <v>#DIV/0!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t="e">
        <f t="shared" si="130"/>
        <v>#DIV/0!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t="e">
        <f t="shared" si="123"/>
        <v>#DIV/0!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t="e">
        <f t="shared" si="130"/>
        <v>#DIV/0!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t="e">
        <f t="shared" si="123"/>
        <v>#DIV/0!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t="e">
        <f t="shared" si="130"/>
        <v>#DIV/0!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t="e">
        <f t="shared" si="123"/>
        <v>#DIV/0!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t="e">
        <f t="shared" ref="AY300:AY331" si="155">ROUND($AY$6*AZ300/$AZ$5,2)</f>
        <v>#DIV/0!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t="e">
        <f t="shared" si="123"/>
        <v>#DIV/0!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t="e">
        <f t="shared" si="155"/>
        <v>#DIV/0!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t="e">
        <f t="shared" si="123"/>
        <v>#DIV/0!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t="e">
        <f t="shared" si="155"/>
        <v>#DIV/0!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t="e">
        <f t="shared" ref="E303:E334" si="177">IF($C$3="是",ROUND($A$3*G303/$B$3,2),ROUND($A$3*(G303-AT303)/$B$3,2))</f>
        <v>#DIV/0!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t="e">
        <f t="shared" si="155"/>
        <v>#DIV/0!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t="e">
        <f t="shared" si="177"/>
        <v>#DIV/0!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t="e">
        <f t="shared" si="155"/>
        <v>#DIV/0!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t="e">
        <f t="shared" si="177"/>
        <v>#DIV/0!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t="e">
        <f t="shared" si="155"/>
        <v>#DIV/0!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t="e">
        <f t="shared" si="177"/>
        <v>#DIV/0!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t="e">
        <f t="shared" si="155"/>
        <v>#DIV/0!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t="e">
        <f t="shared" si="177"/>
        <v>#DIV/0!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t="e">
        <f t="shared" si="155"/>
        <v>#DIV/0!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t="e">
        <f t="shared" si="177"/>
        <v>#DIV/0!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t="e">
        <f t="shared" si="155"/>
        <v>#DIV/0!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t="e">
        <f t="shared" si="177"/>
        <v>#DIV/0!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t="e">
        <f t="shared" si="155"/>
        <v>#DIV/0!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t="e">
        <f t="shared" si="177"/>
        <v>#DIV/0!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t="e">
        <f t="shared" si="155"/>
        <v>#DIV/0!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t="e">
        <f t="shared" si="177"/>
        <v>#DIV/0!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t="e">
        <f t="shared" si="155"/>
        <v>#DIV/0!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t="e">
        <f t="shared" si="177"/>
        <v>#DIV/0!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t="e">
        <f t="shared" si="155"/>
        <v>#DIV/0!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t="e">
        <f t="shared" si="177"/>
        <v>#DIV/0!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t="e">
        <f t="shared" si="155"/>
        <v>#DIV/0!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t="e">
        <f t="shared" si="177"/>
        <v>#DIV/0!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t="e">
        <f t="shared" si="155"/>
        <v>#DIV/0!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t="e">
        <f t="shared" si="177"/>
        <v>#DIV/0!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t="e">
        <f t="shared" si="155"/>
        <v>#DIV/0!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t="e">
        <f t="shared" si="177"/>
        <v>#DIV/0!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t="e">
        <f t="shared" si="155"/>
        <v>#DIV/0!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t="e">
        <f t="shared" si="177"/>
        <v>#DIV/0!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t="e">
        <f t="shared" si="155"/>
        <v>#DIV/0!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t="e">
        <f t="shared" si="177"/>
        <v>#DIV/0!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t="e">
        <f t="shared" si="155"/>
        <v>#DIV/0!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t="e">
        <f t="shared" si="177"/>
        <v>#DIV/0!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t="e">
        <f t="shared" si="155"/>
        <v>#DIV/0!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t="e">
        <f t="shared" si="177"/>
        <v>#DIV/0!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t="e">
        <f t="shared" si="155"/>
        <v>#DIV/0!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t="e">
        <f t="shared" si="177"/>
        <v>#DIV/0!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t="e">
        <f t="shared" si="155"/>
        <v>#DIV/0!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t="e">
        <f t="shared" si="177"/>
        <v>#DIV/0!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t="e">
        <f t="shared" si="155"/>
        <v>#DIV/0!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t="e">
        <f t="shared" si="177"/>
        <v>#DIV/0!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t="e">
        <f t="shared" si="155"/>
        <v>#DIV/0!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t="e">
        <f t="shared" si="177"/>
        <v>#DIV/0!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t="e">
        <f t="shared" si="155"/>
        <v>#DIV/0!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t="e">
        <f t="shared" si="177"/>
        <v>#DIV/0!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t="e">
        <f t="shared" si="155"/>
        <v>#DIV/0!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t="e">
        <f t="shared" si="177"/>
        <v>#DIV/0!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t="e">
        <f t="shared" si="155"/>
        <v>#DIV/0!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t="e">
        <f t="shared" si="177"/>
        <v>#DIV/0!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t="e">
        <f t="shared" si="155"/>
        <v>#DIV/0!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t="e">
        <f t="shared" si="177"/>
        <v>#DIV/0!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t="e">
        <f t="shared" si="155"/>
        <v>#DIV/0!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t="e">
        <f t="shared" si="177"/>
        <v>#DIV/0!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t="e">
        <f t="shared" si="155"/>
        <v>#DIV/0!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t="e">
        <f t="shared" si="177"/>
        <v>#DIV/0!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t="e">
        <f t="shared" si="155"/>
        <v>#DIV/0!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t="e">
        <f t="shared" si="177"/>
        <v>#DIV/0!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t="e">
        <f t="shared" si="155"/>
        <v>#DIV/0!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t="e">
        <f t="shared" si="177"/>
        <v>#DIV/0!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t="e">
        <f t="shared" ref="AY332:AY363" si="184">ROUND($AY$6*AZ332/$AZ$5,2)</f>
        <v>#DIV/0!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t="e">
        <f t="shared" si="177"/>
        <v>#DIV/0!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t="e">
        <f t="shared" si="184"/>
        <v>#DIV/0!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t="e">
        <f t="shared" si="177"/>
        <v>#DIV/0!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t="e">
        <f t="shared" si="184"/>
        <v>#DIV/0!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t="e">
        <f t="shared" ref="E335:E366" si="206">IF($C$3="是",ROUND($A$3*G335/$B$3,2),ROUND($A$3*(G335-AT335)/$B$3,2))</f>
        <v>#DIV/0!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t="e">
        <f t="shared" si="184"/>
        <v>#DIV/0!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t="e">
        <f t="shared" si="206"/>
        <v>#DIV/0!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t="e">
        <f t="shared" si="184"/>
        <v>#DIV/0!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t="e">
        <f t="shared" si="206"/>
        <v>#DIV/0!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t="e">
        <f t="shared" si="184"/>
        <v>#DIV/0!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t="e">
        <f t="shared" si="206"/>
        <v>#DIV/0!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t="e">
        <f t="shared" si="184"/>
        <v>#DIV/0!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t="e">
        <f t="shared" si="206"/>
        <v>#DIV/0!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t="e">
        <f t="shared" si="184"/>
        <v>#DIV/0!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t="e">
        <f t="shared" si="206"/>
        <v>#DIV/0!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t="e">
        <f t="shared" si="184"/>
        <v>#DIV/0!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t="e">
        <f t="shared" si="206"/>
        <v>#DIV/0!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t="e">
        <f t="shared" si="184"/>
        <v>#DIV/0!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t="e">
        <f t="shared" si="206"/>
        <v>#DIV/0!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t="e">
        <f t="shared" si="184"/>
        <v>#DIV/0!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t="e">
        <f t="shared" si="206"/>
        <v>#DIV/0!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t="e">
        <f t="shared" si="184"/>
        <v>#DIV/0!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t="e">
        <f t="shared" si="206"/>
        <v>#DIV/0!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t="e">
        <f t="shared" si="184"/>
        <v>#DIV/0!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t="e">
        <f t="shared" si="206"/>
        <v>#DIV/0!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t="e">
        <f t="shared" si="184"/>
        <v>#DIV/0!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t="e">
        <f t="shared" si="206"/>
        <v>#DIV/0!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t="e">
        <f t="shared" si="184"/>
        <v>#DIV/0!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t="e">
        <f t="shared" si="206"/>
        <v>#DIV/0!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t="e">
        <f t="shared" si="184"/>
        <v>#DIV/0!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t="e">
        <f t="shared" si="206"/>
        <v>#DIV/0!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t="e">
        <f t="shared" si="184"/>
        <v>#DIV/0!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t="e">
        <f t="shared" si="206"/>
        <v>#DIV/0!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t="e">
        <f t="shared" si="184"/>
        <v>#DIV/0!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t="e">
        <f t="shared" si="206"/>
        <v>#DIV/0!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t="e">
        <f t="shared" si="184"/>
        <v>#DIV/0!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t="e">
        <f t="shared" si="206"/>
        <v>#DIV/0!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t="e">
        <f t="shared" si="184"/>
        <v>#DIV/0!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t="e">
        <f t="shared" si="206"/>
        <v>#DIV/0!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t="e">
        <f t="shared" si="184"/>
        <v>#DIV/0!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t="e">
        <f t="shared" si="206"/>
        <v>#DIV/0!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t="e">
        <f t="shared" si="184"/>
        <v>#DIV/0!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t="e">
        <f t="shared" si="206"/>
        <v>#DIV/0!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t="e">
        <f t="shared" si="184"/>
        <v>#DIV/0!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t="e">
        <f t="shared" si="206"/>
        <v>#DIV/0!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t="e">
        <f t="shared" si="184"/>
        <v>#DIV/0!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t="e">
        <f t="shared" si="206"/>
        <v>#DIV/0!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t="e">
        <f t="shared" si="184"/>
        <v>#DIV/0!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t="e">
        <f t="shared" si="206"/>
        <v>#DIV/0!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t="e">
        <f t="shared" si="184"/>
        <v>#DIV/0!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t="e">
        <f t="shared" si="206"/>
        <v>#DIV/0!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t="e">
        <f t="shared" si="184"/>
        <v>#DIV/0!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t="e">
        <f t="shared" si="206"/>
        <v>#DIV/0!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t="e">
        <f t="shared" si="184"/>
        <v>#DIV/0!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t="e">
        <f t="shared" si="206"/>
        <v>#DIV/0!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t="e">
        <f t="shared" si="184"/>
        <v>#DIV/0!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t="e">
        <f t="shared" si="206"/>
        <v>#DIV/0!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t="e">
        <f t="shared" si="184"/>
        <v>#DIV/0!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t="e">
        <f t="shared" si="206"/>
        <v>#DIV/0!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t="e">
        <f t="shared" si="184"/>
        <v>#DIV/0!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t="e">
        <f t="shared" si="206"/>
        <v>#DIV/0!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t="e">
        <f t="shared" si="184"/>
        <v>#DIV/0!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t="e">
        <f t="shared" si="206"/>
        <v>#DIV/0!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t="e">
        <f t="shared" ref="AY364:AY395" si="213">ROUND($AY$6*AZ364/$AZ$5,2)</f>
        <v>#DIV/0!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t="e">
        <f t="shared" si="206"/>
        <v>#DIV/0!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t="e">
        <f t="shared" si="213"/>
        <v>#DIV/0!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t="e">
        <f t="shared" si="206"/>
        <v>#DIV/0!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t="e">
        <f t="shared" si="213"/>
        <v>#DIV/0!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t="e">
        <f t="shared" ref="E367:E397" si="235">IF($C$3="是",ROUND($A$3*G367/$B$3,2),ROUND($A$3*(G367-AT367)/$B$3,2))</f>
        <v>#DIV/0!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t="e">
        <f t="shared" si="213"/>
        <v>#DIV/0!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t="e">
        <f t="shared" si="235"/>
        <v>#DIV/0!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t="e">
        <f t="shared" si="213"/>
        <v>#DIV/0!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t="e">
        <f t="shared" si="235"/>
        <v>#DIV/0!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t="e">
        <f t="shared" si="213"/>
        <v>#DIV/0!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t="e">
        <f t="shared" si="235"/>
        <v>#DIV/0!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t="e">
        <f t="shared" si="213"/>
        <v>#DIV/0!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t="e">
        <f t="shared" si="235"/>
        <v>#DIV/0!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t="e">
        <f t="shared" si="213"/>
        <v>#DIV/0!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t="e">
        <f t="shared" si="235"/>
        <v>#DIV/0!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t="e">
        <f t="shared" si="213"/>
        <v>#DIV/0!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t="e">
        <f t="shared" si="235"/>
        <v>#DIV/0!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t="e">
        <f t="shared" si="213"/>
        <v>#DIV/0!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t="e">
        <f t="shared" si="235"/>
        <v>#DIV/0!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t="e">
        <f t="shared" si="213"/>
        <v>#DIV/0!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t="e">
        <f t="shared" si="235"/>
        <v>#DIV/0!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t="e">
        <f t="shared" si="213"/>
        <v>#DIV/0!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t="e">
        <f t="shared" si="235"/>
        <v>#DIV/0!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t="e">
        <f t="shared" si="213"/>
        <v>#DIV/0!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t="e">
        <f t="shared" si="235"/>
        <v>#DIV/0!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t="e">
        <f t="shared" si="213"/>
        <v>#DIV/0!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t="e">
        <f t="shared" si="235"/>
        <v>#DIV/0!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t="e">
        <f t="shared" si="213"/>
        <v>#DIV/0!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t="e">
        <f t="shared" si="235"/>
        <v>#DIV/0!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t="e">
        <f t="shared" si="213"/>
        <v>#DIV/0!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t="e">
        <f t="shared" si="235"/>
        <v>#DIV/0!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t="e">
        <f t="shared" si="213"/>
        <v>#DIV/0!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t="e">
        <f t="shared" si="235"/>
        <v>#DIV/0!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t="e">
        <f t="shared" si="213"/>
        <v>#DIV/0!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t="e">
        <f t="shared" si="235"/>
        <v>#DIV/0!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t="e">
        <f t="shared" si="213"/>
        <v>#DIV/0!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t="e">
        <f t="shared" si="235"/>
        <v>#DIV/0!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t="e">
        <f t="shared" si="213"/>
        <v>#DIV/0!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t="e">
        <f t="shared" si="235"/>
        <v>#DIV/0!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t="e">
        <f t="shared" si="213"/>
        <v>#DIV/0!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t="e">
        <f t="shared" si="235"/>
        <v>#DIV/0!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t="e">
        <f t="shared" si="213"/>
        <v>#DIV/0!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t="e">
        <f t="shared" si="235"/>
        <v>#DIV/0!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t="e">
        <f t="shared" si="213"/>
        <v>#DIV/0!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t="e">
        <f t="shared" si="235"/>
        <v>#DIV/0!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t="e">
        <f t="shared" si="213"/>
        <v>#DIV/0!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t="e">
        <f t="shared" si="235"/>
        <v>#DIV/0!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t="e">
        <f t="shared" si="213"/>
        <v>#DIV/0!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t="e">
        <f t="shared" si="235"/>
        <v>#DIV/0!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t="e">
        <f t="shared" si="213"/>
        <v>#DIV/0!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t="e">
        <f t="shared" si="235"/>
        <v>#DIV/0!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t="e">
        <f t="shared" si="213"/>
        <v>#DIV/0!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t="e">
        <f t="shared" si="235"/>
        <v>#DIV/0!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t="e">
        <f t="shared" si="213"/>
        <v>#DIV/0!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t="e">
        <f t="shared" si="235"/>
        <v>#DIV/0!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t="e">
        <f t="shared" si="213"/>
        <v>#DIV/0!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t="e">
        <f t="shared" si="235"/>
        <v>#DIV/0!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t="e">
        <f t="shared" si="213"/>
        <v>#DIV/0!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t="e">
        <f t="shared" si="235"/>
        <v>#DIV/0!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t="e">
        <f t="shared" si="213"/>
        <v>#DIV/0!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t="e">
        <f t="shared" si="235"/>
        <v>#DIV/0!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t="e">
        <f t="shared" si="213"/>
        <v>#DIV/0!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t="e">
        <f t="shared" si="235"/>
        <v>#DIV/0!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t="e">
        <f>ROUND($AY$6*AZ396/$AZ$5,2)</f>
        <v>#DIV/0!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t="e">
        <f t="shared" si="235"/>
        <v>#DIV/0!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t="e">
        <f>ROUND($AY$6*AZ397/$AZ$5,2)</f>
        <v>#DIV/0!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t="e">
        <f t="shared" ref="E398:E492" si="239">IF($C$3="是",ROUND($A$3*G398/$B$3,2),ROUND($A$3*(G398-AT398)/$B$3,2))</f>
        <v>#DIV/0!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t="e">
        <f t="shared" ref="AY398:AY489" si="246">ROUND($AY$6*AZ398/$AZ$5,2)</f>
        <v>#DIV/0!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t="e">
        <f t="shared" si="239"/>
        <v>#DIV/0!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t="e">
        <f t="shared" si="246"/>
        <v>#DIV/0!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t="e">
        <f t="shared" si="239"/>
        <v>#DIV/0!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t="e">
        <f t="shared" si="246"/>
        <v>#DIV/0!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t="e">
        <f t="shared" si="239"/>
        <v>#DIV/0!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t="e">
        <f t="shared" si="246"/>
        <v>#DIV/0!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t="e">
        <f t="shared" si="239"/>
        <v>#DIV/0!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t="e">
        <f t="shared" si="246"/>
        <v>#DIV/0!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t="e">
        <f t="shared" si="239"/>
        <v>#DIV/0!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t="e">
        <f t="shared" si="246"/>
        <v>#DIV/0!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t="e">
        <f t="shared" si="239"/>
        <v>#DIV/0!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t="e">
        <f t="shared" si="246"/>
        <v>#DIV/0!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t="e">
        <f t="shared" si="239"/>
        <v>#DIV/0!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t="e">
        <f t="shared" si="246"/>
        <v>#DIV/0!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t="e">
        <f t="shared" si="239"/>
        <v>#DIV/0!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t="e">
        <f t="shared" si="246"/>
        <v>#DIV/0!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t="e">
        <f t="shared" si="239"/>
        <v>#DIV/0!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t="e">
        <f t="shared" si="246"/>
        <v>#DIV/0!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t="e">
        <f t="shared" si="239"/>
        <v>#DIV/0!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t="e">
        <f t="shared" si="246"/>
        <v>#DIV/0!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t="e">
        <f t="shared" si="239"/>
        <v>#DIV/0!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t="e">
        <f t="shared" si="246"/>
        <v>#DIV/0!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t="e">
        <f t="shared" si="239"/>
        <v>#DIV/0!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t="e">
        <f t="shared" si="246"/>
        <v>#DIV/0!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t="e">
        <f t="shared" si="239"/>
        <v>#DIV/0!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t="e">
        <f t="shared" si="246"/>
        <v>#DIV/0!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t="e">
        <f t="shared" si="239"/>
        <v>#DIV/0!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t="e">
        <f t="shared" si="246"/>
        <v>#DIV/0!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t="e">
        <f t="shared" si="239"/>
        <v>#DIV/0!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t="e">
        <f t="shared" si="246"/>
        <v>#DIV/0!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t="e">
        <f t="shared" si="239"/>
        <v>#DIV/0!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t="e">
        <f t="shared" si="246"/>
        <v>#DIV/0!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t="e">
        <f t="shared" si="239"/>
        <v>#DIV/0!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t="e">
        <f t="shared" si="246"/>
        <v>#DIV/0!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t="e">
        <f t="shared" si="239"/>
        <v>#DIV/0!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t="e">
        <f t="shared" si="246"/>
        <v>#DIV/0!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t="e">
        <f t="shared" si="239"/>
        <v>#DIV/0!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t="e">
        <f t="shared" si="246"/>
        <v>#DIV/0!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t="e">
        <f t="shared" si="239"/>
        <v>#DIV/0!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t="e">
        <f t="shared" si="246"/>
        <v>#DIV/0!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t="e">
        <f t="shared" si="239"/>
        <v>#DIV/0!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t="e">
        <f t="shared" si="246"/>
        <v>#DIV/0!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t="e">
        <f t="shared" si="239"/>
        <v>#DIV/0!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t="e">
        <f t="shared" si="246"/>
        <v>#DIV/0!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t="e">
        <f t="shared" si="239"/>
        <v>#DIV/0!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t="e">
        <f t="shared" si="246"/>
        <v>#DIV/0!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t="e">
        <f t="shared" si="239"/>
        <v>#DIV/0!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t="e">
        <f t="shared" si="246"/>
        <v>#DIV/0!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t="e">
        <f t="shared" si="239"/>
        <v>#DIV/0!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t="e">
        <f t="shared" si="246"/>
        <v>#DIV/0!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t="e">
        <f t="shared" si="239"/>
        <v>#DIV/0!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t="e">
        <f t="shared" si="246"/>
        <v>#DIV/0!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t="e">
        <f t="shared" si="239"/>
        <v>#DIV/0!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t="e">
        <f t="shared" si="246"/>
        <v>#DIV/0!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t="e">
        <f t="shared" si="239"/>
        <v>#DIV/0!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t="e">
        <f t="shared" si="246"/>
        <v>#DIV/0!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t="e">
        <f t="shared" si="239"/>
        <v>#DIV/0!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t="e">
        <f t="shared" si="246"/>
        <v>#DIV/0!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t="e">
        <f t="shared" si="239"/>
        <v>#DIV/0!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t="e">
        <f t="shared" si="246"/>
        <v>#DIV/0!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t="e">
        <f t="shared" si="239"/>
        <v>#DIV/0!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t="e">
        <f t="shared" si="246"/>
        <v>#DIV/0!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t="e">
        <f t="shared" si="239"/>
        <v>#DIV/0!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t="e">
        <f t="shared" si="246"/>
        <v>#DIV/0!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t="e">
        <f t="shared" si="239"/>
        <v>#DIV/0!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t="e">
        <f t="shared" si="246"/>
        <v>#DIV/0!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t="e">
        <f t="shared" si="239"/>
        <v>#DIV/0!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t="e">
        <f t="shared" si="246"/>
        <v>#DIV/0!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t="e">
        <f t="shared" si="239"/>
        <v>#DIV/0!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t="e">
        <f t="shared" si="246"/>
        <v>#DIV/0!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t="e">
        <f t="shared" si="239"/>
        <v>#DIV/0!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t="e">
        <f t="shared" si="246"/>
        <v>#DIV/0!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t="e">
        <f t="shared" si="239"/>
        <v>#DIV/0!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t="e">
        <f t="shared" si="246"/>
        <v>#DIV/0!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t="e">
        <f t="shared" si="239"/>
        <v>#DIV/0!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t="e">
        <f t="shared" si="246"/>
        <v>#DIV/0!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t="e">
        <f t="shared" si="239"/>
        <v>#DIV/0!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t="e">
        <f t="shared" si="246"/>
        <v>#DIV/0!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t="e">
        <f t="shared" si="239"/>
        <v>#DIV/0!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t="e">
        <f t="shared" si="246"/>
        <v>#DIV/0!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t="e">
        <f t="shared" si="239"/>
        <v>#DIV/0!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t="e">
        <f t="shared" si="246"/>
        <v>#DIV/0!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t="e">
        <f t="shared" si="239"/>
        <v>#DIV/0!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t="e">
        <f t="shared" si="246"/>
        <v>#DIV/0!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t="e">
        <f t="shared" si="239"/>
        <v>#DIV/0!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t="e">
        <f t="shared" si="246"/>
        <v>#DIV/0!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t="e">
        <f t="shared" si="239"/>
        <v>#DIV/0!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t="e">
        <f t="shared" si="246"/>
        <v>#DIV/0!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t="e">
        <f t="shared" si="239"/>
        <v>#DIV/0!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t="e">
        <f t="shared" si="246"/>
        <v>#DIV/0!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t="e">
        <f t="shared" si="239"/>
        <v>#DIV/0!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t="e">
        <f t="shared" si="246"/>
        <v>#DIV/0!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t="e">
        <f t="shared" si="239"/>
        <v>#DIV/0!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t="e">
        <f t="shared" si="246"/>
        <v>#DIV/0!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t="e">
        <f t="shared" si="239"/>
        <v>#DIV/0!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t="e">
        <f t="shared" si="246"/>
        <v>#DIV/0!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t="e">
        <f t="shared" si="239"/>
        <v>#DIV/0!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t="e">
        <f t="shared" si="246"/>
        <v>#DIV/0!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t="e">
        <f t="shared" si="239"/>
        <v>#DIV/0!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t="e">
        <f t="shared" si="246"/>
        <v>#DIV/0!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t="e">
        <f t="shared" si="239"/>
        <v>#DIV/0!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t="e">
        <f t="shared" si="246"/>
        <v>#DIV/0!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t="e">
        <f t="shared" si="239"/>
        <v>#DIV/0!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t="e">
        <f t="shared" si="246"/>
        <v>#DIV/0!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t="e">
        <f t="shared" si="239"/>
        <v>#DIV/0!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t="e">
        <f t="shared" si="246"/>
        <v>#DIV/0!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t="e">
        <f t="shared" si="239"/>
        <v>#DIV/0!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t="e">
        <f t="shared" si="246"/>
        <v>#DIV/0!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t="e">
        <f t="shared" si="239"/>
        <v>#DIV/0!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t="e">
        <f t="shared" si="246"/>
        <v>#DIV/0!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t="e">
        <f t="shared" si="239"/>
        <v>#DIV/0!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t="e">
        <f t="shared" si="246"/>
        <v>#DIV/0!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t="e">
        <f t="shared" si="239"/>
        <v>#DIV/0!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t="e">
        <f t="shared" si="246"/>
        <v>#DIV/0!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t="e">
        <f t="shared" si="239"/>
        <v>#DIV/0!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t="e">
        <f t="shared" si="246"/>
        <v>#DIV/0!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t="e">
        <f t="shared" si="239"/>
        <v>#DIV/0!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t="e">
        <f t="shared" si="246"/>
        <v>#DIV/0!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t="e">
        <f t="shared" si="239"/>
        <v>#DIV/0!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t="e">
        <f t="shared" si="246"/>
        <v>#DIV/0!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t="e">
        <f t="shared" si="239"/>
        <v>#DIV/0!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t="e">
        <f t="shared" si="246"/>
        <v>#DIV/0!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t="e">
        <f t="shared" si="239"/>
        <v>#DIV/0!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t="e">
        <f t="shared" si="246"/>
        <v>#DIV/0!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t="e">
        <f t="shared" si="239"/>
        <v>#DIV/0!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t="e">
        <f t="shared" si="246"/>
        <v>#DIV/0!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t="e">
        <f t="shared" si="239"/>
        <v>#DIV/0!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t="e">
        <f t="shared" si="246"/>
        <v>#DIV/0!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t="e">
        <f t="shared" si="239"/>
        <v>#DIV/0!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t="e">
        <f t="shared" si="246"/>
        <v>#DIV/0!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t="e">
        <f t="shared" si="239"/>
        <v>#DIV/0!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t="e">
        <f t="shared" si="246"/>
        <v>#DIV/0!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t="e">
        <f t="shared" si="239"/>
        <v>#DIV/0!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t="e">
        <f t="shared" si="246"/>
        <v>#DIV/0!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t="e">
        <f t="shared" si="239"/>
        <v>#DIV/0!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t="e">
        <f t="shared" si="246"/>
        <v>#DIV/0!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t="e">
        <f t="shared" si="239"/>
        <v>#DIV/0!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t="e">
        <f t="shared" si="246"/>
        <v>#DIV/0!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t="e">
        <f t="shared" si="239"/>
        <v>#DIV/0!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t="e">
        <f t="shared" si="246"/>
        <v>#DIV/0!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t="e">
        <f t="shared" si="239"/>
        <v>#DIV/0!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t="e">
        <f t="shared" si="246"/>
        <v>#DIV/0!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t="e">
        <f t="shared" si="239"/>
        <v>#DIV/0!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t="e">
        <f t="shared" si="246"/>
        <v>#DIV/0!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t="e">
        <f t="shared" si="239"/>
        <v>#DIV/0!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t="e">
        <f t="shared" si="246"/>
        <v>#DIV/0!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t="e">
        <f t="shared" si="239"/>
        <v>#DIV/0!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t="e">
        <f t="shared" si="246"/>
        <v>#DIV/0!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t="e">
        <f t="shared" si="239"/>
        <v>#DIV/0!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t="e">
        <f t="shared" si="246"/>
        <v>#DIV/0!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t="e">
        <f t="shared" si="239"/>
        <v>#DIV/0!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t="e">
        <f t="shared" si="246"/>
        <v>#DIV/0!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t="e">
        <f t="shared" si="239"/>
        <v>#DIV/0!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t="e">
        <f t="shared" si="246"/>
        <v>#DIV/0!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t="e">
        <f t="shared" si="239"/>
        <v>#DIV/0!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t="e">
        <f t="shared" si="246"/>
        <v>#DIV/0!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t="e">
        <f t="shared" si="239"/>
        <v>#DIV/0!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t="e">
        <f t="shared" si="246"/>
        <v>#DIV/0!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t="e">
        <f t="shared" si="239"/>
        <v>#DIV/0!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t="e">
        <f t="shared" si="246"/>
        <v>#DIV/0!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t="e">
        <f t="shared" si="239"/>
        <v>#DIV/0!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t="e">
        <f t="shared" si="246"/>
        <v>#DIV/0!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t="e">
        <f t="shared" si="239"/>
        <v>#DIV/0!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t="e">
        <f t="shared" si="246"/>
        <v>#DIV/0!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t="e">
        <f t="shared" si="239"/>
        <v>#DIV/0!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t="e">
        <f t="shared" si="246"/>
        <v>#DIV/0!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t="e">
        <f t="shared" si="239"/>
        <v>#DIV/0!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t="e">
        <f t="shared" si="246"/>
        <v>#DIV/0!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t="e">
        <f t="shared" si="239"/>
        <v>#DIV/0!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t="e">
        <f t="shared" si="246"/>
        <v>#DIV/0!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t="e">
        <f t="shared" si="239"/>
        <v>#DIV/0!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t="e">
        <f t="shared" si="246"/>
        <v>#DIV/0!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t="e">
        <f t="shared" si="239"/>
        <v>#DIV/0!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t="e">
        <f t="shared" si="246"/>
        <v>#DIV/0!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t="e">
        <f t="shared" si="239"/>
        <v>#DIV/0!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t="e">
        <f t="shared" si="246"/>
        <v>#DIV/0!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t="e">
        <f t="shared" si="239"/>
        <v>#DIV/0!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t="e">
        <f t="shared" si="246"/>
        <v>#DIV/0!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t="e">
        <f t="shared" si="239"/>
        <v>#DIV/0!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t="e">
        <f t="shared" si="246"/>
        <v>#DIV/0!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t="e">
        <f t="shared" si="239"/>
        <v>#DIV/0!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t="e">
        <f t="shared" si="246"/>
        <v>#DIV/0!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t="e">
        <f t="shared" si="239"/>
        <v>#DIV/0!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t="e">
        <f t="shared" ref="AY490:AY521" si="271">ROUND($AY$6*AZ490/$AZ$5,2)</f>
        <v>#DIV/0!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t="e">
        <f t="shared" si="239"/>
        <v>#DIV/0!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t="e">
        <f t="shared" si="271"/>
        <v>#DIV/0!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t="e">
        <f t="shared" si="239"/>
        <v>#DIV/0!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t="e">
        <f t="shared" si="271"/>
        <v>#DIV/0!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t="e">
        <f t="shared" ref="E493:E519" si="293">IF($C$3="是",ROUND($A$3*G493/$B$3,2),ROUND($A$3*(G493-AT493)/$B$3,2))</f>
        <v>#DIV/0!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t="e">
        <f t="shared" si="271"/>
        <v>#DIV/0!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t="e">
        <f t="shared" si="293"/>
        <v>#DIV/0!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t="e">
        <f t="shared" si="271"/>
        <v>#DIV/0!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t="e">
        <f t="shared" si="293"/>
        <v>#DIV/0!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t="e">
        <f t="shared" si="271"/>
        <v>#DIV/0!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t="e">
        <f t="shared" si="293"/>
        <v>#DIV/0!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t="e">
        <f t="shared" si="271"/>
        <v>#DIV/0!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t="e">
        <f t="shared" si="293"/>
        <v>#DIV/0!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t="e">
        <f t="shared" si="271"/>
        <v>#DIV/0!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t="e">
        <f t="shared" si="293"/>
        <v>#DIV/0!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t="e">
        <f t="shared" si="271"/>
        <v>#DIV/0!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t="e">
        <f t="shared" si="293"/>
        <v>#DIV/0!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t="e">
        <f t="shared" si="271"/>
        <v>#DIV/0!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t="e">
        <f t="shared" si="293"/>
        <v>#DIV/0!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t="e">
        <f t="shared" si="271"/>
        <v>#DIV/0!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t="e">
        <f t="shared" si="293"/>
        <v>#DIV/0!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t="e">
        <f t="shared" si="271"/>
        <v>#DIV/0!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t="e">
        <f t="shared" si="293"/>
        <v>#DIV/0!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t="e">
        <f t="shared" si="271"/>
        <v>#DIV/0!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t="e">
        <f t="shared" si="293"/>
        <v>#DIV/0!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t="e">
        <f t="shared" si="271"/>
        <v>#DIV/0!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t="e">
        <f t="shared" si="293"/>
        <v>#DIV/0!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t="e">
        <f t="shared" si="271"/>
        <v>#DIV/0!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t="e">
        <f t="shared" si="293"/>
        <v>#DIV/0!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t="e">
        <f t="shared" si="271"/>
        <v>#DIV/0!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t="e">
        <f t="shared" si="293"/>
        <v>#DIV/0!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t="e">
        <f t="shared" si="271"/>
        <v>#DIV/0!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t="e">
        <f t="shared" si="293"/>
        <v>#DIV/0!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t="e">
        <f t="shared" si="271"/>
        <v>#DIV/0!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t="e">
        <f t="shared" si="293"/>
        <v>#DIV/0!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t="e">
        <f t="shared" si="271"/>
        <v>#DIV/0!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t="e">
        <f t="shared" si="293"/>
        <v>#DIV/0!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t="e">
        <f t="shared" si="271"/>
        <v>#DIV/0!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t="e">
        <f t="shared" si="293"/>
        <v>#DIV/0!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t="e">
        <f t="shared" si="271"/>
        <v>#DIV/0!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t="e">
        <f t="shared" si="293"/>
        <v>#DIV/0!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t="e">
        <f t="shared" si="271"/>
        <v>#DIV/0!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t="e">
        <f t="shared" si="293"/>
        <v>#DIV/0!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t="e">
        <f t="shared" si="271"/>
        <v>#DIV/0!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t="e">
        <f t="shared" si="293"/>
        <v>#DIV/0!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t="e">
        <f t="shared" si="271"/>
        <v>#DIV/0!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t="e">
        <f t="shared" si="293"/>
        <v>#DIV/0!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t="e">
        <f t="shared" si="271"/>
        <v>#DIV/0!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t="e">
        <f t="shared" si="293"/>
        <v>#DIV/0!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t="e">
        <f t="shared" si="271"/>
        <v>#DIV/0!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t="e">
        <f t="shared" si="293"/>
        <v>#DIV/0!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t="e">
        <f t="shared" si="271"/>
        <v>#DIV/0!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t="e">
        <f t="shared" si="293"/>
        <v>#DIV/0!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t="e">
        <f t="shared" si="271"/>
        <v>#DIV/0!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t="e">
        <f t="shared" si="293"/>
        <v>#DIV/0!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t="e">
        <f t="shared" si="271"/>
        <v>#DIV/0!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t="e">
        <f t="shared" si="293"/>
        <v>#DIV/0!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t="e">
        <f t="shared" si="271"/>
        <v>#DIV/0!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t="e">
        <f t="shared" ref="E520:E551" si="297">IF($C$3="是",ROUND($A$3*G520/$B$3,2),ROUND($A$3*(G520-AT520)/$B$3,2))</f>
        <v>#DIV/0!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t="e">
        <f t="shared" si="271"/>
        <v>#DIV/0!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t="e">
        <f t="shared" si="297"/>
        <v>#DIV/0!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t="e">
        <f t="shared" si="271"/>
        <v>#DIV/0!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t="e">
        <f t="shared" si="297"/>
        <v>#DIV/0!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t="e">
        <f t="shared" ref="AY522:AY552" si="304">ROUND($AY$6*AZ522/$AZ$5,2)</f>
        <v>#DIV/0!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t="e">
        <f t="shared" si="297"/>
        <v>#DIV/0!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t="e">
        <f t="shared" si="304"/>
        <v>#DIV/0!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t="e">
        <f t="shared" si="297"/>
        <v>#DIV/0!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t="e">
        <f t="shared" si="304"/>
        <v>#DIV/0!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t="e">
        <f t="shared" si="297"/>
        <v>#DIV/0!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t="e">
        <f t="shared" si="304"/>
        <v>#DIV/0!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t="e">
        <f t="shared" si="297"/>
        <v>#DIV/0!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t="e">
        <f t="shared" si="304"/>
        <v>#DIV/0!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t="e">
        <f t="shared" si="297"/>
        <v>#DIV/0!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t="e">
        <f t="shared" si="304"/>
        <v>#DIV/0!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t="e">
        <f t="shared" si="297"/>
        <v>#DIV/0!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t="e">
        <f t="shared" si="304"/>
        <v>#DIV/0!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t="e">
        <f t="shared" si="297"/>
        <v>#DIV/0!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t="e">
        <f t="shared" si="304"/>
        <v>#DIV/0!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t="e">
        <f t="shared" si="297"/>
        <v>#DIV/0!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t="e">
        <f t="shared" si="304"/>
        <v>#DIV/0!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t="e">
        <f t="shared" si="297"/>
        <v>#DIV/0!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t="e">
        <f t="shared" si="304"/>
        <v>#DIV/0!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t="e">
        <f t="shared" si="297"/>
        <v>#DIV/0!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t="e">
        <f t="shared" si="304"/>
        <v>#DIV/0!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t="e">
        <f t="shared" si="297"/>
        <v>#DIV/0!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t="e">
        <f t="shared" si="304"/>
        <v>#DIV/0!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t="e">
        <f t="shared" si="297"/>
        <v>#DIV/0!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t="e">
        <f t="shared" si="304"/>
        <v>#DIV/0!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t="e">
        <f t="shared" si="297"/>
        <v>#DIV/0!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t="e">
        <f t="shared" si="304"/>
        <v>#DIV/0!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t="e">
        <f t="shared" si="297"/>
        <v>#DIV/0!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t="e">
        <f t="shared" si="304"/>
        <v>#DIV/0!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t="e">
        <f t="shared" si="297"/>
        <v>#DIV/0!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t="e">
        <f t="shared" si="304"/>
        <v>#DIV/0!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t="e">
        <f t="shared" si="297"/>
        <v>#DIV/0!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t="e">
        <f t="shared" si="304"/>
        <v>#DIV/0!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t="e">
        <f t="shared" si="297"/>
        <v>#DIV/0!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t="e">
        <f t="shared" si="304"/>
        <v>#DIV/0!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t="e">
        <f t="shared" si="297"/>
        <v>#DIV/0!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t="e">
        <f t="shared" si="304"/>
        <v>#DIV/0!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t="e">
        <f t="shared" si="297"/>
        <v>#DIV/0!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t="e">
        <f t="shared" si="304"/>
        <v>#DIV/0!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t="e">
        <f t="shared" si="297"/>
        <v>#DIV/0!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t="e">
        <f t="shared" si="304"/>
        <v>#DIV/0!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t="e">
        <f t="shared" si="297"/>
        <v>#DIV/0!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t="e">
        <f t="shared" si="304"/>
        <v>#DIV/0!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t="e">
        <f t="shared" si="297"/>
        <v>#DIV/0!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t="e">
        <f t="shared" si="304"/>
        <v>#DIV/0!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t="e">
        <f t="shared" si="297"/>
        <v>#DIV/0!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t="e">
        <f t="shared" si="304"/>
        <v>#DIV/0!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t="e">
        <f t="shared" si="297"/>
        <v>#DIV/0!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t="e">
        <f t="shared" si="304"/>
        <v>#DIV/0!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t="e">
        <f t="shared" si="297"/>
        <v>#DIV/0!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t="e">
        <f t="shared" si="304"/>
        <v>#DIV/0!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t="e">
        <f t="shared" si="297"/>
        <v>#DIV/0!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t="e">
        <f t="shared" si="304"/>
        <v>#DIV/0!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t="e">
        <f t="shared" si="297"/>
        <v>#DIV/0!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t="e">
        <f t="shared" si="304"/>
        <v>#DIV/0!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t="e">
        <f t="shared" si="297"/>
        <v>#DIV/0!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t="e">
        <f t="shared" si="304"/>
        <v>#DIV/0!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t="e">
        <f t="shared" si="297"/>
        <v>#DIV/0!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t="e">
        <f t="shared" si="304"/>
        <v>#DIV/0!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t="e">
        <f t="shared" ref="E552:E587" si="326">IF($C$3="是",ROUND($A$3*G552/$B$3,2),ROUND($A$3*(G552-AT552)/$B$3,2))</f>
        <v>#DIV/0!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t="e">
        <f t="shared" si="304"/>
        <v>#DIV/0!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t="e">
        <f t="shared" si="326"/>
        <v>#DIV/0!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t="e">
        <f t="shared" ref="AY553:AY584" si="333">ROUND($AY$6*AZ553/$AZ$5,2)</f>
        <v>#DIV/0!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t="e">
        <f t="shared" si="326"/>
        <v>#DIV/0!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t="e">
        <f t="shared" si="333"/>
        <v>#DIV/0!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t="e">
        <f t="shared" si="326"/>
        <v>#DIV/0!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t="e">
        <f t="shared" si="333"/>
        <v>#DIV/0!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t="e">
        <f t="shared" si="326"/>
        <v>#DIV/0!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t="e">
        <f t="shared" si="333"/>
        <v>#DIV/0!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t="e">
        <f t="shared" si="326"/>
        <v>#DIV/0!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t="e">
        <f t="shared" si="333"/>
        <v>#DIV/0!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t="e">
        <f t="shared" si="326"/>
        <v>#DIV/0!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t="e">
        <f t="shared" si="333"/>
        <v>#DIV/0!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t="e">
        <f t="shared" si="326"/>
        <v>#DIV/0!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t="e">
        <f t="shared" si="333"/>
        <v>#DIV/0!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t="e">
        <f t="shared" si="326"/>
        <v>#DIV/0!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t="e">
        <f t="shared" si="333"/>
        <v>#DIV/0!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t="e">
        <f t="shared" si="326"/>
        <v>#DIV/0!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t="e">
        <f t="shared" si="333"/>
        <v>#DIV/0!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t="e">
        <f t="shared" si="326"/>
        <v>#DIV/0!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t="e">
        <f t="shared" si="333"/>
        <v>#DIV/0!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t="e">
        <f t="shared" si="326"/>
        <v>#DIV/0!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t="e">
        <f t="shared" si="333"/>
        <v>#DIV/0!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t="e">
        <f t="shared" si="326"/>
        <v>#DIV/0!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t="e">
        <f t="shared" si="333"/>
        <v>#DIV/0!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t="e">
        <f t="shared" si="326"/>
        <v>#DIV/0!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t="e">
        <f t="shared" si="333"/>
        <v>#DIV/0!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t="e">
        <f t="shared" si="326"/>
        <v>#DIV/0!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t="e">
        <f t="shared" si="333"/>
        <v>#DIV/0!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t="e">
        <f t="shared" si="326"/>
        <v>#DIV/0!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t="e">
        <f t="shared" si="333"/>
        <v>#DIV/0!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t="e">
        <f t="shared" si="326"/>
        <v>#DIV/0!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t="e">
        <f t="shared" si="333"/>
        <v>#DIV/0!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t="e">
        <f t="shared" si="326"/>
        <v>#DIV/0!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t="e">
        <f t="shared" si="333"/>
        <v>#DIV/0!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t="e">
        <f t="shared" si="326"/>
        <v>#DIV/0!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t="e">
        <f t="shared" si="333"/>
        <v>#DIV/0!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t="e">
        <f t="shared" si="326"/>
        <v>#DIV/0!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t="e">
        <f t="shared" si="333"/>
        <v>#DIV/0!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t="e">
        <f t="shared" si="326"/>
        <v>#DIV/0!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t="e">
        <f t="shared" si="333"/>
        <v>#DIV/0!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t="e">
        <f t="shared" si="326"/>
        <v>#DIV/0!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t="e">
        <f t="shared" si="333"/>
        <v>#DIV/0!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t="e">
        <f t="shared" si="326"/>
        <v>#DIV/0!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t="e">
        <f t="shared" si="333"/>
        <v>#DIV/0!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t="e">
        <f t="shared" si="326"/>
        <v>#DIV/0!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t="e">
        <f t="shared" si="333"/>
        <v>#DIV/0!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t="e">
        <f t="shared" si="326"/>
        <v>#DIV/0!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t="e">
        <f t="shared" si="333"/>
        <v>#DIV/0!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t="e">
        <f t="shared" si="326"/>
        <v>#DIV/0!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t="e">
        <f t="shared" si="333"/>
        <v>#DIV/0!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t="e">
        <f t="shared" si="326"/>
        <v>#DIV/0!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t="e">
        <f t="shared" si="333"/>
        <v>#DIV/0!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t="e">
        <f t="shared" si="326"/>
        <v>#DIV/0!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t="e">
        <f t="shared" si="333"/>
        <v>#DIV/0!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t="e">
        <f t="shared" si="326"/>
        <v>#DIV/0!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t="e">
        <f t="shared" si="333"/>
        <v>#DIV/0!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t="e">
        <f t="shared" si="326"/>
        <v>#DIV/0!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t="e">
        <f t="shared" si="333"/>
        <v>#DIV/0!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t="e">
        <f t="shared" si="326"/>
        <v>#DIV/0!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t="e">
        <f t="shared" si="333"/>
        <v>#DIV/0!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t="e">
        <f t="shared" si="326"/>
        <v>#DIV/0!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t="e">
        <f t="shared" si="333"/>
        <v>#DIV/0!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t="e">
        <f t="shared" si="326"/>
        <v>#DIV/0!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t="e">
        <f t="shared" si="333"/>
        <v>#DIV/0!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t="e">
        <f t="shared" si="326"/>
        <v>#DIV/0!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t="e">
        <f>ROUND($AY$6*AZ585/$AZ$5,2)</f>
        <v>#DIV/0!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t="e">
        <f t="shared" si="326"/>
        <v>#DIV/0!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t="e">
        <f>ROUND($AY$6*AZ586/$AZ$5,2)</f>
        <v>#DIV/0!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t="e">
        <f t="shared" si="326"/>
        <v>#DIV/0!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t="e">
        <f>ROUND($AY$6*AZ587/$AZ$5,2)</f>
        <v>#DIV/0!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I17" sqref="I17"/>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59" t="s">
        <v>1131</v>
      </c>
      <c r="B2" s="3559"/>
      <c r="C2" s="3559"/>
      <c r="D2" s="796" t="s">
        <v>1107</v>
      </c>
      <c r="E2" s="1639" t="s">
        <v>1108</v>
      </c>
      <c r="F2" s="2659"/>
      <c r="G2" s="2650"/>
      <c r="H2" s="2651"/>
      <c r="I2" s="2325" t="s">
        <v>1132</v>
      </c>
      <c r="J2" s="2659"/>
      <c r="K2" s="2659"/>
      <c r="L2" s="2659"/>
      <c r="M2" s="2659"/>
      <c r="N2" s="2661"/>
      <c r="O2" s="2659"/>
      <c r="P2" s="2659"/>
    </row>
    <row r="3" spans="1:16" ht="15.75" thickBot="1">
      <c r="A3" s="3560" t="s">
        <v>1105</v>
      </c>
      <c r="B3" s="3560"/>
      <c r="C3" s="3560"/>
      <c r="D3" s="43" t="e">
        <f>'数据-基础表'!AY6</f>
        <v>#DIV/0!</v>
      </c>
      <c r="E3" s="43">
        <f>'数据-基础表'!AZ5</f>
        <v>0</v>
      </c>
      <c r="F3" s="2659"/>
      <c r="G3" s="1145"/>
      <c r="H3" s="1026" t="s">
        <v>1106</v>
      </c>
      <c r="I3" s="855" t="e">
        <f>ROUND('数据-基础表'!B3/'数据-基础表'!A3,2)</f>
        <v>#DIV/0!</v>
      </c>
      <c r="J3" s="2659"/>
      <c r="K3" s="2659"/>
      <c r="L3" s="2659"/>
      <c r="M3" s="2659"/>
      <c r="N3" s="2661"/>
      <c r="O3" s="2659"/>
      <c r="P3" s="2659"/>
    </row>
    <row r="4" spans="1:16" ht="15">
      <c r="A4" s="3561"/>
      <c r="B4" s="3562"/>
      <c r="C4" s="3563"/>
      <c r="D4" s="1641" t="s">
        <v>1107</v>
      </c>
      <c r="E4" s="1642" t="s">
        <v>1108</v>
      </c>
      <c r="F4" s="2659"/>
      <c r="G4" s="2652" t="s">
        <v>1133</v>
      </c>
      <c r="H4" s="1026" t="s">
        <v>1113</v>
      </c>
      <c r="I4" s="855" t="e">
        <f>ROUND(SUMIF('数据-基础表'!I9:AS9,"地上",'数据-基础表'!I5:AS5)/'数据-基础表'!A3,2)</f>
        <v>#DIV/0!</v>
      </c>
      <c r="J4" s="2659"/>
      <c r="K4" s="2659"/>
      <c r="L4" s="2659"/>
      <c r="M4" s="2659"/>
      <c r="N4" s="2661"/>
      <c r="O4" s="2659"/>
      <c r="P4" s="2659"/>
    </row>
    <row r="5" spans="1:16">
      <c r="A5" s="44" t="s">
        <v>1109</v>
      </c>
      <c r="B5" s="3564" t="s">
        <v>1110</v>
      </c>
      <c r="C5" s="3564"/>
      <c r="D5" s="45" t="e">
        <f>ROUND($D$3*E5/$E$3,2)</f>
        <v>#DIV/0!</v>
      </c>
      <c r="E5" s="46">
        <f>SUMIF('数据-基础表'!$11:$11,"住宅",'数据-基础表'!$5:$5)</f>
        <v>0</v>
      </c>
      <c r="F5" s="2659"/>
      <c r="G5" s="1145"/>
      <c r="H5" s="1026" t="s">
        <v>1106</v>
      </c>
      <c r="I5" s="855" t="e">
        <f>ROUND(E31/D31,2)</f>
        <v>#DIV/0!</v>
      </c>
      <c r="J5" s="2659"/>
      <c r="K5" s="2659"/>
      <c r="L5" s="2659"/>
      <c r="M5" s="2659"/>
      <c r="N5" s="2659"/>
      <c r="O5" s="2659"/>
      <c r="P5" s="2659"/>
    </row>
    <row r="6" spans="1:16" ht="15" thickBot="1">
      <c r="A6" s="1644"/>
      <c r="B6" s="3564" t="s">
        <v>1111</v>
      </c>
      <c r="C6" s="3564"/>
      <c r="D6" s="45" t="e">
        <f>ROUND($D$3*E6/$E$3,2)</f>
        <v>#DIV/0!</v>
      </c>
      <c r="E6" s="46">
        <f>E3-E5</f>
        <v>0</v>
      </c>
      <c r="F6" s="2659"/>
      <c r="G6" s="2653" t="s">
        <v>1112</v>
      </c>
      <c r="H6" s="1146" t="s">
        <v>1113</v>
      </c>
      <c r="I6" s="2654" t="e">
        <f>ROUND(F31/D31,2)</f>
        <v>#DIV/0!</v>
      </c>
      <c r="J6" s="2659"/>
      <c r="K6" s="2659"/>
      <c r="L6" s="2659"/>
      <c r="M6" s="2659"/>
      <c r="N6" s="2659"/>
      <c r="O6" s="2659"/>
      <c r="P6" s="2659"/>
    </row>
    <row r="7" spans="1:16" ht="15.75" thickBot="1">
      <c r="A7" s="3556"/>
      <c r="B7" s="3557"/>
      <c r="C7" s="3558"/>
      <c r="D7" s="1641" t="s">
        <v>1107</v>
      </c>
      <c r="E7" s="1645" t="s">
        <v>1114</v>
      </c>
      <c r="F7" s="2659"/>
      <c r="G7" s="2655" t="s">
        <v>1115</v>
      </c>
      <c r="H7" s="2656"/>
      <c r="I7" s="2657"/>
      <c r="J7" s="2659"/>
      <c r="K7" s="2659"/>
      <c r="L7" s="2659"/>
      <c r="M7" s="2659"/>
      <c r="N7" s="2659"/>
      <c r="O7" s="2659"/>
      <c r="P7" s="2659"/>
    </row>
    <row r="8" spans="1:16">
      <c r="A8" s="44" t="s">
        <v>1116</v>
      </c>
      <c r="B8" s="47" t="s">
        <v>1117</v>
      </c>
      <c r="C8" s="45" t="s">
        <v>1118</v>
      </c>
      <c r="D8" s="45" t="e">
        <f t="shared" ref="D8:D15" si="0">ROUND($D$3*E8/$E$3,2)</f>
        <v>#DIV/0!</v>
      </c>
      <c r="E8" s="48">
        <f>SUMIF('数据-基础表'!BB10:BK10,"地上",'数据-基础表'!BB5:BK5)</f>
        <v>0</v>
      </c>
      <c r="F8" s="2659"/>
      <c r="G8" s="2660"/>
      <c r="H8" s="2660"/>
      <c r="I8" s="2659"/>
      <c r="J8" s="2659"/>
      <c r="K8" s="2659"/>
      <c r="L8" s="2659"/>
      <c r="M8" s="2659"/>
      <c r="N8" s="2659"/>
      <c r="O8" s="2659"/>
      <c r="P8" s="2659"/>
    </row>
    <row r="9" spans="1:16">
      <c r="A9" s="1646"/>
      <c r="B9" s="1647"/>
      <c r="C9" s="45" t="s">
        <v>1119</v>
      </c>
      <c r="D9" s="45" t="e">
        <f t="shared" si="0"/>
        <v>#DIV/0!</v>
      </c>
      <c r="E9" s="49">
        <v>0</v>
      </c>
      <c r="F9" s="2659"/>
      <c r="G9" s="2660"/>
      <c r="H9" s="2660"/>
      <c r="I9" s="2659"/>
      <c r="J9" s="2659"/>
      <c r="K9" s="2659"/>
      <c r="L9" s="2659"/>
      <c r="M9" s="2659"/>
      <c r="N9" s="2659"/>
      <c r="O9" s="2659"/>
      <c r="P9" s="2659"/>
    </row>
    <row r="10" spans="1:16">
      <c r="A10" s="1646"/>
      <c r="B10" s="1647"/>
      <c r="C10" s="45" t="s">
        <v>1128</v>
      </c>
      <c r="D10" s="45" t="e">
        <f t="shared" si="0"/>
        <v>#DIV/0!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1120</v>
      </c>
      <c r="D11" s="45" t="e">
        <f t="shared" si="0"/>
        <v>#DIV/0!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t="e">
        <f t="shared" si="0"/>
        <v>#DIV/0!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t="e">
        <f t="shared" si="0"/>
        <v>#DIV/0!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t="e">
        <f t="shared" si="0"/>
        <v>#DIV/0!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t="e">
        <f t="shared" si="0"/>
        <v>#DIV/0!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t="e">
        <f>SUM(D8:D15)</f>
        <v>#DIV/0!</v>
      </c>
      <c r="E16" s="50">
        <f>SUM(E8:E15)</f>
        <v>0</v>
      </c>
      <c r="F16" s="2659"/>
      <c r="G16" s="2660"/>
      <c r="H16" s="1648" t="s">
        <v>1135</v>
      </c>
      <c r="I16" s="1649"/>
      <c r="J16" s="1139"/>
      <c r="K16" s="3553" t="s">
        <v>1135</v>
      </c>
      <c r="L16" s="3554"/>
      <c r="M16" s="3554"/>
      <c r="N16" s="3554"/>
      <c r="O16" s="3554"/>
      <c r="P16" s="3555"/>
    </row>
    <row r="17" spans="1:19" ht="15">
      <c r="A17" s="1650" t="s">
        <v>1136</v>
      </c>
      <c r="B17" s="1651" t="s">
        <v>1137</v>
      </c>
      <c r="C17" s="1652" t="s">
        <v>1138</v>
      </c>
      <c r="D17" s="1653" t="s">
        <v>1126</v>
      </c>
      <c r="E17" s="1654" t="s">
        <v>1127</v>
      </c>
      <c r="F17" s="1655"/>
      <c r="G17" s="1656"/>
      <c r="H17" s="1657" t="s">
        <v>1139</v>
      </c>
      <c r="I17" s="1658" t="s">
        <v>1124</v>
      </c>
      <c r="J17" s="1139"/>
      <c r="K17" s="3550" t="s">
        <v>1140</v>
      </c>
      <c r="L17" s="3551"/>
      <c r="M17" s="3552"/>
      <c r="N17" s="3550" t="s">
        <v>1141</v>
      </c>
      <c r="O17" s="3551"/>
      <c r="P17" s="3552"/>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c r="D19" s="45" t="e">
        <f>ROUND($D$3*E19/$E$3,2)</f>
        <v>#DIV/0!</v>
      </c>
      <c r="E19" s="53">
        <f t="shared" ref="E19:E26" si="1">SUM(F19:G19)</f>
        <v>0</v>
      </c>
      <c r="F19" s="2795"/>
      <c r="G19" s="2796"/>
      <c r="H19" s="670" t="e">
        <f>ROUND($D$3*I19/$E$3,2)</f>
        <v>#DIV/0!</v>
      </c>
      <c r="I19" s="48" t="e">
        <f t="shared" ref="I19:I26" si="2">IF($I$17="自定义",P19,M19)</f>
        <v>#DIV/0!</v>
      </c>
      <c r="J19" s="1139"/>
      <c r="K19" s="1138" t="e">
        <f t="shared" ref="K19:K26" si="3">ROUND(E$28*E19/E$27,2)</f>
        <v>#DIV/0!</v>
      </c>
      <c r="L19" s="1026">
        <f t="shared" ref="L19:L26" si="4">ROUND(IF(COUNTIF(C19,"*住宅*")&gt;0,E$29*E19/E$32,0),2)</f>
        <v>0</v>
      </c>
      <c r="M19" s="1150" t="e">
        <f>K19+L19</f>
        <v>#DIV/0!</v>
      </c>
      <c r="N19" s="1668"/>
      <c r="O19" s="1669"/>
      <c r="P19" s="1150">
        <f>N19+O19</f>
        <v>0</v>
      </c>
      <c r="R19" s="1026" t="e">
        <f t="shared" ref="R19:S26" si="5">D19+H19</f>
        <v>#DIV/0!</v>
      </c>
      <c r="S19" s="1027" t="e">
        <f t="shared" si="5"/>
        <v>#DIV/0!</v>
      </c>
    </row>
    <row r="20" spans="1:19">
      <c r="A20" s="1670"/>
      <c r="B20" s="47" t="s">
        <v>1153</v>
      </c>
      <c r="C20" s="3417"/>
      <c r="D20" s="45" t="e">
        <f t="shared" ref="D20:D26" si="6">ROUND($D$3*E20/$E$3,2)</f>
        <v>#DIV/0!</v>
      </c>
      <c r="E20" s="53">
        <f t="shared" si="1"/>
        <v>0</v>
      </c>
      <c r="F20" s="2795"/>
      <c r="G20" s="2796"/>
      <c r="H20" s="670" t="e">
        <f t="shared" ref="H20:H26" si="7">ROUND($D$3*I20/$E$3,2)</f>
        <v>#DIV/0!</v>
      </c>
      <c r="I20" s="48" t="e">
        <f t="shared" si="2"/>
        <v>#DIV/0!</v>
      </c>
      <c r="J20" s="1139"/>
      <c r="K20" s="1138" t="e">
        <f t="shared" si="3"/>
        <v>#DIV/0!</v>
      </c>
      <c r="L20" s="1026">
        <f t="shared" si="4"/>
        <v>0</v>
      </c>
      <c r="M20" s="1150" t="e">
        <f t="shared" ref="M20:M26" si="8">K20+L20</f>
        <v>#DIV/0!</v>
      </c>
      <c r="N20" s="1668"/>
      <c r="O20" s="1669"/>
      <c r="P20" s="1150">
        <f t="shared" ref="P20:P26" si="9">N20+O20</f>
        <v>0</v>
      </c>
      <c r="R20" s="1026" t="e">
        <f t="shared" si="5"/>
        <v>#DIV/0!</v>
      </c>
      <c r="S20" s="1027" t="e">
        <f t="shared" si="5"/>
        <v>#DIV/0!</v>
      </c>
    </row>
    <row r="21" spans="1:19">
      <c r="A21" s="1670"/>
      <c r="B21" s="47" t="s">
        <v>1153</v>
      </c>
      <c r="C21" s="3417"/>
      <c r="D21" s="45" t="e">
        <f t="shared" si="6"/>
        <v>#DIV/0!</v>
      </c>
      <c r="E21" s="53">
        <f t="shared" si="1"/>
        <v>0</v>
      </c>
      <c r="F21" s="2795"/>
      <c r="G21" s="2796"/>
      <c r="H21" s="670" t="e">
        <f t="shared" si="7"/>
        <v>#DIV/0!</v>
      </c>
      <c r="I21" s="48" t="e">
        <f t="shared" si="2"/>
        <v>#DIV/0!</v>
      </c>
      <c r="J21" s="1139"/>
      <c r="K21" s="1138" t="e">
        <f t="shared" si="3"/>
        <v>#DIV/0!</v>
      </c>
      <c r="L21" s="1026">
        <f t="shared" si="4"/>
        <v>0</v>
      </c>
      <c r="M21" s="1150" t="e">
        <f t="shared" si="8"/>
        <v>#DIV/0!</v>
      </c>
      <c r="N21" s="1668"/>
      <c r="O21" s="1669"/>
      <c r="P21" s="1150">
        <f t="shared" si="9"/>
        <v>0</v>
      </c>
      <c r="R21" s="1026" t="e">
        <f t="shared" si="5"/>
        <v>#DIV/0!</v>
      </c>
      <c r="S21" s="1027" t="e">
        <f t="shared" si="5"/>
        <v>#DIV/0!</v>
      </c>
    </row>
    <row r="22" spans="1:19">
      <c r="A22" s="1670"/>
      <c r="B22" s="47" t="s">
        <v>1153</v>
      </c>
      <c r="C22" s="3418"/>
      <c r="D22" s="45" t="e">
        <f t="shared" si="6"/>
        <v>#DIV/0!</v>
      </c>
      <c r="E22" s="53">
        <f t="shared" si="1"/>
        <v>0</v>
      </c>
      <c r="F22" s="2797"/>
      <c r="G22" s="2798"/>
      <c r="H22" s="670" t="e">
        <f t="shared" si="7"/>
        <v>#DIV/0!</v>
      </c>
      <c r="I22" s="48" t="e">
        <f t="shared" si="2"/>
        <v>#DIV/0!</v>
      </c>
      <c r="J22" s="1139"/>
      <c r="K22" s="1138" t="e">
        <f t="shared" si="3"/>
        <v>#DIV/0!</v>
      </c>
      <c r="L22" s="1026">
        <f t="shared" si="4"/>
        <v>0</v>
      </c>
      <c r="M22" s="1150" t="e">
        <f t="shared" si="8"/>
        <v>#DIV/0!</v>
      </c>
      <c r="N22" s="1668"/>
      <c r="O22" s="1669"/>
      <c r="P22" s="1150">
        <f t="shared" si="9"/>
        <v>0</v>
      </c>
      <c r="R22" s="1026" t="e">
        <f t="shared" si="5"/>
        <v>#DIV/0!</v>
      </c>
      <c r="S22" s="1027" t="e">
        <f t="shared" si="5"/>
        <v>#DIV/0!</v>
      </c>
    </row>
    <row r="23" spans="1:19">
      <c r="A23" s="1670"/>
      <c r="B23" s="47" t="s">
        <v>1153</v>
      </c>
      <c r="C23" s="3418"/>
      <c r="D23" s="45" t="e">
        <f>ROUND($D$3*E23/$E$3,2)</f>
        <v>#DIV/0!</v>
      </c>
      <c r="E23" s="53">
        <f>SUM(F23:G23)</f>
        <v>0</v>
      </c>
      <c r="F23" s="2797"/>
      <c r="G23" s="2798"/>
      <c r="H23" s="670" t="e">
        <f>ROUND($D$3*I23/$E$3,2)</f>
        <v>#DIV/0!</v>
      </c>
      <c r="I23" s="48" t="e">
        <f t="shared" si="2"/>
        <v>#DIV/0!</v>
      </c>
      <c r="J23" s="1139"/>
      <c r="K23" s="1138" t="e">
        <f t="shared" si="3"/>
        <v>#DIV/0!</v>
      </c>
      <c r="L23" s="1026">
        <f t="shared" si="4"/>
        <v>0</v>
      </c>
      <c r="M23" s="1150" t="e">
        <f t="shared" si="8"/>
        <v>#DIV/0!</v>
      </c>
      <c r="N23" s="1668"/>
      <c r="O23" s="1669"/>
      <c r="P23" s="1150">
        <f t="shared" si="9"/>
        <v>0</v>
      </c>
      <c r="R23" s="1026" t="e">
        <f t="shared" si="5"/>
        <v>#DIV/0!</v>
      </c>
      <c r="S23" s="1027" t="e">
        <f t="shared" si="5"/>
        <v>#DIV/0!</v>
      </c>
    </row>
    <row r="24" spans="1:19">
      <c r="A24" s="1670"/>
      <c r="B24" s="47" t="s">
        <v>1153</v>
      </c>
      <c r="C24" s="3418"/>
      <c r="D24" s="45" t="e">
        <f>ROUND($D$3*E24/$E$3,2)</f>
        <v>#DIV/0!</v>
      </c>
      <c r="E24" s="53">
        <f>SUM(F24:G24)</f>
        <v>0</v>
      </c>
      <c r="F24" s="2797"/>
      <c r="G24" s="2798"/>
      <c r="H24" s="670" t="e">
        <f>ROUND($D$3*I24/$E$3,2)</f>
        <v>#DIV/0!</v>
      </c>
      <c r="I24" s="48" t="e">
        <f t="shared" si="2"/>
        <v>#DIV/0!</v>
      </c>
      <c r="J24" s="1139"/>
      <c r="K24" s="1138" t="e">
        <f t="shared" si="3"/>
        <v>#DIV/0!</v>
      </c>
      <c r="L24" s="1026">
        <f t="shared" si="4"/>
        <v>0</v>
      </c>
      <c r="M24" s="1150" t="e">
        <f t="shared" si="8"/>
        <v>#DIV/0!</v>
      </c>
      <c r="N24" s="1668"/>
      <c r="O24" s="1669"/>
      <c r="P24" s="1150">
        <f t="shared" si="9"/>
        <v>0</v>
      </c>
      <c r="R24" s="1026" t="e">
        <f t="shared" si="5"/>
        <v>#DIV/0!</v>
      </c>
      <c r="S24" s="1027" t="e">
        <f t="shared" si="5"/>
        <v>#DIV/0!</v>
      </c>
    </row>
    <row r="25" spans="1:19">
      <c r="A25" s="1670"/>
      <c r="B25" s="47" t="s">
        <v>1153</v>
      </c>
      <c r="C25" s="3418"/>
      <c r="D25" s="45" t="e">
        <f t="shared" si="6"/>
        <v>#DIV/0!</v>
      </c>
      <c r="E25" s="53">
        <f t="shared" si="1"/>
        <v>0</v>
      </c>
      <c r="F25" s="2797"/>
      <c r="G25" s="2798"/>
      <c r="H25" s="44" t="e">
        <f t="shared" si="7"/>
        <v>#DIV/0!</v>
      </c>
      <c r="I25" s="48" t="e">
        <f t="shared" si="2"/>
        <v>#DIV/0!</v>
      </c>
      <c r="J25" s="1139"/>
      <c r="K25" s="1138" t="e">
        <f t="shared" si="3"/>
        <v>#DIV/0!</v>
      </c>
      <c r="L25" s="1026">
        <f t="shared" si="4"/>
        <v>0</v>
      </c>
      <c r="M25" s="1150" t="e">
        <f t="shared" si="8"/>
        <v>#DIV/0!</v>
      </c>
      <c r="N25" s="1668"/>
      <c r="O25" s="1669"/>
      <c r="P25" s="1150">
        <f t="shared" si="9"/>
        <v>0</v>
      </c>
      <c r="R25" s="1026" t="e">
        <f t="shared" si="5"/>
        <v>#DIV/0!</v>
      </c>
      <c r="S25" s="1027" t="e">
        <f t="shared" si="5"/>
        <v>#DIV/0!</v>
      </c>
    </row>
    <row r="26" spans="1:19">
      <c r="A26" s="1670"/>
      <c r="B26" s="47" t="s">
        <v>1153</v>
      </c>
      <c r="C26" s="55"/>
      <c r="D26" s="45" t="e">
        <f t="shared" si="6"/>
        <v>#DIV/0!</v>
      </c>
      <c r="E26" s="53">
        <f t="shared" si="1"/>
        <v>0</v>
      </c>
      <c r="F26" s="2797"/>
      <c r="G26" s="2798"/>
      <c r="H26" s="44" t="e">
        <f t="shared" si="7"/>
        <v>#DIV/0!</v>
      </c>
      <c r="I26" s="48" t="e">
        <f t="shared" si="2"/>
        <v>#DIV/0!</v>
      </c>
      <c r="J26" s="1139"/>
      <c r="K26" s="1145" t="e">
        <f t="shared" si="3"/>
        <v>#DIV/0!</v>
      </c>
      <c r="L26" s="1146">
        <f t="shared" si="4"/>
        <v>0</v>
      </c>
      <c r="M26" s="59" t="e">
        <f t="shared" si="8"/>
        <v>#DIV/0!</v>
      </c>
      <c r="N26" s="1671"/>
      <c r="O26" s="1672"/>
      <c r="P26" s="59">
        <f t="shared" si="9"/>
        <v>0</v>
      </c>
      <c r="R26" s="1026" t="e">
        <f t="shared" si="5"/>
        <v>#DIV/0!</v>
      </c>
      <c r="S26" s="1027" t="e">
        <f t="shared" si="5"/>
        <v>#DIV/0!</v>
      </c>
    </row>
    <row r="27" spans="1:19" ht="15.75" thickBot="1">
      <c r="A27" s="1670"/>
      <c r="B27" s="45"/>
      <c r="C27" s="1673" t="s">
        <v>1154</v>
      </c>
      <c r="D27" s="1140" t="e">
        <f>SUM(D19:D26)</f>
        <v>#DIV/0!</v>
      </c>
      <c r="E27" s="1141">
        <f>IF(SUM(E19:E26)='数据-基础表'!BA5,SUM(E19:E26),IF(F27="地上面积有误","面积有误","地下面积有误"))</f>
        <v>0</v>
      </c>
      <c r="F27" s="1140">
        <f>IF(SUM(F19:F26)=E8,SUM(F19:F26),"地上面积有误")</f>
        <v>0</v>
      </c>
      <c r="G27" s="1142">
        <f>SUM(G19:G26)</f>
        <v>0</v>
      </c>
      <c r="H27" s="1143" t="e">
        <f>SUM(H19:H26)</f>
        <v>#DIV/0!</v>
      </c>
      <c r="I27" s="1144" t="e">
        <f>SUM(I19:I26)</f>
        <v>#DIV/0!</v>
      </c>
      <c r="J27" s="1139"/>
      <c r="K27" s="1147" t="e">
        <f>SUM(K19:K26)</f>
        <v>#DIV/0!</v>
      </c>
      <c r="L27" s="1148">
        <f>SUM(L19:L26)</f>
        <v>0</v>
      </c>
      <c r="M27" s="1151" t="e">
        <f>SUM(M19:M26)</f>
        <v>#DIV/0!</v>
      </c>
      <c r="N27" s="1147">
        <f t="shared" ref="N27:O27" si="10">SUM(N19:N26)</f>
        <v>0</v>
      </c>
      <c r="O27" s="1148">
        <f t="shared" si="10"/>
        <v>0</v>
      </c>
      <c r="P27" s="1149">
        <f>SUM(P19:P26)</f>
        <v>0</v>
      </c>
      <c r="R27" s="1028" t="e">
        <f>IF(SUM(R19:R26)=$D$3,SUM(R19:R26),SUM(R19:R26)&amp;"误差"&amp;ROUND(SUM(R19:R26)-$D$3,2))</f>
        <v>#DIV/0!</v>
      </c>
      <c r="S27" s="1026" t="e">
        <f>IF(SUM(S19:S26)=$E$3,SUM(S19:S26),SUM(S19:S26)&amp;"误差"&amp;ROUND(SUM(S19:S26)-E3,2))</f>
        <v>#DIV/0!</v>
      </c>
    </row>
    <row r="28" spans="1:19">
      <c r="A28" s="1670"/>
      <c r="B28" s="47" t="s">
        <v>1155</v>
      </c>
      <c r="C28" s="1038" t="s">
        <v>1156</v>
      </c>
      <c r="D28" s="45" t="e">
        <f>ROUND($D$3*E28/$E$3,2)</f>
        <v>#DIV/0!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t="e">
        <f>ROUND($D$3*E29/$E$3,2)</f>
        <v>#DIV/0!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t="e">
        <f>SUM(D28:D29)</f>
        <v>#DIV/0!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t="e">
        <f>D27+D30</f>
        <v>#DIV/0!</v>
      </c>
      <c r="E31" s="676">
        <f>E27+E30</f>
        <v>0</v>
      </c>
      <c r="F31" s="677">
        <f>F27+F30</f>
        <v>0</v>
      </c>
      <c r="G31" s="678">
        <f>G27+G30</f>
        <v>0</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6" activePane="bottomRight" state="frozen"/>
      <selection activeCell="I17" sqref="I17"/>
      <selection pane="topRight" activeCell="I17" sqref="I17"/>
      <selection pane="bottomLeft" activeCell="I17" sqref="I17"/>
      <selection pane="bottomRight" activeCell="I17" sqref="I17"/>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45861</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f>'数据-汇总表'!C19</f>
        <v>0</v>
      </c>
      <c r="B6" s="1713" t="str">
        <f>IF(A6=0,"","经营性")</f>
        <v/>
      </c>
      <c r="C6" s="1714"/>
      <c r="D6" s="858">
        <f>SUMIF(项目基本情况!C$12:I$12,C6,项目基本情况!C$14:I$14)</f>
        <v>0</v>
      </c>
      <c r="E6" s="857" t="str">
        <f>IF(B6="","",SUMIF(项目基本情况!C$12:I$12,C6,项目基本情况!C$13:I$13))</f>
        <v/>
      </c>
      <c r="F6" s="64">
        <f>SUMIF(项目基本情况!C$12:I$12,C6,项目基本情况!C$15:I$15)</f>
        <v>0</v>
      </c>
      <c r="G6" s="65">
        <f>IF(ISERROR(ROUND(POWER(1+H6,D6-F6)*(POWER(1+H6,F6)-1)/(POWER(1+H6,D6)-1),3)),0,ROUND(POWER(1+H6,D6-F6)*(POWER(1+H6,F6)-1)/(POWER(1+H6,D6)-1),3))</f>
        <v>0</v>
      </c>
      <c r="H6" s="732"/>
      <c r="I6" s="732"/>
      <c r="J6" s="66"/>
      <c r="K6" s="1030">
        <f>SUMIF('数据-汇总表'!C$19:C$33,A6,'数据-汇总表'!E$19:E$33)</f>
        <v>0</v>
      </c>
      <c r="L6" s="733"/>
      <c r="M6" s="67">
        <f t="shared" ref="M6:M14" si="0">ROUND(K6*L6/10000,0)</f>
        <v>0</v>
      </c>
      <c r="N6" s="731"/>
      <c r="O6" s="67">
        <f>IF($N$5="成新度","——",ROUND(M6*N6,0))</f>
        <v>0</v>
      </c>
      <c r="P6" s="68">
        <f>IF($N$5="成新度","——",M6-O6)</f>
        <v>0</v>
      </c>
      <c r="Q6" s="734"/>
      <c r="R6" s="69">
        <f ca="1">SUMIF('数据-汇总表'!C$19:C$33,A6,'数据-汇总表'!R$19:R$27)</f>
        <v>0</v>
      </c>
      <c r="S6" s="51">
        <f>IF('数据-汇总表'!$I$17="按面积比例",SUMIF('数据-汇总表'!C$19:C$33,A6,'数据-汇总表'!K$19:K$33),SUMIF('数据-汇总表'!C$19:C$33,A6,'数据-汇总表'!N$19:N$33))</f>
        <v>0</v>
      </c>
      <c r="T6" s="1172">
        <f>ROUND($L$14*S6/10000,0)</f>
        <v>0</v>
      </c>
      <c r="U6" s="3428"/>
      <c r="V6" s="70"/>
      <c r="W6" s="70"/>
      <c r="X6" s="1040"/>
      <c r="Y6" s="71"/>
      <c r="Z6" s="72"/>
      <c r="AA6" s="66"/>
      <c r="AB6" s="66"/>
      <c r="AC6" s="1040"/>
      <c r="AD6" s="73"/>
      <c r="AE6" s="1041">
        <f ca="1">IF(AN6="",0,SUMIF(INDIRECT("'"&amp;AN6&amp;"'"&amp;"!E:E"),$AE$5,INDIRECT("'"&amp;AN6&amp;"'"&amp;"!F:F")))</f>
        <v>0</v>
      </c>
      <c r="AF6" s="1348"/>
      <c r="AG6" s="138">
        <f>IF(AF6="",0,AE6-AF6)</f>
        <v>0</v>
      </c>
      <c r="AH6" s="74"/>
      <c r="AI6" s="76"/>
      <c r="AJ6" s="77"/>
      <c r="AK6" s="78"/>
      <c r="AL6" s="79"/>
      <c r="AM6" s="80"/>
      <c r="AN6" s="1715"/>
      <c r="AO6" s="52" t="e">
        <f ca="1">SUMIF(INDIRECT("'"&amp;AN6&amp;"'"&amp;"!A:A"),"总价",INDIRECT("'"&amp;AN6&amp;"'"&amp;"!B:B"))</f>
        <v>#REF!</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f t="shared" ref="O7:O14" si="3">IF($N$5="成新度","——",ROUND(M7*N7,0))</f>
        <v>0</v>
      </c>
      <c r="P7" s="68">
        <f t="shared" ref="P7:P14" si="4">IF($N$5="成新度","——",M7-O7)</f>
        <v>0</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f t="shared" si="3"/>
        <v>0</v>
      </c>
      <c r="P8" s="68">
        <f t="shared" si="4"/>
        <v>0</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f t="shared" si="3"/>
        <v>0</v>
      </c>
      <c r="P9" s="68">
        <f t="shared" si="4"/>
        <v>0</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f t="shared" si="3"/>
        <v>0</v>
      </c>
      <c r="P10" s="68">
        <f t="shared" si="4"/>
        <v>0</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f t="shared" si="3"/>
        <v>0</v>
      </c>
      <c r="P11" s="68">
        <f t="shared" si="4"/>
        <v>0</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f t="shared" si="3"/>
        <v>0</v>
      </c>
      <c r="P12" s="68">
        <f t="shared" si="4"/>
        <v>0</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f t="shared" si="3"/>
        <v>0</v>
      </c>
      <c r="P13" s="68">
        <f t="shared" si="4"/>
        <v>0</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f t="shared" si="3"/>
        <v>0</v>
      </c>
      <c r="P14" s="68">
        <f t="shared" si="4"/>
        <v>0</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t="e">
        <f>ROUND(SUMPRODUCT(G6:G13,K6:K13)/SUMPRODUCT((G6:G13&gt;0)*(K6:K13)),3)</f>
        <v>#DIV/0!</v>
      </c>
      <c r="H16" s="90" t="e">
        <f>ROUND(SUMPRODUCT(H6:H13,K6:K13)/SUMPRODUCT((H6:H13&gt;0)*(K6:K13)),3)</f>
        <v>#DIV/0!</v>
      </c>
      <c r="I16" s="91"/>
      <c r="J16" s="91"/>
      <c r="K16" s="92">
        <f>SUM(K6:K15)</f>
        <v>0</v>
      </c>
      <c r="L16" s="93" t="e">
        <f>ROUND(M16*10000/SUM(K6:K14),0)</f>
        <v>#DIV/0!</v>
      </c>
      <c r="M16" s="93">
        <f>SUM(M6:M14)</f>
        <v>0</v>
      </c>
      <c r="N16" s="94" t="e">
        <f>ROUND(SUMPRODUCT(M6:M14,N6:N14)/M16,3)</f>
        <v>#DIV/0!</v>
      </c>
      <c r="O16" s="93">
        <f>SUM(O6:O14)</f>
        <v>0</v>
      </c>
      <c r="P16" s="93">
        <f>SUM(P6:P14)</f>
        <v>0</v>
      </c>
      <c r="Q16" s="95" t="e">
        <f>ROUND(SUMPRODUCT(Q6:Q13,K6:K13)/SUMPRODUCT((Q6:Q13&gt;0)*(K6:K13)),2)</f>
        <v>#DIV/0!</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c r="C19" s="2799" t="s">
        <v>2302</v>
      </c>
      <c r="D19" s="2676"/>
      <c r="E19" s="2673"/>
      <c r="F19" s="2673"/>
      <c r="G19" s="2673"/>
      <c r="H19" s="2673"/>
      <c r="I19" s="2673"/>
      <c r="J19" s="2673"/>
      <c r="K19" s="2672"/>
      <c r="L19" s="2672"/>
      <c r="M19" s="2671"/>
      <c r="N19" s="2671"/>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c r="C20" s="2800" t="s">
        <v>2300</v>
      </c>
      <c r="D20" s="2676"/>
      <c r="E20" s="2673"/>
      <c r="F20" s="2673"/>
      <c r="G20" s="2673"/>
      <c r="H20" s="2673"/>
      <c r="I20" s="2673"/>
      <c r="J20" s="2673"/>
      <c r="K20" s="2672"/>
      <c r="L20" s="2672"/>
      <c r="M20" s="2671"/>
      <c r="N20" s="2671"/>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c r="C21" s="2673"/>
      <c r="D21" s="2676"/>
      <c r="E21" s="2673"/>
      <c r="F21" s="2673"/>
      <c r="G21" s="2673"/>
      <c r="H21" s="2673"/>
      <c r="I21" s="2673"/>
      <c r="J21" s="2673"/>
      <c r="K21" s="2672"/>
      <c r="L21" s="2672"/>
      <c r="M21" s="2671"/>
      <c r="N21" s="2671"/>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0</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0</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c r="C27" s="2801" t="s">
        <v>2304</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c r="C33" s="2803" t="s">
        <v>3383</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c r="C34" s="2803" t="s">
        <v>2295</v>
      </c>
      <c r="D34" s="2684" t="s">
        <v>2301</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c r="C35" s="2803" t="s">
        <v>2296</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c r="C36" s="2803" t="s">
        <v>3401</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c r="C37" s="2803" t="s">
        <v>3384</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c r="C38" s="2803" t="s">
        <v>3385</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2310</v>
      </c>
      <c r="B40" s="1078" t="e">
        <f ca="1">IF(A40="利息：取LPR",存贷款利率!G1,存贷款利率!G1+C40)</f>
        <v>#VALUE!</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0</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c r="C42" s="2683">
        <f>IF(B2&lt;DATE(2016,5,1),0,B42)</f>
        <v>0</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0</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c r="C44" s="2803" t="s">
        <v>3386</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c r="C45" s="2802" t="s">
        <v>2297</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c r="C46" s="2802" t="s">
        <v>2298</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2305</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c r="C48" s="2802" t="s">
        <v>2297</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c r="C49" s="2802" t="s">
        <v>2299</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0</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c r="C53" s="2661" t="s">
        <v>1246</v>
      </c>
      <c r="D53" s="2804" t="s">
        <v>2303</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I17" sqref="I17"/>
      <selection pane="topRight" activeCell="I17" sqref="I17"/>
      <selection pane="bottomLeft" activeCell="I17" sqref="I17"/>
      <selection pane="bottomRight" activeCell="I17" sqref="I17"/>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65" t="s">
        <v>2286</v>
      </c>
      <c r="B1" s="3566"/>
      <c r="C1" s="3566"/>
      <c r="D1" s="3566"/>
      <c r="E1" s="3566"/>
      <c r="F1" s="3566"/>
      <c r="G1" s="3566"/>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zoomScaleSheetLayoutView="80" workbookViewId="0">
      <selection activeCell="F17" sqref="F17"/>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155.94</v>
      </c>
      <c r="C1" s="2686"/>
      <c r="D1" s="2686"/>
      <c r="E1" s="2686"/>
      <c r="F1" s="2686"/>
      <c r="G1" s="2687"/>
      <c r="H1" s="2688"/>
      <c r="I1" s="2688"/>
      <c r="J1" s="2688"/>
      <c r="K1" s="2688"/>
    </row>
    <row r="2" spans="1:11" ht="16.5">
      <c r="A2" s="2512" t="s">
        <v>653</v>
      </c>
      <c r="B2" s="2512">
        <f>SUM(C14:C23)</f>
        <v>0</v>
      </c>
      <c r="C2" s="2686"/>
      <c r="D2" s="2686"/>
      <c r="E2" s="2686"/>
      <c r="F2" s="2686"/>
      <c r="G2" s="2687"/>
      <c r="H2" s="2688"/>
      <c r="I2" s="2688"/>
      <c r="J2" s="2688"/>
      <c r="K2" s="2688"/>
    </row>
    <row r="3" spans="1:11" ht="16.5">
      <c r="A3" s="2512" t="s">
        <v>662</v>
      </c>
      <c r="B3" s="2514">
        <f>项目基本情况!D3</f>
        <v>45861</v>
      </c>
      <c r="C3" s="2686"/>
      <c r="D3" s="2686"/>
      <c r="E3" s="2686"/>
      <c r="F3" s="2686"/>
      <c r="G3" s="2687"/>
      <c r="H3" s="2688"/>
      <c r="I3" s="2688"/>
      <c r="J3" s="2688"/>
      <c r="K3" s="2688"/>
    </row>
    <row r="4" spans="1:11" ht="33">
      <c r="A4" s="2512" t="s">
        <v>661</v>
      </c>
      <c r="B4" s="2512" t="s">
        <v>660</v>
      </c>
      <c r="C4" s="2512" t="s">
        <v>659</v>
      </c>
      <c r="D4" s="2512" t="s">
        <v>658</v>
      </c>
      <c r="E4" s="2686" t="s">
        <v>3420</v>
      </c>
      <c r="F4" s="2687">
        <f>ROUND(F5*B14/10000,0)</f>
        <v>390</v>
      </c>
      <c r="G4" s="2687"/>
      <c r="H4" s="2688"/>
      <c r="I4" s="2688"/>
      <c r="J4" s="2688"/>
      <c r="K4" s="2688"/>
    </row>
    <row r="5" spans="1:11" ht="16.5">
      <c r="A5" s="2512" t="s">
        <v>657</v>
      </c>
      <c r="B5" s="2512">
        <f>SUM(D14:D23)</f>
        <v>374</v>
      </c>
      <c r="C5" s="2512">
        <f ca="1">IF(B5=D14,结果表!H102,ROUND(B5*10000/$B$1,0))</f>
        <v>0</v>
      </c>
      <c r="D5" s="2512" t="e">
        <f>ROUND(B5*10000/$B$2,0)</f>
        <v>#DIV/0!</v>
      </c>
      <c r="E5" s="2686" t="s">
        <v>3419</v>
      </c>
      <c r="F5" s="2687">
        <v>25000</v>
      </c>
      <c r="G5" s="2687"/>
      <c r="H5" s="2688"/>
      <c r="I5" s="2688"/>
      <c r="J5" s="2688"/>
      <c r="K5" s="2688"/>
    </row>
    <row r="6" spans="1:11" ht="33">
      <c r="A6" s="2512" t="s">
        <v>656</v>
      </c>
      <c r="B6" s="2512">
        <f>SUM(G14:G23)</f>
        <v>374</v>
      </c>
      <c r="C6" s="2512">
        <f ca="1">IF(B6=G14,结果表!H108,ROUND(B6*10000/$B$1,0))</f>
        <v>0</v>
      </c>
      <c r="D6" s="2512" t="e">
        <f>ROUND(B6*10000/$B$2,0)</f>
        <v>#DIV/0!</v>
      </c>
      <c r="E6" s="2686" t="s">
        <v>3421</v>
      </c>
      <c r="F6" s="2687">
        <f>F5/1.1</f>
        <v>22727.272727272724</v>
      </c>
      <c r="G6" s="2687"/>
      <c r="H6" s="2688"/>
      <c r="I6" s="2688"/>
      <c r="J6" s="2688"/>
      <c r="K6" s="2688"/>
    </row>
    <row r="7" spans="1:11" ht="33">
      <c r="A7" s="2512" t="s">
        <v>664</v>
      </c>
      <c r="B7" s="2512">
        <f>SUM(H14:H23)</f>
        <v>0</v>
      </c>
      <c r="C7" s="2512" t="str">
        <f>IF(B7=H14,结果表!H110,ROUND(B7*10000/$B$1,0))</f>
        <v>——</v>
      </c>
      <c r="D7" s="2512" t="e">
        <f>ROUND(B7*10000/$B$2,0)</f>
        <v>#DIV/0!</v>
      </c>
      <c r="E7" s="2686" t="s">
        <v>3422</v>
      </c>
      <c r="F7" s="2687">
        <f>F4/1.1</f>
        <v>354.5454545454545</v>
      </c>
      <c r="G7" s="2687"/>
      <c r="H7" s="2688"/>
      <c r="I7" s="2688"/>
      <c r="J7" s="2688"/>
      <c r="K7" s="2688"/>
    </row>
    <row r="8" spans="1:11" ht="16.5">
      <c r="A8" s="2512" t="s">
        <v>587</v>
      </c>
      <c r="B8" s="2512">
        <f>SUM(I14:I23)</f>
        <v>0</v>
      </c>
      <c r="C8" s="2512" t="str">
        <f>IF(B8=I14,结果表!H112,ROUND(B8*10000/$B$1,0))</f>
        <v>——</v>
      </c>
      <c r="D8" s="2512" t="e">
        <f>ROUND(B8*10000/$B$2,0)</f>
        <v>#DIV/0!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3356</v>
      </c>
      <c r="D10" s="2512" t="s">
        <v>3357</v>
      </c>
      <c r="E10" s="3441"/>
      <c r="F10" s="3445" t="s">
        <v>3358</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v>155.94</v>
      </c>
      <c r="C14" s="2518"/>
      <c r="D14" s="2518">
        <f>ROUND(E14*B14/10000,0)</f>
        <v>374</v>
      </c>
      <c r="E14" s="2518">
        <v>24000</v>
      </c>
      <c r="F14" s="2518" t="e">
        <f>ROUND(D14*10000/C14,0)</f>
        <v>#DIV/0!</v>
      </c>
      <c r="G14" s="2518">
        <f>D14</f>
        <v>374</v>
      </c>
      <c r="H14" s="2518"/>
      <c r="I14" s="2518"/>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79" zoomScale="70" zoomScaleNormal="100" zoomScaleSheetLayoutView="70" zoomScalePageLayoutView="80" workbookViewId="0">
      <selection activeCell="I17" sqref="I17"/>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634" t="str">
        <f>项目基本情况!S2</f>
        <v>房地产</v>
      </c>
      <c r="B2" s="3635"/>
      <c r="C2" s="3635"/>
      <c r="D2" s="3635"/>
      <c r="E2" s="3635"/>
      <c r="F2" s="3635"/>
      <c r="G2" s="3635"/>
      <c r="H2" s="3635"/>
      <c r="I2" s="3636"/>
    </row>
    <row r="3" spans="1:12" ht="12.75">
      <c r="A3" s="3638" t="s">
        <v>1264</v>
      </c>
      <c r="B3" s="3639"/>
      <c r="C3" s="3639"/>
      <c r="D3" s="3639"/>
      <c r="E3" s="3639"/>
      <c r="F3" s="3639"/>
      <c r="G3" s="3639"/>
      <c r="H3" s="3639"/>
      <c r="I3" s="3639"/>
    </row>
    <row r="4" spans="1:12" ht="14.25">
      <c r="A4" s="1754" t="s">
        <v>1265</v>
      </c>
      <c r="B4" s="1755" t="s">
        <v>1266</v>
      </c>
      <c r="C4" s="1756"/>
      <c r="D4" s="1756"/>
      <c r="E4" s="3643" t="s">
        <v>1267</v>
      </c>
      <c r="F4" s="3644"/>
      <c r="G4" s="3644"/>
      <c r="H4" s="3644"/>
      <c r="I4" s="3645"/>
      <c r="K4" s="146" t="str">
        <f>IF(ISNUMBER(FIND("比较法",结果表!C4)),"比较法",IF(ISNUMBER(FIND("成本法",结果表!C4)),"成本法",IF(ISNUMBER(FIND("假设开发法",结果表!C4)),"假设开发法",IF(ISNUMBER(FIND("收益法",结果表!C4)),"收益法","基准地价系数修正法"))))</f>
        <v>基准地价系数修正法</v>
      </c>
      <c r="L4" s="146"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582" t="s">
        <v>1268</v>
      </c>
      <c r="B5" s="3637">
        <v>25</v>
      </c>
      <c r="C5" s="3640"/>
      <c r="D5" s="3628"/>
      <c r="E5" s="131" t="s">
        <v>1269</v>
      </c>
      <c r="F5" s="1757"/>
      <c r="G5" s="1757"/>
      <c r="H5" s="1757"/>
      <c r="I5" s="1373"/>
    </row>
    <row r="6" spans="1:12" ht="12.75">
      <c r="A6" s="3582"/>
      <c r="B6" s="3637"/>
      <c r="C6" s="3642"/>
      <c r="D6" s="3628"/>
      <c r="E6" s="131" t="s">
        <v>1270</v>
      </c>
      <c r="F6" s="1757"/>
      <c r="G6" s="1757"/>
      <c r="H6" s="1757"/>
      <c r="I6" s="1373"/>
    </row>
    <row r="7" spans="1:12" ht="12.75">
      <c r="A7" s="3582"/>
      <c r="B7" s="3637"/>
      <c r="C7" s="3641"/>
      <c r="D7" s="3628"/>
      <c r="E7" s="131" t="s">
        <v>1271</v>
      </c>
      <c r="F7" s="1757"/>
      <c r="G7" s="1757"/>
      <c r="H7" s="1757"/>
      <c r="I7" s="1373"/>
    </row>
    <row r="8" spans="1:12" ht="12.75">
      <c r="A8" s="3582" t="s">
        <v>1272</v>
      </c>
      <c r="B8" s="3637">
        <v>15</v>
      </c>
      <c r="C8" s="3640"/>
      <c r="D8" s="3628"/>
      <c r="E8" s="131" t="s">
        <v>1273</v>
      </c>
      <c r="F8" s="1757"/>
      <c r="G8" s="1757"/>
      <c r="H8" s="1757"/>
      <c r="I8" s="1373"/>
    </row>
    <row r="9" spans="1:12" ht="12.75">
      <c r="A9" s="3582"/>
      <c r="B9" s="3637"/>
      <c r="C9" s="3641"/>
      <c r="D9" s="3628"/>
      <c r="E9" s="131" t="s">
        <v>1274</v>
      </c>
      <c r="F9" s="1757"/>
      <c r="G9" s="1757"/>
      <c r="H9" s="1757"/>
      <c r="I9" s="1373"/>
    </row>
    <row r="10" spans="1:12" ht="12.75">
      <c r="A10" s="3582" t="s">
        <v>1275</v>
      </c>
      <c r="B10" s="3637">
        <v>15</v>
      </c>
      <c r="C10" s="3640"/>
      <c r="D10" s="3628"/>
      <c r="E10" s="131" t="s">
        <v>1276</v>
      </c>
      <c r="F10" s="1757"/>
      <c r="G10" s="1757"/>
      <c r="H10" s="1757"/>
      <c r="I10" s="1373"/>
    </row>
    <row r="11" spans="1:12" ht="12.75">
      <c r="A11" s="3582"/>
      <c r="B11" s="3637"/>
      <c r="C11" s="3641"/>
      <c r="D11" s="3628"/>
      <c r="E11" s="131" t="s">
        <v>1277</v>
      </c>
      <c r="F11" s="1757"/>
      <c r="G11" s="1757"/>
      <c r="H11" s="1757"/>
      <c r="I11" s="1373"/>
    </row>
    <row r="12" spans="1:12" ht="12.75">
      <c r="A12" s="3582" t="s">
        <v>1278</v>
      </c>
      <c r="B12" s="3637">
        <v>15</v>
      </c>
      <c r="C12" s="3640"/>
      <c r="D12" s="3628"/>
      <c r="E12" s="131" t="s">
        <v>1279</v>
      </c>
      <c r="F12" s="1757"/>
      <c r="G12" s="1757"/>
      <c r="H12" s="1757"/>
      <c r="I12" s="1373"/>
    </row>
    <row r="13" spans="1:12" ht="12.75">
      <c r="A13" s="3582"/>
      <c r="B13" s="3637"/>
      <c r="C13" s="3641"/>
      <c r="D13" s="3628"/>
      <c r="E13" s="131" t="s">
        <v>1280</v>
      </c>
      <c r="F13" s="1757"/>
      <c r="G13" s="1757"/>
      <c r="H13" s="1757"/>
      <c r="I13" s="1373"/>
    </row>
    <row r="14" spans="1:12" ht="12.75">
      <c r="A14" s="3582" t="s">
        <v>1281</v>
      </c>
      <c r="B14" s="3637">
        <v>30</v>
      </c>
      <c r="C14" s="3640"/>
      <c r="D14" s="3628"/>
      <c r="E14" s="131" t="s">
        <v>1282</v>
      </c>
      <c r="F14" s="1757"/>
      <c r="G14" s="1757"/>
      <c r="H14" s="1757"/>
      <c r="I14" s="1373"/>
    </row>
    <row r="15" spans="1:12" ht="12.75">
      <c r="A15" s="3582"/>
      <c r="B15" s="3637"/>
      <c r="C15" s="3642"/>
      <c r="D15" s="3628"/>
      <c r="E15" s="131" t="s">
        <v>1283</v>
      </c>
      <c r="F15" s="1757"/>
      <c r="G15" s="1757"/>
      <c r="H15" s="1757"/>
      <c r="I15" s="1373"/>
    </row>
    <row r="16" spans="1:12" ht="12.75">
      <c r="A16" s="3582"/>
      <c r="B16" s="3637"/>
      <c r="C16" s="3641"/>
      <c r="D16" s="3628"/>
      <c r="E16" s="131" t="s">
        <v>1284</v>
      </c>
      <c r="F16" s="1757"/>
      <c r="G16" s="1757"/>
      <c r="H16" s="1757"/>
      <c r="I16" s="1373"/>
    </row>
    <row r="17" spans="1:36" ht="15">
      <c r="A17" s="1758" t="s">
        <v>1285</v>
      </c>
      <c r="B17" s="56"/>
      <c r="C17" s="132">
        <f>SUM(C5:C16)</f>
        <v>0</v>
      </c>
      <c r="D17" s="132">
        <f>SUM(D5:D16)</f>
        <v>0</v>
      </c>
      <c r="E17" s="129"/>
      <c r="F17" s="129"/>
      <c r="G17" s="129"/>
      <c r="H17" s="129"/>
      <c r="I17" s="129"/>
      <c r="K17" s="302"/>
      <c r="L17" s="302" t="s">
        <v>1286</v>
      </c>
      <c r="M17" s="302" t="s">
        <v>1287</v>
      </c>
    </row>
    <row r="18" spans="1:36" ht="31.9" customHeight="1" thickBot="1">
      <c r="A18" s="1759" t="s">
        <v>1288</v>
      </c>
      <c r="B18" s="1760"/>
      <c r="C18" s="133" t="e">
        <f>ROUND(C17/SUM(C17:D17),2)</f>
        <v>#DIV/0!</v>
      </c>
      <c r="D18" s="133" t="e">
        <f>1-C18</f>
        <v>#DIV/0!</v>
      </c>
      <c r="E18" s="3659" t="s">
        <v>2131</v>
      </c>
      <c r="F18" s="3660"/>
      <c r="G18" s="3660"/>
      <c r="H18" s="3660"/>
      <c r="I18" s="3660"/>
      <c r="K18" s="302" t="s">
        <v>1289</v>
      </c>
      <c r="L18" s="302">
        <f>IF(C1="",'数据-汇总表'!E3,SUMIF(项目类型,C1,'数据-汇总表'!E17:E26)+SUMIF(项目类型,C1,'数据-汇总表'!I17:I26))</f>
        <v>0</v>
      </c>
      <c r="M18" s="302">
        <f>IF(C1="",'数据-汇总表'!E3,SUMIF(项目类型,C1,'数据-汇总表'!E17:E26))</f>
        <v>0</v>
      </c>
    </row>
    <row r="19" spans="1:36" ht="15">
      <c r="A19" s="1761" t="s">
        <v>1290</v>
      </c>
      <c r="B19" s="1762" t="s">
        <v>1291</v>
      </c>
      <c r="C19" s="134" t="e">
        <f ca="1">SUMIF(INDIRECT("'"&amp;C4&amp;"'"&amp;"!A:A"),结果表!B19,INDIRECT("'"&amp;C4&amp;"'"&amp;"!B:B"))</f>
        <v>#REF!</v>
      </c>
      <c r="D19" s="135" t="e">
        <f ca="1">SUMIF(INDIRECT("'"&amp;D4&amp;"'"&amp;"!A:A"),结果表!B19,INDIRECT("'"&amp;D4&amp;"'"&amp;"!B:B"))</f>
        <v>#REF!</v>
      </c>
      <c r="E19" s="1761" t="s">
        <v>1292</v>
      </c>
      <c r="F19" s="1762" t="s">
        <v>1291</v>
      </c>
      <c r="G19" s="136" t="e">
        <f ca="1">ROUND(C19*$C$18+D19*$D$18,0)</f>
        <v>#REF!</v>
      </c>
      <c r="H19" s="1763" t="s">
        <v>1293</v>
      </c>
      <c r="I19" s="129"/>
      <c r="K19" s="302" t="s">
        <v>1294</v>
      </c>
      <c r="L19" s="302" t="e">
        <f>IF(C1="",'数据-汇总表'!D3,SUMIF(项目类型,C1,'数据-汇总表'!D17:D26)+SUMIF(项目类型,C1,'数据-汇总表'!H17:H27))</f>
        <v>#DIV/0!</v>
      </c>
      <c r="M19" s="302" t="e">
        <f>IF(C1="",'数据-汇总表'!D3,SUMIF(项目类型,C1,'数据-汇总表'!D17:D26))</f>
        <v>#DIV/0!</v>
      </c>
    </row>
    <row r="20" spans="1:36" ht="15">
      <c r="A20" s="1764"/>
      <c r="B20" s="1026" t="s">
        <v>1295</v>
      </c>
      <c r="C20" s="137" t="e">
        <f ca="1">SUMIF(INDIRECT("'"&amp;C4&amp;"'"&amp;"!A:A"),结果表!B20,INDIRECT("'"&amp;C4&amp;"'"&amp;"!B:B"))</f>
        <v>#REF!</v>
      </c>
      <c r="D20" s="138" t="e">
        <f ca="1">SUMIF(INDIRECT("'"&amp;D4&amp;"'"&amp;"!A:A"),结果表!B20,INDIRECT("'"&amp;D4&amp;"'"&amp;"!B:B"))</f>
        <v>#REF!</v>
      </c>
      <c r="E20" s="1764"/>
      <c r="F20" s="1026" t="s">
        <v>1295</v>
      </c>
      <c r="G20" s="139" t="e">
        <f ca="1">ROUND(C20*$C$18+D20*$D$18,0)</f>
        <v>#REF!</v>
      </c>
      <c r="H20" s="808" t="s">
        <v>1296</v>
      </c>
      <c r="I20" s="129"/>
    </row>
    <row r="21" spans="1:36" ht="15" customHeight="1" thickBot="1">
      <c r="A21" s="828"/>
      <c r="B21" s="1765" t="s">
        <v>1297</v>
      </c>
      <c r="C21" s="719" t="e">
        <f ca="1">ROUND(C19*10000/L19,0)</f>
        <v>#REF!</v>
      </c>
      <c r="D21" s="720" t="e">
        <f ca="1">ROUND(D19*10000/L19,0)</f>
        <v>#REF!</v>
      </c>
      <c r="E21" s="828"/>
      <c r="F21" s="1765" t="s">
        <v>1297</v>
      </c>
      <c r="G21" s="140" t="e">
        <f ca="1">ROUND(G19*10000/L19,0)</f>
        <v>#REF!</v>
      </c>
      <c r="H21" s="1766" t="s">
        <v>1296</v>
      </c>
      <c r="I21" s="129"/>
    </row>
    <row r="22" spans="1:36" ht="15" thickBot="1">
      <c r="A22" s="1688" t="s">
        <v>1298</v>
      </c>
      <c r="B22" s="1767"/>
      <c r="C22" s="1768"/>
      <c r="D22" s="721" t="e">
        <f ca="1">IF(C19&lt;D19,D19/C19-1,C19/D19-1)</f>
        <v>#REF!</v>
      </c>
      <c r="E22" s="129"/>
      <c r="F22" s="129"/>
      <c r="G22" s="129"/>
      <c r="H22" s="129"/>
      <c r="I22" s="129"/>
    </row>
    <row r="23" spans="1:36" ht="13.5" thickBot="1">
      <c r="A23" s="1747"/>
      <c r="B23" s="1747"/>
      <c r="C23" s="1747"/>
      <c r="D23" s="1747"/>
      <c r="E23" s="129"/>
      <c r="F23" s="129"/>
      <c r="G23" s="129"/>
      <c r="H23" s="129"/>
      <c r="I23" s="129"/>
    </row>
    <row r="24" spans="1:36" ht="14.25">
      <c r="A24" s="3652" t="s">
        <v>1299</v>
      </c>
      <c r="B24" s="1762" t="s">
        <v>1291</v>
      </c>
      <c r="C24" s="136">
        <f>IF(B30=0,0,D30)</f>
        <v>0</v>
      </c>
      <c r="D24" s="1769"/>
      <c r="E24" s="129"/>
      <c r="F24" s="129"/>
      <c r="G24" s="129"/>
      <c r="H24" s="129"/>
      <c r="I24" s="129"/>
    </row>
    <row r="25" spans="1:36" ht="14.25">
      <c r="A25" s="3653"/>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t="e">
        <f ca="1">IF(D32="总价",G19-C24,G20-C25)</f>
        <v>#REF!</v>
      </c>
      <c r="D32" s="1775"/>
      <c r="E32" s="129"/>
      <c r="F32" s="129"/>
      <c r="G32" s="129"/>
      <c r="H32" s="129"/>
      <c r="I32" s="129"/>
    </row>
    <row r="33" spans="1:15" ht="15">
      <c r="A33" s="786" t="s">
        <v>1306</v>
      </c>
      <c r="B33" s="1776"/>
      <c r="C33" s="1777"/>
      <c r="D33" s="1778"/>
      <c r="E33" s="1779" t="s">
        <v>1307</v>
      </c>
      <c r="F33" s="1780" t="str">
        <f>IF(D32="楼面单价","取值（单价）","取值（总价）")</f>
        <v>取值（总价）</v>
      </c>
      <c r="G33" s="129"/>
      <c r="H33" s="129"/>
      <c r="I33" s="129"/>
    </row>
    <row r="34" spans="1:15" ht="15">
      <c r="A34" s="1781"/>
      <c r="B34" s="1782" t="s">
        <v>1308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1309</v>
      </c>
      <c r="F34" s="1330"/>
      <c r="G34" s="129"/>
      <c r="H34" s="129"/>
      <c r="I34" s="129"/>
    </row>
    <row r="35" spans="1:15" ht="15.75" thickBot="1">
      <c r="A35" s="1784"/>
      <c r="B35" s="1785" t="s">
        <v>1310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1311</v>
      </c>
      <c r="F35" s="154"/>
      <c r="G35" s="129"/>
      <c r="H35" s="129"/>
      <c r="I35" s="129"/>
    </row>
    <row r="36" spans="1:15" ht="15.75" thickBot="1">
      <c r="A36" s="3629" t="s">
        <v>1312</v>
      </c>
      <c r="B36" s="1787" t="s">
        <v>1313</v>
      </c>
      <c r="C36" s="145"/>
      <c r="D36" s="1788"/>
      <c r="E36" s="1789"/>
      <c r="F36" s="1790"/>
      <c r="G36" s="129"/>
      <c r="H36" s="129"/>
      <c r="I36" s="129"/>
    </row>
    <row r="37" spans="1:15" ht="15.75" thickBot="1">
      <c r="A37" s="3630"/>
      <c r="B37" s="1674" t="s">
        <v>1314</v>
      </c>
      <c r="C37" s="147"/>
      <c r="D37" s="1139"/>
      <c r="E37" s="1139"/>
      <c r="F37" s="1790"/>
      <c r="G37" s="129"/>
      <c r="H37" s="129"/>
      <c r="I37" s="129"/>
    </row>
    <row r="38" spans="1:15" ht="15.75" thickBot="1">
      <c r="A38" s="3631"/>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649" t="s">
        <v>1326</v>
      </c>
      <c r="B45" s="3650"/>
      <c r="C45" s="3651"/>
      <c r="D45" s="155" t="e">
        <f ca="1">ROUND(H101*F45,0)</f>
        <v>#REF!</v>
      </c>
      <c r="E45" s="156" t="s">
        <v>1327</v>
      </c>
      <c r="F45" s="157">
        <v>1</v>
      </c>
      <c r="G45" s="158" t="s">
        <v>1328</v>
      </c>
      <c r="H45" s="129"/>
      <c r="I45" s="129"/>
      <c r="J45" s="3569" t="s">
        <v>1329</v>
      </c>
      <c r="K45" s="3569"/>
      <c r="L45" s="3569"/>
      <c r="M45" s="3569"/>
      <c r="N45" s="3569"/>
      <c r="O45" s="3569"/>
    </row>
    <row r="46" spans="1:15" ht="14.25" customHeight="1">
      <c r="A46" s="3646" t="s">
        <v>1330</v>
      </c>
      <c r="B46" s="3647"/>
      <c r="C46" s="3647"/>
      <c r="D46" s="3647"/>
      <c r="E46" s="3647"/>
      <c r="F46" s="3647"/>
      <c r="G46" s="3648"/>
      <c r="H46" s="1806"/>
      <c r="I46" s="159"/>
      <c r="J46" s="2523">
        <v>1</v>
      </c>
      <c r="K46" s="3570" t="s">
        <v>1331</v>
      </c>
      <c r="L46" s="3570"/>
      <c r="M46" s="3571"/>
      <c r="N46" s="3571"/>
      <c r="O46" s="3571"/>
    </row>
    <row r="47" spans="1:15" ht="12" customHeight="1">
      <c r="A47" s="160" t="s">
        <v>1332</v>
      </c>
      <c r="B47" s="161"/>
      <c r="C47" s="162"/>
      <c r="D47" s="1087" t="s">
        <v>1333</v>
      </c>
      <c r="E47" s="302" t="s">
        <v>1334</v>
      </c>
      <c r="F47" s="163" t="s">
        <v>1335</v>
      </c>
      <c r="G47" s="2546" t="s">
        <v>1336</v>
      </c>
      <c r="H47" s="2547"/>
      <c r="I47" s="159"/>
      <c r="J47" s="2523">
        <v>2</v>
      </c>
      <c r="K47" s="3570" t="s">
        <v>1337</v>
      </c>
      <c r="L47" s="3570"/>
      <c r="M47" s="3572">
        <f>'数据-取费表'!B2</f>
        <v>45861</v>
      </c>
      <c r="N47" s="3572"/>
      <c r="O47" s="3572"/>
    </row>
    <row r="48" spans="1:15" ht="25.5">
      <c r="A48" s="3632" t="s">
        <v>1338</v>
      </c>
      <c r="B48" s="3633"/>
      <c r="C48" s="3633"/>
      <c r="D48" s="2324" t="b">
        <f>IF(H48="情况1",0,IF(H48="情况2",D52,IF(H48="情况3",D53,IF(H48="情况4",D54))))</f>
        <v>0</v>
      </c>
      <c r="E48" s="2334" t="str">
        <f>IF(H48="情况4","(销售额-原购置价)×税（费）率","销售额×税（费）率")</f>
        <v>销售额×税（费）率</v>
      </c>
      <c r="F48" s="2548">
        <f>IF(H48="情况1","免征",'数据-取费表'!B41)</f>
        <v>0</v>
      </c>
      <c r="G48" s="2549" t="s">
        <v>1339</v>
      </c>
      <c r="H48" s="2550"/>
      <c r="I48" s="1806"/>
      <c r="J48" s="2523">
        <v>3</v>
      </c>
      <c r="K48" s="3570" t="s">
        <v>1340</v>
      </c>
      <c r="L48" s="3570"/>
      <c r="M48" s="3573" t="e">
        <f ca="1">H101</f>
        <v>#REF!</v>
      </c>
      <c r="N48" s="3573"/>
      <c r="O48" s="3573"/>
    </row>
    <row r="49" spans="1:35" ht="25.5" customHeight="1">
      <c r="A49" s="2333" t="s">
        <v>1341</v>
      </c>
      <c r="B49" s="3618" t="s">
        <v>1342</v>
      </c>
      <c r="C49" s="3618"/>
      <c r="D49" s="1590">
        <v>0</v>
      </c>
      <c r="E49" s="324" t="s">
        <v>1343</v>
      </c>
      <c r="F49" s="2424" t="s">
        <v>28</v>
      </c>
      <c r="G49" s="3601"/>
      <c r="H49" s="2310" t="s">
        <v>2134</v>
      </c>
      <c r="I49" s="2311"/>
      <c r="J49" s="2523">
        <v>4</v>
      </c>
      <c r="K49" s="3570" t="str">
        <f>IF(项目基本情况!E8="房地产抵押价值","房地产抵押价值","抵押担保权已注销时的房地产抵押价值")</f>
        <v>抵押担保权已注销时的房地产抵押价值</v>
      </c>
      <c r="L49" s="3570"/>
      <c r="M49" s="3573" t="str">
        <f>IF(项目基本情况!E8="房地产抵押价值",H107,H109)</f>
        <v>——</v>
      </c>
      <c r="N49" s="3573"/>
      <c r="O49" s="3573"/>
    </row>
    <row r="50" spans="1:35" ht="25.5" customHeight="1">
      <c r="A50" s="2551"/>
      <c r="B50" s="3618" t="s">
        <v>1344</v>
      </c>
      <c r="C50" s="3618"/>
      <c r="D50" s="2552"/>
      <c r="E50" s="332"/>
      <c r="F50" s="2424"/>
      <c r="G50" s="3602"/>
      <c r="H50" s="2312" t="s">
        <v>2135</v>
      </c>
      <c r="I50" s="2311"/>
      <c r="J50" s="3569" t="s">
        <v>1345</v>
      </c>
      <c r="K50" s="3569"/>
      <c r="L50" s="3569"/>
      <c r="M50" s="3569"/>
      <c r="N50" s="3569"/>
      <c r="O50" s="3569"/>
    </row>
    <row r="51" spans="1:35" ht="20.45" customHeight="1">
      <c r="A51" s="2553"/>
      <c r="B51" s="3618" t="s">
        <v>1346</v>
      </c>
      <c r="C51" s="3618"/>
      <c r="D51" s="1087"/>
      <c r="E51" s="327"/>
      <c r="F51" s="2424"/>
      <c r="G51" s="3603"/>
      <c r="H51" s="2312" t="s">
        <v>2136</v>
      </c>
      <c r="I51" s="2311"/>
      <c r="J51" s="2524" t="s">
        <v>1347</v>
      </c>
      <c r="K51" s="3570" t="s">
        <v>1348</v>
      </c>
      <c r="L51" s="3570"/>
      <c r="M51" s="2524" t="s">
        <v>1349</v>
      </c>
      <c r="N51" s="2524" t="s">
        <v>1350</v>
      </c>
      <c r="O51" s="2524" t="s">
        <v>1351</v>
      </c>
    </row>
    <row r="52" spans="1:35" ht="24" customHeight="1">
      <c r="A52" s="2335" t="s">
        <v>1352</v>
      </c>
      <c r="B52" s="3618" t="s">
        <v>1353</v>
      </c>
      <c r="C52" s="3618"/>
      <c r="D52" s="1087" t="e">
        <f ca="1">ROUND(D45*'数据-取费表'!B41/(1+'数据-取费表'!C42),0)</f>
        <v>#REF!</v>
      </c>
      <c r="E52" s="2334" t="s">
        <v>1354</v>
      </c>
      <c r="F52" s="2554">
        <f>'数据-取费表'!B41</f>
        <v>0</v>
      </c>
      <c r="G52" s="2555"/>
      <c r="H52" s="2544"/>
      <c r="I52" s="1807"/>
      <c r="J52" s="2523">
        <v>1</v>
      </c>
      <c r="K52" s="3595" t="s">
        <v>1355</v>
      </c>
      <c r="L52" s="3595"/>
      <c r="M52" s="2525" t="b">
        <f>D48</f>
        <v>0</v>
      </c>
      <c r="N52" s="2523" t="str">
        <f>E48</f>
        <v>销售额×税（费）率</v>
      </c>
      <c r="O52" s="2526">
        <f>F48</f>
        <v>0</v>
      </c>
    </row>
    <row r="53" spans="1:35" ht="12" customHeight="1">
      <c r="A53" s="2335" t="s">
        <v>1356</v>
      </c>
      <c r="B53" s="3619" t="s">
        <v>2291</v>
      </c>
      <c r="C53" s="3620"/>
      <c r="D53" s="1087" t="e">
        <f ca="1">ROUND(D45*'数据-取费表'!B41/(1+'数据-取费表'!C42),0)</f>
        <v>#REF!</v>
      </c>
      <c r="E53" s="2334" t="s">
        <v>1354</v>
      </c>
      <c r="F53" s="2554">
        <f>'数据-取费表'!B41</f>
        <v>0</v>
      </c>
      <c r="G53" s="2555"/>
      <c r="H53" s="2544"/>
      <c r="I53" s="1807"/>
      <c r="J53" s="2523">
        <v>2</v>
      </c>
      <c r="K53" s="3595" t="s">
        <v>1357</v>
      </c>
      <c r="L53" s="3595"/>
      <c r="M53" s="2525" t="e">
        <f t="shared" ref="M53:O54" ca="1" si="0">D55</f>
        <v>#REF!</v>
      </c>
      <c r="N53" s="2523" t="str">
        <f t="shared" si="0"/>
        <v>销售额×税（费）率</v>
      </c>
      <c r="O53" s="2526" t="str">
        <f t="shared" si="0"/>
        <v>免征</v>
      </c>
    </row>
    <row r="54" spans="1:35" ht="12" customHeight="1">
      <c r="A54" s="2335" t="s">
        <v>1358</v>
      </c>
      <c r="B54" s="3619" t="s">
        <v>2292</v>
      </c>
      <c r="C54" s="3620"/>
      <c r="D54" s="1087" t="e">
        <f ca="1">C68</f>
        <v>#REF!</v>
      </c>
      <c r="E54" s="327" t="s">
        <v>1359</v>
      </c>
      <c r="F54" s="2554">
        <f>'数据-取费表'!B41</f>
        <v>0</v>
      </c>
      <c r="G54" s="2555"/>
      <c r="H54" s="2556"/>
      <c r="I54" s="1807"/>
      <c r="J54" s="2523">
        <v>3</v>
      </c>
      <c r="K54" s="3595" t="s">
        <v>1360</v>
      </c>
      <c r="L54" s="3595"/>
      <c r="M54" s="2525" t="e">
        <f t="shared" ca="1" si="0"/>
        <v>#REF!</v>
      </c>
      <c r="N54" s="2523" t="str">
        <f t="shared" si="0"/>
        <v>增值额×税（费）率</v>
      </c>
      <c r="O54" s="2527" t="str">
        <f t="shared" si="0"/>
        <v>免征</v>
      </c>
    </row>
    <row r="55" spans="1:35" ht="24" customHeight="1">
      <c r="A55" s="3655" t="s">
        <v>1361</v>
      </c>
      <c r="B55" s="3633"/>
      <c r="C55" s="3633"/>
      <c r="D55" s="2324" t="e">
        <f ca="1">IF(H55="个人住宅",0,ROUND(D45*I55,0))</f>
        <v>#REF!</v>
      </c>
      <c r="E55" s="2334" t="s">
        <v>1362</v>
      </c>
      <c r="F55" s="2554" t="str">
        <f>IF(H55="正常",I55,"免征")</f>
        <v>免征</v>
      </c>
      <c r="G55" s="2555"/>
      <c r="H55" s="2550"/>
      <c r="I55" s="165">
        <f>'数据-取费表'!B49</f>
        <v>0</v>
      </c>
      <c r="J55" s="2523">
        <f>IF(H59="非个人房产","",4)</f>
        <v>4</v>
      </c>
      <c r="K55" s="3595" t="str">
        <f>IF(H59="非个人房产","——","个人所得税")</f>
        <v>个人所得税</v>
      </c>
      <c r="L55" s="3595"/>
      <c r="M55" s="2528" t="e">
        <f ca="1">D59</f>
        <v>#REF!</v>
      </c>
      <c r="N55" s="2040" t="str">
        <f>E59</f>
        <v>差额计税</v>
      </c>
      <c r="O55" s="2529">
        <f>F59</f>
        <v>0.01</v>
      </c>
    </row>
    <row r="56" spans="1:35" ht="24.75">
      <c r="A56" s="3655" t="s">
        <v>1363</v>
      </c>
      <c r="B56" s="3633"/>
      <c r="C56" s="3633"/>
      <c r="D56" s="2324" t="e">
        <f ca="1">IF(H56="个人住宅",D57,D58)</f>
        <v>#REF!</v>
      </c>
      <c r="E56" s="2334" t="s">
        <v>1364</v>
      </c>
      <c r="F56" s="2554" t="str">
        <f>IF(H56="正常",F58,"免征")</f>
        <v>免征</v>
      </c>
      <c r="G56" s="2557" t="s">
        <v>1365</v>
      </c>
      <c r="H56" s="2558"/>
      <c r="I56" s="1808"/>
      <c r="J56" s="2523" t="str">
        <f>IF(项目基本情况!K6="上海银行",IF(J55="",4,J55+1),"")</f>
        <v/>
      </c>
      <c r="K56" s="3576" t="str">
        <f>IF(项目基本情况!K6="上海银行","其他处置费用","")</f>
        <v/>
      </c>
      <c r="L56" s="3577"/>
      <c r="M56" s="2525" t="str">
        <f>IF(项目基本情况!K6="上海银行",M69,"")</f>
        <v/>
      </c>
      <c r="N56" s="3576" t="str">
        <f>IF(项目基本情况!K6="上海银行","包含处置中涉及的律师、诉讼、拍卖、评估等费用","")</f>
        <v/>
      </c>
      <c r="O56" s="3579"/>
    </row>
    <row r="57" spans="1:35" ht="12.75">
      <c r="A57" s="2335" t="s">
        <v>1341</v>
      </c>
      <c r="B57" s="3619" t="s">
        <v>1366</v>
      </c>
      <c r="C57" s="3620"/>
      <c r="D57" s="1590">
        <v>0</v>
      </c>
      <c r="E57" s="324" t="s">
        <v>1343</v>
      </c>
      <c r="F57" s="302"/>
      <c r="G57" s="2555"/>
      <c r="H57" s="2559"/>
      <c r="I57" s="1808"/>
      <c r="J57" s="3595">
        <f>IF(AND(J55="",J56=""),4,IF(项目基本情况!K6="上海银行",结果表!J56+1,结果表!J55+1))</f>
        <v>5</v>
      </c>
      <c r="K57" s="3595" t="s">
        <v>1367</v>
      </c>
      <c r="L57" s="2530" t="s">
        <v>1368</v>
      </c>
      <c r="M57" s="2531"/>
      <c r="N57" s="2532">
        <f ca="1">SUMIF(M52:M56,"&lt;9e307")</f>
        <v>0</v>
      </c>
      <c r="O57" s="2533"/>
      <c r="P57" s="2690" t="e">
        <f ca="1">N57/M49</f>
        <v>#VALUE!</v>
      </c>
    </row>
    <row r="58" spans="1:35" ht="24.75">
      <c r="A58" s="2335" t="s">
        <v>1352</v>
      </c>
      <c r="B58" s="3619" t="s">
        <v>1369</v>
      </c>
      <c r="C58" s="3618"/>
      <c r="D58" s="2324" t="e">
        <f ca="1">IF(H58="转让取得",C81,C97)</f>
        <v>#REF!</v>
      </c>
      <c r="E58" s="2334" t="s">
        <v>1364</v>
      </c>
      <c r="F58" s="302" t="s">
        <v>28</v>
      </c>
      <c r="G58" s="2555"/>
      <c r="H58" s="2558"/>
      <c r="I58" s="1808"/>
      <c r="J58" s="3595"/>
      <c r="K58" s="3595"/>
      <c r="L58" s="2530" t="s">
        <v>1370</v>
      </c>
      <c r="M58" s="2534"/>
      <c r="N58" s="2535" t="str">
        <f ca="1">NUMBERSTRING(INT(N57*10000),2)&amp;"元整"</f>
        <v>零元整</v>
      </c>
      <c r="O58" s="2536"/>
    </row>
    <row r="59" spans="1:35" ht="24.75" thickBot="1">
      <c r="A59" s="3599" t="s">
        <v>1371</v>
      </c>
      <c r="B59" s="3600"/>
      <c r="C59" s="3600"/>
      <c r="D59" s="2560" t="e">
        <f ca="1">IF(H59="非个人房产","——",IF(H59="个人住宅（满五唯一有凭证）",0,IF(H59="个人其他（无凭证）",ROUND(D45*F59,0),ROUND(C67*F59,0))))</f>
        <v>#REF!</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597">
        <f>J57+1</f>
        <v>6</v>
      </c>
      <c r="K59" s="3595" t="s">
        <v>1372</v>
      </c>
      <c r="L59" s="2523" t="s">
        <v>1368</v>
      </c>
      <c r="M59" s="2537"/>
      <c r="N59" s="2538" t="e">
        <f ca="1">M49-N57</f>
        <v>#VALUE!</v>
      </c>
      <c r="O59" s="2539"/>
    </row>
    <row r="60" spans="1:35" ht="12" customHeight="1">
      <c r="A60" s="1809"/>
      <c r="B60" s="1747"/>
      <c r="C60" s="1747"/>
      <c r="D60" s="1747"/>
      <c r="E60" s="1578"/>
      <c r="F60" s="1808"/>
      <c r="G60" s="1808"/>
      <c r="H60" s="1810"/>
      <c r="I60" s="129"/>
      <c r="J60" s="3598"/>
      <c r="K60" s="3595"/>
      <c r="L60" s="2530" t="s">
        <v>1370</v>
      </c>
      <c r="M60" s="2534"/>
      <c r="N60" s="2535" t="e">
        <f ca="1">NUMBERSTRING(INT(N59*10000),2)&amp;"元整"</f>
        <v>#VALUE!</v>
      </c>
      <c r="O60" s="2536"/>
    </row>
    <row r="61" spans="1:35" ht="13.5" thickBot="1">
      <c r="A61" s="3654" t="s">
        <v>1373</v>
      </c>
      <c r="B61" s="3654"/>
      <c r="C61" s="3654"/>
      <c r="D61" s="3654"/>
      <c r="E61" s="3654"/>
      <c r="F61" s="1808"/>
      <c r="G61" s="1808"/>
      <c r="H61" s="1810"/>
      <c r="I61" s="129"/>
      <c r="J61" s="2523">
        <f>J59+1</f>
        <v>7</v>
      </c>
      <c r="K61" s="3595" t="s">
        <v>1374</v>
      </c>
      <c r="L61" s="3595"/>
      <c r="M61" s="2540"/>
      <c r="N61" s="2541" t="e">
        <f ca="1">ROUND(N59*10000/'数据-汇总表'!E3,0)</f>
        <v>#VALUE!</v>
      </c>
      <c r="O61" s="2542"/>
    </row>
    <row r="62" spans="1:35" ht="12.75">
      <c r="A62" s="3614" t="s">
        <v>1375</v>
      </c>
      <c r="B62" s="3615"/>
      <c r="C62" s="2021"/>
      <c r="D62" s="2021" t="s">
        <v>1376</v>
      </c>
      <c r="E62" s="166" t="s">
        <v>1377</v>
      </c>
      <c r="F62" s="1808"/>
      <c r="G62" s="1808"/>
      <c r="H62" s="1810"/>
      <c r="I62" s="129"/>
    </row>
    <row r="63" spans="1:35" ht="12.75">
      <c r="A63" s="173" t="s">
        <v>330</v>
      </c>
      <c r="B63" s="167" t="s">
        <v>1378</v>
      </c>
      <c r="C63" s="2564" t="e">
        <f ca="1">ROUND((C64+C65)/(1+'数据-取费表'!C42),0)</f>
        <v>#REF!</v>
      </c>
      <c r="D63" s="167"/>
      <c r="E63" s="168"/>
      <c r="F63" s="1808"/>
      <c r="G63" s="1808"/>
      <c r="H63" s="1810"/>
      <c r="I63" s="129"/>
      <c r="J63" s="3578" t="s">
        <v>1379</v>
      </c>
      <c r="K63" s="1332" t="s">
        <v>1380</v>
      </c>
      <c r="L63" s="1332" t="e">
        <f>IF(M49&gt;10000,M49*0.5%,IF(AND(M49&gt;1000,M49&lt;=10000),M49*1%,IF(AND(M49&gt;100,M49&lt;=1000),M49*3%,IF(AND(M49&gt;10,M49&lt;=100),M49*5%,M49*8%))))</f>
        <v>#VALUE!</v>
      </c>
      <c r="M63" s="302" t="e">
        <f>ROUND(L63,1)</f>
        <v>#VALUE!</v>
      </c>
      <c r="N63" s="2543"/>
      <c r="Z63" s="1752"/>
      <c r="AI63" s="1753"/>
    </row>
    <row r="64" spans="1:35" ht="14.25" customHeight="1">
      <c r="A64" s="169" t="s">
        <v>325</v>
      </c>
      <c r="B64" s="170" t="s">
        <v>1381</v>
      </c>
      <c r="C64" s="2565" t="e">
        <f ca="1">D45</f>
        <v>#REF!</v>
      </c>
      <c r="D64" s="170" t="s">
        <v>26</v>
      </c>
      <c r="E64" s="172"/>
      <c r="F64" s="1808"/>
      <c r="G64" s="1808"/>
      <c r="H64" s="1810"/>
      <c r="I64" s="129"/>
      <c r="J64" s="3578"/>
      <c r="K64" s="1332" t="s">
        <v>1382</v>
      </c>
      <c r="L64" s="1332" t="e">
        <f>IF(M49&gt;2000,M49*0.5%,IF(AND(M49&gt;1000,M49&lt;=2000),M49*0.6%,IF(AND(M49&gt;500,M49&lt;=1000),M49*0.7%,IF(AND(M49&gt;200,M49&lt;=500),M49*0.8%,IF(AND(M49&gt;100,M49&lt;=200),M49*0.9%,IF(AND(M49&gt;50,M49&lt;=100),M49*1%,IF(AND(M49&gt;20,M49&lt;=50),M49*1.5%,IF(AND(M49&gt;10,M49&lt;=20),M49*2%,IF(AND(M49&gt;1,M49&lt;=10),M49*2.5%)))))))))</f>
        <v>#VALUE!</v>
      </c>
      <c r="M64" s="302" t="e">
        <f t="shared" ref="M64:M65" si="1">ROUND(L64,1)</f>
        <v>#VALUE!</v>
      </c>
      <c r="N64" s="2544" t="s">
        <v>1383</v>
      </c>
      <c r="Z64" s="1752"/>
      <c r="AI64" s="1753"/>
    </row>
    <row r="65" spans="1:35" ht="14.25" customHeight="1">
      <c r="A65" s="169" t="s">
        <v>326</v>
      </c>
      <c r="B65" s="170" t="s">
        <v>1384</v>
      </c>
      <c r="C65" s="2566"/>
      <c r="D65" s="170"/>
      <c r="E65" s="172"/>
      <c r="F65" s="1808"/>
      <c r="G65" s="1808"/>
      <c r="H65" s="1810"/>
      <c r="I65" s="129"/>
      <c r="J65" s="3578"/>
      <c r="K65" s="1332" t="s">
        <v>1385</v>
      </c>
      <c r="L65" s="1332" t="e">
        <f>IF(M49&gt;1000,M49*0.1%,IF(AND(M49&gt;500,M49&lt;=1000),M49*0.5%,IF(AND(M49&gt;50,M49&lt;=500),M49*1%,IF(AND(M49&gt;1,M49&lt;=50),M49*1.5%))))</f>
        <v>#VALUE!</v>
      </c>
      <c r="M65" s="302" t="e">
        <f t="shared" si="1"/>
        <v>#VALUE!</v>
      </c>
      <c r="N65" s="2544" t="s">
        <v>1383</v>
      </c>
      <c r="Z65" s="1752"/>
      <c r="AI65" s="1753"/>
    </row>
    <row r="66" spans="1:35" ht="14.25" customHeight="1">
      <c r="A66" s="173" t="s">
        <v>327</v>
      </c>
      <c r="B66" s="174" t="s">
        <v>1386</v>
      </c>
      <c r="C66" s="2567"/>
      <c r="D66" s="174" t="s">
        <v>26</v>
      </c>
      <c r="E66" s="1338" t="s">
        <v>671</v>
      </c>
      <c r="F66" s="1808"/>
      <c r="G66" s="1808"/>
      <c r="H66" s="1810"/>
      <c r="I66" s="129"/>
      <c r="J66" s="3578"/>
      <c r="K66" s="1332" t="s">
        <v>1387</v>
      </c>
      <c r="L66" s="1332" t="e">
        <f>M49*0.5%</f>
        <v>#VALUE!</v>
      </c>
      <c r="M66" s="302" t="e">
        <f>IF(L66&gt;0.5,0.5,ROUND(L66,0))</f>
        <v>#VALUE!</v>
      </c>
      <c r="N66" s="2544" t="s">
        <v>1388</v>
      </c>
      <c r="Z66" s="1752"/>
      <c r="AI66" s="1753"/>
    </row>
    <row r="67" spans="1:35" ht="14.25" customHeight="1">
      <c r="A67" s="173" t="s">
        <v>328</v>
      </c>
      <c r="B67" s="174" t="s">
        <v>1389</v>
      </c>
      <c r="C67" s="2568" t="e">
        <f ca="1">C63-C66</f>
        <v>#REF!</v>
      </c>
      <c r="D67" s="170" t="s">
        <v>26</v>
      </c>
      <c r="E67" s="172"/>
      <c r="F67" s="1808"/>
      <c r="G67" s="1808"/>
      <c r="H67" s="1810"/>
      <c r="I67" s="129"/>
      <c r="J67" s="3578"/>
      <c r="K67" s="1332" t="s">
        <v>1390</v>
      </c>
      <c r="L67" s="1332" t="e">
        <f>IF(M49&gt;=10000,(8.25+(M49-10000)*0.01%),IF(AND(M49&gt;=8000,M49&lt;10000),(7.85+(M49-8000)*0.02%),IF(AND(M49&gt;=5000,M49&lt;8000),(6.65+(M49-5000)*0.04%),IF(AND(M49&gt;=2000,M49&lt;5000),(4.25+(PM49-2000)*0.08%),IF(AND(M49&gt;=1000,M49&lt;2000),(2.75+(M49-1000)*0.15%),IF(AND(M49&gt;=100,M49&lt;1000),(0.5+(M49-100)*0.25%),IF(AND(M49&gt;0,M49&lt;100),M49*0.5%)))))))</f>
        <v>#VALUE!</v>
      </c>
      <c r="M67" s="302" t="e">
        <f>ROUND(L67*0.9,1)</f>
        <v>#VALUE!</v>
      </c>
      <c r="N67" s="2543"/>
      <c r="Z67" s="1752"/>
      <c r="AI67" s="1753"/>
    </row>
    <row r="68" spans="1:35" ht="14.25" customHeight="1" thickBot="1">
      <c r="A68" s="176" t="s">
        <v>329</v>
      </c>
      <c r="B68" s="177" t="s">
        <v>1391</v>
      </c>
      <c r="C68" s="2569" t="e">
        <f ca="1">IF(C67&lt;=0,0,ROUND(C67*D68,0))</f>
        <v>#REF!</v>
      </c>
      <c r="D68" s="2570">
        <f>'数据-取费表'!B41</f>
        <v>0</v>
      </c>
      <c r="E68" s="178"/>
      <c r="F68" s="1808"/>
      <c r="G68" s="1808"/>
      <c r="H68" s="1810"/>
      <c r="I68" s="129"/>
      <c r="J68" s="3578"/>
      <c r="K68" s="1332" t="s">
        <v>1392</v>
      </c>
      <c r="L68" s="1332" t="e">
        <f>IF(M49&gt;10000,M49*0.5%,IF(AND(M49&gt;5000,M49&lt;=10000),M49*1%,IF(AND(M49&gt;1000,M49&lt;=5000),M49*2%,IF(AND(M49&gt;200,M49&lt;=1000),M49*3%,M49*5%))))</f>
        <v>#VALUE!</v>
      </c>
      <c r="M68" s="302" t="e">
        <f>ROUND(L68,1)</f>
        <v>#VALUE!</v>
      </c>
      <c r="N68" s="2543"/>
      <c r="Z68" s="1752"/>
      <c r="AI68" s="1753"/>
    </row>
    <row r="69" spans="1:35" s="1772" customFormat="1" ht="16.5" customHeight="1">
      <c r="A69" s="1811"/>
      <c r="B69" s="1812"/>
      <c r="C69" s="1813"/>
      <c r="D69" s="1814"/>
      <c r="E69" s="1815"/>
      <c r="F69" s="1578"/>
      <c r="G69" s="1578"/>
      <c r="H69" s="1577"/>
      <c r="I69" s="1747"/>
      <c r="J69" s="3578"/>
      <c r="K69" s="1332" t="s">
        <v>1393</v>
      </c>
      <c r="L69" s="1332"/>
      <c r="M69" s="302" t="e">
        <f>ROUND(SUM(M63:M68),0)</f>
        <v>#VALUE!</v>
      </c>
      <c r="N69" s="2545" t="e">
        <f>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622" t="s">
        <v>1394</v>
      </c>
      <c r="B70" s="3623"/>
      <c r="C70" s="3623"/>
      <c r="D70" s="3623"/>
      <c r="E70" s="3623"/>
      <c r="F70" s="3623"/>
      <c r="G70" s="3623"/>
      <c r="H70" s="3623"/>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614" t="s">
        <v>1375</v>
      </c>
      <c r="B71" s="3615"/>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t="e">
        <f ca="1">ROUND(D45/(1+'数据-取费表'!C42),0)</f>
        <v>#REF!</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t="e">
        <f ca="1">C74+C78</f>
        <v>#REF!</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619" t="s">
        <v>1402</v>
      </c>
      <c r="F76" s="3618"/>
      <c r="G76" s="3618"/>
      <c r="H76" s="3621"/>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0</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t="e">
        <f ca="1">ROUND(D45*D78/(1+'数据-取费表'!C42),0)</f>
        <v>#REF!</v>
      </c>
      <c r="D78" s="2577">
        <f>'数据-取费表'!B43</f>
        <v>0</v>
      </c>
      <c r="E78" s="3611" t="s">
        <v>1406</v>
      </c>
      <c r="F78" s="3612"/>
      <c r="G78" s="3612"/>
      <c r="H78" s="3613"/>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t="e">
        <f ca="1">C72-C73</f>
        <v>#REF!</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t="e">
        <f ca="1">IF(C79&lt;=0,0,C79/C73)</f>
        <v>#REF!</v>
      </c>
      <c r="D80" s="170" t="s">
        <v>26</v>
      </c>
      <c r="E80" s="2324" t="e">
        <f ca="1">IF(C80&gt;=200%,"增值额超过扣除项目金额200%",IF(C80&gt;=100%,"增值额超过扣除项目金额100%，未超过200%",IF(C80&gt;=50%,"增值额超过扣除项目金额50%，未超过100%",IF(C80&lt;50%,"增值额未超过扣除项目金额50%"))))</f>
        <v>#REF!</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t="e">
        <f ca="1">ROUND(IF(C79&lt;=0,0,IF(C80&gt;=200%,C79*60%-C73*35%,IF(C80&gt;=100%,C79*50%-C73*15%,IF(C80&gt;=50%,C79*40%-C73*5%,IF(C80&lt;50%,C79*30%,0))))),0)</f>
        <v>#REF!</v>
      </c>
      <c r="D81" s="2580" t="s">
        <v>26</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622" t="s">
        <v>1410</v>
      </c>
      <c r="B83" s="3623"/>
      <c r="C83" s="3623"/>
      <c r="D83" s="3623"/>
      <c r="E83" s="3623"/>
      <c r="F83" s="3623"/>
      <c r="G83" s="3623"/>
      <c r="H83" s="3623"/>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614" t="s">
        <v>1375</v>
      </c>
      <c r="B84" s="3615"/>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t="e">
        <f ca="1">ROUND(D45/(1+'数据-取费表'!C42),0)</f>
        <v>#REF!</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t="e">
        <f ca="1">IF(H88="仅含出让金",C87+C90+C91+C92+C93+C94,C87+C91+C92+C93+C94)</f>
        <v>#REF!</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0</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580" t="s">
        <v>2129</v>
      </c>
      <c r="H90" s="3581"/>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611" t="s">
        <v>1419</v>
      </c>
      <c r="F91" s="3612"/>
      <c r="G91" s="3612"/>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611" t="s">
        <v>1422</v>
      </c>
      <c r="F92" s="3612"/>
      <c r="G92" s="3612"/>
      <c r="H92" s="3613"/>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t="e">
        <f ca="1">ROUND(D45*D93/(1+'数据-取费表'!C42),0)</f>
        <v>#REF!</v>
      </c>
      <c r="D93" s="2577">
        <f>'数据-取费表'!B43</f>
        <v>0</v>
      </c>
      <c r="E93" s="3611" t="s">
        <v>1406</v>
      </c>
      <c r="F93" s="3612"/>
      <c r="G93" s="3612"/>
      <c r="H93" s="3613"/>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656" t="s">
        <v>1426</v>
      </c>
      <c r="F94" s="3657"/>
      <c r="G94" s="3657"/>
      <c r="H94" s="3658"/>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t="e">
        <f ca="1">ROUND(C85-C86,0)</f>
        <v>#REF!</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t="e">
        <f ca="1">IF(C95&lt;=0,0,C95/C86)</f>
        <v>#REF!</v>
      </c>
      <c r="D96" s="170" t="s">
        <v>26</v>
      </c>
      <c r="E96" s="2324" t="e">
        <f ca="1">IF(C96&gt;=200%,"增值额超过扣除项目金额200%",IF(C96&gt;=100%,"增值额超过扣除项目金额100%，未超过200%",IF(C96&gt;=50%,"增值额超过扣除项目金额50%，未超过100%",IF(C96&lt;50%,"增值额未超过扣除项目金额50%"))))</f>
        <v>#REF!</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t="e">
        <f ca="1">ROUND(IF(C95&lt;=0,0,IF(C96&gt;=200%,C95*60%-C86*35%,IF(C96&gt;=100%,C95*50%-C86*15%,IF(C96&gt;=50%,C95*40%-C86*5%,IF(C96&lt;50%,C95*30%,0))))),0)</f>
        <v>#REF!</v>
      </c>
      <c r="D97" s="2580" t="s">
        <v>26</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61" t="s">
        <v>1428</v>
      </c>
      <c r="B100" s="3562"/>
      <c r="C100" s="3562"/>
      <c r="D100" s="3596"/>
      <c r="E100" s="3562" t="s">
        <v>1429</v>
      </c>
      <c r="F100" s="3562"/>
      <c r="G100" s="3562"/>
      <c r="H100" s="3596"/>
      <c r="I100" s="129"/>
    </row>
    <row r="101" spans="1:35" ht="18.75" customHeight="1">
      <c r="A101" s="3604" t="s">
        <v>1430</v>
      </c>
      <c r="B101" s="3605"/>
      <c r="C101" s="2585">
        <f>C4</f>
        <v>0</v>
      </c>
      <c r="D101" s="2586">
        <f>D4</f>
        <v>0</v>
      </c>
      <c r="E101" s="3574" t="s">
        <v>1431</v>
      </c>
      <c r="F101" s="3575"/>
      <c r="G101" s="1827" t="s">
        <v>1432</v>
      </c>
      <c r="H101" s="2595" t="e">
        <f ca="1">H118</f>
        <v>#REF!</v>
      </c>
      <c r="I101" s="129"/>
    </row>
    <row r="102" spans="1:35" ht="18.75" customHeight="1">
      <c r="A102" s="3606" t="s">
        <v>1433</v>
      </c>
      <c r="B102" s="2584" t="s">
        <v>1432</v>
      </c>
      <c r="C102" s="2585" t="e">
        <f ca="1">IF(D32="楼面单价",ROUND(C19,0),C19)</f>
        <v>#REF!</v>
      </c>
      <c r="D102" s="2586" t="e">
        <f ca="1">IF(D32="楼面单价",ROUND(D19,0),D19)</f>
        <v>#REF!</v>
      </c>
      <c r="E102" s="3574"/>
      <c r="F102" s="3575"/>
      <c r="G102" s="1827" t="s">
        <v>1434</v>
      </c>
      <c r="H102" s="2555" t="e">
        <f ca="1">I118</f>
        <v>#REF!</v>
      </c>
      <c r="I102" s="129"/>
    </row>
    <row r="103" spans="1:35" ht="42.75" customHeight="1">
      <c r="A103" s="3606"/>
      <c r="B103" s="2584" t="s">
        <v>1434</v>
      </c>
      <c r="C103" s="2587" t="e">
        <f ca="1">C20</f>
        <v>#REF!</v>
      </c>
      <c r="D103" s="2588" t="e">
        <f ca="1">D20</f>
        <v>#REF!</v>
      </c>
      <c r="E103" s="3567" t="s">
        <v>1435</v>
      </c>
      <c r="F103" s="3568"/>
      <c r="G103" s="1828" t="s">
        <v>1436</v>
      </c>
      <c r="H103" s="2595">
        <f>IF(D36="正常操作",H104+H105+H106,H105+H106)</f>
        <v>0</v>
      </c>
      <c r="I103" s="129"/>
    </row>
    <row r="104" spans="1:35" ht="18.75" customHeight="1">
      <c r="A104" s="3606" t="s">
        <v>1437</v>
      </c>
      <c r="B104" s="2589" t="s">
        <v>1432</v>
      </c>
      <c r="C104" s="2590" t="e">
        <f ca="1">H118</f>
        <v>#REF!</v>
      </c>
      <c r="D104" s="2591"/>
      <c r="E104" s="1674" t="s">
        <v>1438</v>
      </c>
      <c r="F104" s="1666"/>
      <c r="G104" s="1828" t="s">
        <v>1436</v>
      </c>
      <c r="H104" s="2596">
        <f>IF(D36="同一抵押权人同一抵押物续贷",C36&amp;"（续贷，未扣减，详见特别提示）",C36)</f>
        <v>0</v>
      </c>
      <c r="I104" s="129"/>
    </row>
    <row r="105" spans="1:35" ht="18.75" customHeight="1" thickBot="1">
      <c r="A105" s="3616"/>
      <c r="B105" s="2592" t="s">
        <v>1434</v>
      </c>
      <c r="C105" s="2593" t="e">
        <f ca="1">I118</f>
        <v>#REF!</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607" t="str">
        <f>IF(项目基本情况!E8="已注销","——","3.房地产抵押价值")</f>
        <v>3.房地产抵押价值</v>
      </c>
      <c r="F107" s="3575"/>
      <c r="G107" s="1827" t="s">
        <v>1432</v>
      </c>
      <c r="H107" s="2595" t="e">
        <f ca="1">IF(E107="——","——",H101-H103)</f>
        <v>#REF!</v>
      </c>
      <c r="I107" s="129"/>
    </row>
    <row r="108" spans="1:35" ht="18.75" customHeight="1">
      <c r="A108" s="129"/>
      <c r="B108" s="129"/>
      <c r="C108" s="129"/>
      <c r="D108" s="129"/>
      <c r="E108" s="3607"/>
      <c r="F108" s="3575"/>
      <c r="G108" s="1827" t="s">
        <v>1434</v>
      </c>
      <c r="H108" s="2555">
        <f ca="1">IF(H107=H101,H102,ROUND(H107*10000/'数据-汇总表'!E3,0))</f>
        <v>0</v>
      </c>
      <c r="I108" s="129"/>
    </row>
    <row r="109" spans="1:35" ht="18.75" customHeight="1">
      <c r="A109" s="129"/>
      <c r="B109" s="129"/>
      <c r="C109" s="129"/>
      <c r="D109" s="129"/>
      <c r="E109" s="3607" t="str">
        <f>IF(项目基本情况!E8="已注销及未注销","4.抵押担保权已注销时的房地产抵押价值",IF(项目基本情况!E8="已注销","3.抵押担保权已注销时的房地产抵押价值","——"))</f>
        <v>——</v>
      </c>
      <c r="F109" s="3575"/>
      <c r="G109" s="1827" t="s">
        <v>1432</v>
      </c>
      <c r="H109" s="2598" t="str">
        <f>IF(E109="——","——",H101-H105-H106)</f>
        <v>——</v>
      </c>
      <c r="I109" s="129"/>
    </row>
    <row r="110" spans="1:35" ht="18.75" customHeight="1">
      <c r="A110" s="129"/>
      <c r="B110" s="129"/>
      <c r="C110" s="129"/>
      <c r="D110" s="129"/>
      <c r="E110" s="3607"/>
      <c r="F110" s="3575"/>
      <c r="G110" s="1827" t="s">
        <v>1434</v>
      </c>
      <c r="H110" s="2555" t="str">
        <f>IF(H109="——","——",ROUND(H109*10000/'数据-汇总表'!E3,0))</f>
        <v>——</v>
      </c>
      <c r="I110" s="129"/>
    </row>
    <row r="111" spans="1:35" ht="18.75" customHeight="1">
      <c r="A111" s="129"/>
      <c r="B111" s="129"/>
      <c r="C111" s="129"/>
      <c r="D111" s="129"/>
      <c r="E111" s="3608" t="str">
        <f>IF(项目基本情况!E9="抵押净值",IF(OR(项目基本情况!E8="已注销",项目基本情况!E8="房地产抵押价值"),"4.抵押净值","5.抵押净值"),"——")</f>
        <v>——</v>
      </c>
      <c r="F111" s="3594"/>
      <c r="G111" s="1827" t="s">
        <v>1432</v>
      </c>
      <c r="H111" s="2595" t="str">
        <f>IF(E111="——","——",N59)</f>
        <v>——</v>
      </c>
      <c r="I111" s="129"/>
    </row>
    <row r="112" spans="1:35" ht="18.75" customHeight="1" thickBot="1">
      <c r="A112" s="129"/>
      <c r="B112" s="129"/>
      <c r="C112" s="129"/>
      <c r="D112" s="129"/>
      <c r="E112" s="3609"/>
      <c r="F112" s="3610"/>
      <c r="G112" s="1830" t="s">
        <v>1434</v>
      </c>
      <c r="H112" s="2599" t="str">
        <f>IF(E111="——","——",N61)</f>
        <v>——</v>
      </c>
      <c r="I112" s="129"/>
    </row>
    <row r="113" spans="1:27" ht="18.75" customHeight="1">
      <c r="A113" s="129"/>
      <c r="B113" s="129"/>
      <c r="C113" s="129"/>
      <c r="D113" s="129"/>
      <c r="E113" s="3617" t="s">
        <v>1440</v>
      </c>
      <c r="F113" s="3617"/>
      <c r="G113" s="3617"/>
      <c r="H113" s="3617"/>
      <c r="I113" s="129"/>
    </row>
    <row r="114" spans="1:27" ht="3.75" customHeight="1">
      <c r="A114" s="1747"/>
      <c r="B114" s="1747"/>
      <c r="C114" s="1747"/>
      <c r="D114" s="1747"/>
      <c r="E114" s="1809"/>
      <c r="F114" s="1809"/>
      <c r="G114" s="1809"/>
      <c r="H114" s="1809"/>
      <c r="I114" s="1747"/>
    </row>
    <row r="115" spans="1:27" ht="18.75" customHeight="1">
      <c r="A115" s="3625" t="s">
        <v>1442</v>
      </c>
      <c r="B115" s="3626"/>
      <c r="C115" s="3626"/>
      <c r="D115" s="3626"/>
      <c r="E115" s="3626"/>
      <c r="F115" s="3626"/>
      <c r="G115" s="3626"/>
      <c r="H115" s="3626"/>
      <c r="I115" s="3627"/>
    </row>
    <row r="116" spans="1:27" ht="27" customHeight="1">
      <c r="A116" s="3582" t="s">
        <v>1443</v>
      </c>
      <c r="B116" s="3586" t="s">
        <v>1444</v>
      </c>
      <c r="C116" s="3586" t="s">
        <v>1445</v>
      </c>
      <c r="D116" s="3592" t="s">
        <v>1446</v>
      </c>
      <c r="E116" s="3593"/>
      <c r="F116" s="3624" t="s">
        <v>1447</v>
      </c>
      <c r="G116" s="3624"/>
      <c r="H116" s="3582" t="s">
        <v>1448</v>
      </c>
      <c r="I116" s="3582"/>
    </row>
    <row r="117" spans="1:27" ht="18.75" customHeight="1">
      <c r="A117" s="3582"/>
      <c r="B117" s="3587"/>
      <c r="C117" s="3587"/>
      <c r="D117" s="2329" t="s">
        <v>1449</v>
      </c>
      <c r="E117" s="2329" t="s">
        <v>1450</v>
      </c>
      <c r="F117" s="2329" t="s">
        <v>1449</v>
      </c>
      <c r="G117" s="2329" t="s">
        <v>1451</v>
      </c>
      <c r="H117" s="2329" t="s">
        <v>1449</v>
      </c>
      <c r="I117" s="2329" t="s">
        <v>1451</v>
      </c>
    </row>
    <row r="118" spans="1:27" ht="24.75" customHeight="1">
      <c r="A118" s="2600" t="str">
        <f>项目基本情况!S2</f>
        <v>房地产</v>
      </c>
      <c r="B118" s="2329">
        <f>M18</f>
        <v>0</v>
      </c>
      <c r="C118" s="2329" t="e">
        <f>M19</f>
        <v>#DIV/0!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t="e">
        <f ca="1">ROUND(IF(D32="总价",C32,I118*B118/10000),0)</f>
        <v>#REF!</v>
      </c>
      <c r="I118" s="2329" t="e">
        <f ca="1">ROUND(IF(D32="楼面单价",C32,H118*10000/B118),0)</f>
        <v>#REF!</v>
      </c>
    </row>
    <row r="119" spans="1:27" ht="18.75" customHeight="1">
      <c r="A119" s="3582" t="s">
        <v>1452</v>
      </c>
      <c r="B119" s="3582"/>
      <c r="C119" s="3582"/>
      <c r="D119" s="3588" t="e">
        <f ca="1">NUMBERSTRING(INT(D118*10000),2)&amp;"元整"</f>
        <v>#REF!</v>
      </c>
      <c r="E119" s="3589"/>
      <c r="F119" s="3588" t="e">
        <f ca="1">NUMBERSTRING(INT(F118*10000),2)&amp;"元整"</f>
        <v>#REF!</v>
      </c>
      <c r="G119" s="3589"/>
      <c r="H119" s="3588" t="e">
        <f ca="1">NUMBERSTRING(INT(H118*10000),2)&amp;"元整"</f>
        <v>#REF!</v>
      </c>
      <c r="I119" s="3589"/>
    </row>
    <row r="120" spans="1:27" ht="18.75" customHeight="1">
      <c r="A120" s="3583" t="str">
        <f>IF(项目基本情况!B9="房地产市场价值","",MID(E103,3,LEN(E103)-2))</f>
        <v>估价师知悉的法定优先受偿款</v>
      </c>
      <c r="B120" s="3584"/>
      <c r="C120" s="3585"/>
      <c r="D120" s="3583">
        <f>H103</f>
        <v>0</v>
      </c>
      <c r="E120" s="3584"/>
      <c r="F120" s="3584"/>
      <c r="G120" s="3584"/>
      <c r="H120" s="3584"/>
      <c r="I120" s="3585"/>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88" t="s">
        <v>1452</v>
      </c>
      <c r="B121" s="3590"/>
      <c r="C121" s="3589"/>
      <c r="D121" s="3588" t="str">
        <f>IF(D120=0,"零元整",NUMBERSTRING(INT(D120*10000),2)&amp;"元整")</f>
        <v>零元整</v>
      </c>
      <c r="E121" s="3590"/>
      <c r="F121" s="3590"/>
      <c r="G121" s="3590"/>
      <c r="H121" s="3590"/>
      <c r="I121" s="3589"/>
      <c r="AA121" s="725"/>
    </row>
    <row r="122" spans="1:27" ht="18.75" customHeight="1">
      <c r="A122" s="3594" t="str">
        <f>IF(项目基本情况!B9="房地产市场价值","",MID(E107,3,LEN(E107)-2))</f>
        <v>房地产抵押价值</v>
      </c>
      <c r="B122" s="3594"/>
      <c r="C122" s="3594"/>
      <c r="D122" s="3583" t="e">
        <f ca="1">H107</f>
        <v>#REF!</v>
      </c>
      <c r="E122" s="3584"/>
      <c r="F122" s="3584"/>
      <c r="G122" s="3584"/>
      <c r="H122" s="3584"/>
      <c r="I122" s="3585"/>
      <c r="AA122" s="725"/>
    </row>
    <row r="123" spans="1:27" ht="18.75" customHeight="1">
      <c r="A123" s="3582" t="s">
        <v>1452</v>
      </c>
      <c r="B123" s="3582"/>
      <c r="C123" s="3582"/>
      <c r="D123" s="3588" t="e">
        <f ca="1">NUMBERSTRING(INT(D122*10000),2)&amp;"元整"</f>
        <v>#REF!</v>
      </c>
      <c r="E123" s="3590"/>
      <c r="F123" s="3590"/>
      <c r="G123" s="3590"/>
      <c r="H123" s="3590"/>
      <c r="I123" s="3589"/>
      <c r="AA123" s="725"/>
    </row>
    <row r="124" spans="1:27" ht="18.75" customHeight="1">
      <c r="A124" s="3594" t="str">
        <f>IF(项目基本情况!B9="房地产市场价值","",MID(E109,3,LEN(E109)-2))</f>
        <v/>
      </c>
      <c r="B124" s="3594"/>
      <c r="C124" s="3594"/>
      <c r="D124" s="3583" t="str">
        <f>H109</f>
        <v>——</v>
      </c>
      <c r="E124" s="3584"/>
      <c r="F124" s="3584"/>
      <c r="G124" s="3584"/>
      <c r="H124" s="3584"/>
      <c r="I124" s="3585"/>
      <c r="AA124" s="725"/>
    </row>
    <row r="125" spans="1:27" ht="18.75" customHeight="1">
      <c r="A125" s="3582" t="s">
        <v>1452</v>
      </c>
      <c r="B125" s="3582"/>
      <c r="C125" s="3582"/>
      <c r="D125" s="3588" t="e">
        <f>NUMBERSTRING(INT(D124*10000),2)&amp;"元整"</f>
        <v>#VALUE!</v>
      </c>
      <c r="E125" s="3590"/>
      <c r="F125" s="3590"/>
      <c r="G125" s="3590"/>
      <c r="H125" s="3590"/>
      <c r="I125" s="3589"/>
      <c r="AA125" s="725"/>
    </row>
    <row r="126" spans="1:27" ht="18.75" customHeight="1">
      <c r="A126" s="3594" t="str">
        <f>IF(项目基本情况!B9="房地产市场价值","",MID(E111,3,LEN(E111)-2))</f>
        <v/>
      </c>
      <c r="B126" s="3594"/>
      <c r="C126" s="3594"/>
      <c r="D126" s="3583" t="str">
        <f>H111</f>
        <v>——</v>
      </c>
      <c r="E126" s="3584"/>
      <c r="F126" s="3584"/>
      <c r="G126" s="3584"/>
      <c r="H126" s="3584"/>
      <c r="I126" s="3585"/>
      <c r="AA126" s="725"/>
    </row>
    <row r="127" spans="1:27" ht="18.75" customHeight="1">
      <c r="A127" s="3582" t="s">
        <v>1452</v>
      </c>
      <c r="B127" s="3582"/>
      <c r="C127" s="3582"/>
      <c r="D127" s="3588" t="e">
        <f>NUMBERSTRING(INT(D126*10000),2)&amp;"元整"</f>
        <v>#VALUE!</v>
      </c>
      <c r="E127" s="3590"/>
      <c r="F127" s="3590"/>
      <c r="G127" s="3590"/>
      <c r="H127" s="3590"/>
      <c r="I127" s="3589"/>
      <c r="AA127" s="725"/>
    </row>
    <row r="128" spans="1:27" ht="21.75" customHeight="1">
      <c r="A128" s="3591" t="s">
        <v>1453</v>
      </c>
      <c r="B128" s="3591"/>
      <c r="C128" s="3591"/>
      <c r="D128" s="3591"/>
      <c r="E128" s="3591"/>
      <c r="F128" s="3591"/>
      <c r="G128" s="3591"/>
      <c r="H128" s="3591"/>
      <c r="I128" s="3591"/>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I17" sqref="I17"/>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6</v>
      </c>
    </row>
    <row r="2" spans="1:9" s="200" customFormat="1" ht="18" customHeight="1">
      <c r="A2" s="201" t="s">
        <v>1462</v>
      </c>
      <c r="B2" s="202" t="e">
        <f ca="1">IF(D2="——",C52,C52-E2)</f>
        <v>#VALUE!</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t="e">
        <f ca="1">ROUND(B2*10000/(IF(B1="",'数据-汇总表'!E3,INDIRECT("'数据-取费表'!k"&amp;$G$1))),0)</f>
        <v>#VALUE!</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8" t="s">
        <v>1472</v>
      </c>
      <c r="B6" s="215" t="s">
        <v>1473</v>
      </c>
      <c r="C6" s="216"/>
      <c r="D6" s="217"/>
      <c r="E6" s="218"/>
      <c r="F6" s="218"/>
      <c r="G6" s="219"/>
    </row>
    <row r="7" spans="1:9" s="214" customFormat="1" ht="13.5" customHeight="1">
      <c r="A7" s="778" t="s">
        <v>1474</v>
      </c>
      <c r="B7" s="215" t="s">
        <v>1475</v>
      </c>
      <c r="C7" s="220">
        <f>ROUND(C6*F7,0)</f>
        <v>0</v>
      </c>
      <c r="D7" s="220"/>
      <c r="E7" s="218"/>
      <c r="F7" s="221">
        <f>IF(项目基本情况!B8="出让",0,'数据-取费表'!B48+'数据-取费表'!B49)</f>
        <v>0</v>
      </c>
      <c r="G7" s="219"/>
    </row>
    <row r="8" spans="1:9" s="223" customFormat="1">
      <c r="A8" s="778" t="s">
        <v>1476</v>
      </c>
      <c r="B8" s="215" t="s">
        <v>1477</v>
      </c>
      <c r="C8" s="220">
        <f>IF(G8="已包含在土地购买价格中","0",IF(B1="",'数据-取费表'!B29,IF(G9="全部缴纳",C9+C10,H9)))</f>
        <v>0</v>
      </c>
      <c r="D8" s="222"/>
      <c r="E8" s="220"/>
      <c r="F8" s="221"/>
      <c r="G8" s="1856"/>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0</v>
      </c>
      <c r="F9" s="221"/>
      <c r="G9" s="1857"/>
      <c r="H9" s="1137"/>
      <c r="I9" s="1858" t="s">
        <v>1479</v>
      </c>
    </row>
    <row r="10" spans="1:9" s="214" customFormat="1" ht="13.5" customHeight="1">
      <c r="A10" s="779" t="s">
        <v>356</v>
      </c>
      <c r="B10" s="224" t="s">
        <v>1480</v>
      </c>
      <c r="C10" s="225">
        <f ca="1">ROUND(D10*E10/10000,0)</f>
        <v>0</v>
      </c>
      <c r="D10" s="845">
        <f ca="1">IF(B1="",'数据-汇总表'!E6,IF(INDIRECT("'数据-取费表'!c"&amp;$G$1)="住宅",INDIRECT("'数据-取费表'!s"&amp;$G$1),INDIRECT("'数据-取费表'!k"&amp;$G$1)+INDIRECT("'数据-取费表'!s"&amp;$G$1)))</f>
        <v>0</v>
      </c>
      <c r="E10" s="225">
        <f>'数据-取费表'!B28</f>
        <v>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f ca="1">IF(G19="已包含在土地取得成本中","0",ROUND(D19*E19/10000,0))</f>
        <v>0</v>
      </c>
      <c r="D19" s="849">
        <f ca="1">D9+D10</f>
        <v>0</v>
      </c>
      <c r="E19" s="211">
        <f>'数据-取费表'!B31</f>
        <v>0</v>
      </c>
      <c r="F19" s="231"/>
      <c r="G19" s="1856"/>
    </row>
    <row r="20" spans="1:7" s="214" customFormat="1" ht="13.5" customHeight="1">
      <c r="A20" s="255" t="s">
        <v>1493</v>
      </c>
      <c r="B20" s="210" t="s">
        <v>1494</v>
      </c>
      <c r="C20" s="232">
        <f ca="1">ROUND((C5+C19)*F20,0)</f>
        <v>0</v>
      </c>
      <c r="D20" s="232"/>
      <c r="E20" s="232"/>
      <c r="F20" s="233">
        <f>'数据-取费表'!B37</f>
        <v>0</v>
      </c>
      <c r="G20" s="234" t="s">
        <v>1495</v>
      </c>
    </row>
    <row r="21" spans="1:7" s="214" customFormat="1" ht="13.5" customHeight="1">
      <c r="A21" s="255" t="s">
        <v>1496</v>
      </c>
      <c r="B21" s="210" t="s">
        <v>1497</v>
      </c>
      <c r="C21" s="235">
        <f>F21</f>
        <v>0</v>
      </c>
      <c r="D21" s="236" t="s">
        <v>1498</v>
      </c>
      <c r="E21" s="232"/>
      <c r="F21" s="233">
        <f>'数据-取费表'!B38</f>
        <v>0</v>
      </c>
      <c r="G21" s="234" t="s">
        <v>1499</v>
      </c>
    </row>
    <row r="22" spans="1:7" s="214" customFormat="1" ht="13.5" customHeight="1">
      <c r="A22" s="255" t="s">
        <v>1500</v>
      </c>
      <c r="B22" s="210" t="s">
        <v>1501</v>
      </c>
      <c r="C22" s="1104" t="e">
        <f ca="1">ROUND(SUM(C23:C25),0)</f>
        <v>#VALUE!</v>
      </c>
      <c r="D22" s="235" t="e">
        <f ca="1">C26</f>
        <v>#VALUE!</v>
      </c>
      <c r="E22" s="236" t="s">
        <v>1498</v>
      </c>
      <c r="F22" s="237" t="e">
        <f ca="1">'数据-取费表'!B40</f>
        <v>#VALUE!</v>
      </c>
      <c r="G22" s="234" t="str">
        <f>IF('数据-取费表'!B22&lt;=1,"单利计息","复利计息")</f>
        <v>单利计息</v>
      </c>
    </row>
    <row r="23" spans="1:7" s="214" customFormat="1" ht="13.5" customHeight="1">
      <c r="A23" s="780" t="s">
        <v>1502</v>
      </c>
      <c r="B23" s="215" t="s">
        <v>1503</v>
      </c>
      <c r="C23" s="1105" t="e">
        <f ca="1">ROUND(IF('数据-取费表'!B22&lt;=1,C5*F22*'数据-取费表'!B23,C5*(POWER((1+F22),'数据-取费表'!B23)-1)),0)</f>
        <v>#VALUE!</v>
      </c>
      <c r="D23" s="238"/>
      <c r="E23" s="238"/>
      <c r="F23" s="239"/>
      <c r="G23" s="240" t="s">
        <v>1504</v>
      </c>
    </row>
    <row r="24" spans="1:7" s="214" customFormat="1" ht="13.5" customHeight="1">
      <c r="A24" s="780" t="s">
        <v>1505</v>
      </c>
      <c r="B24" s="215" t="s">
        <v>1506</v>
      </c>
      <c r="C24" s="1105" t="e">
        <f ca="1">ROUND(IF('数据-取费表'!B22&lt;=1,C19*F22*('数据-取费表'!B19/2+'数据-取费表'!B21),C19*(POWER((1+F22),('数据-取费表'!B19/2+'数据-取费表'!B21))-1)),0)</f>
        <v>#VALUE!</v>
      </c>
      <c r="D24" s="238"/>
      <c r="E24" s="238"/>
      <c r="F24" s="239"/>
      <c r="G24" s="240" t="s">
        <v>1507</v>
      </c>
    </row>
    <row r="25" spans="1:7" s="214" customFormat="1" ht="24">
      <c r="A25" s="780" t="s">
        <v>1508</v>
      </c>
      <c r="B25" s="215" t="s">
        <v>1509</v>
      </c>
      <c r="C25" s="1105" t="e">
        <f ca="1">ROUND(IF('数据-取费表'!B22&lt;=1,C20*F22*'数据-取费表'!B23/2,C20*(POWER((1+F22),'数据-取费表'!B23/2)-1)),0)</f>
        <v>#VALUE!</v>
      </c>
      <c r="D25" s="238"/>
      <c r="E25" s="241"/>
      <c r="F25" s="239"/>
      <c r="G25" s="242" t="s">
        <v>1510</v>
      </c>
    </row>
    <row r="26" spans="1:7" s="214" customFormat="1">
      <c r="A26" s="780" t="s">
        <v>350</v>
      </c>
      <c r="B26" s="215" t="s">
        <v>1511</v>
      </c>
      <c r="C26" s="238" t="e">
        <f ca="1">ROUND(IF('数据-取费表'!B22&lt;=1,F21*F22*'数据-取费表'!B23/2,F21*(POWER((1+F22),'数据-取费表'!B23/2)-1)),4)</f>
        <v>#VALUE!</v>
      </c>
      <c r="D26" s="238"/>
      <c r="E26" s="241"/>
      <c r="F26" s="239"/>
      <c r="G26" s="243"/>
    </row>
    <row r="27" spans="1:7" s="214" customFormat="1" ht="24.75">
      <c r="A27" s="255" t="s">
        <v>1512</v>
      </c>
      <c r="B27" s="244" t="s">
        <v>1513</v>
      </c>
      <c r="C27" s="245" t="e">
        <f ca="1">C28</f>
        <v>#DIV/0!</v>
      </c>
      <c r="D27" s="235" t="e">
        <f ca="1">C29</f>
        <v>#DIV/0!</v>
      </c>
      <c r="E27" s="236" t="s">
        <v>1514</v>
      </c>
      <c r="F27" s="246" t="e">
        <f ca="1">IF(B1="",'数据-取费表'!Q16,INDIRECT("'数据-取费表'!q"&amp;$G$1))</f>
        <v>#DIV/0!</v>
      </c>
      <c r="G27" s="247" t="s">
        <v>1515</v>
      </c>
    </row>
    <row r="28" spans="1:7" s="214" customFormat="1" ht="13.5" customHeight="1">
      <c r="A28" s="780" t="s">
        <v>346</v>
      </c>
      <c r="B28" s="248" t="s">
        <v>1516</v>
      </c>
      <c r="C28" s="249" t="e">
        <f ca="1">ROUND((C5+C19+C20)*F27*'数据-取费表'!B21/'数据-取费表'!B20,0)</f>
        <v>#DIV/0!</v>
      </c>
      <c r="D28" s="235"/>
      <c r="E28" s="236"/>
      <c r="F28" s="246"/>
      <c r="G28" s="247"/>
    </row>
    <row r="29" spans="1:7" s="214" customFormat="1" ht="13.5" customHeight="1">
      <c r="A29" s="780" t="s">
        <v>347</v>
      </c>
      <c r="B29" s="248" t="s">
        <v>1517</v>
      </c>
      <c r="C29" s="238" t="e">
        <f ca="1">ROUND(C21*F27*'数据-取费表'!B21/'数据-取费表'!B20,4)</f>
        <v>#DIV/0!</v>
      </c>
      <c r="D29" s="235"/>
      <c r="E29" s="236"/>
      <c r="F29" s="246"/>
      <c r="G29" s="247"/>
    </row>
    <row r="30" spans="1:7" s="214" customFormat="1" ht="13.5" customHeight="1">
      <c r="A30" s="255" t="s">
        <v>1518</v>
      </c>
      <c r="B30" s="210" t="s">
        <v>1519</v>
      </c>
      <c r="C30" s="235">
        <f>ROUND(F30/(1+'数据-取费表'!C42),4)</f>
        <v>0</v>
      </c>
      <c r="D30" s="236" t="s">
        <v>1514</v>
      </c>
      <c r="E30" s="241"/>
      <c r="F30" s="237">
        <f>'数据-取费表'!B41</f>
        <v>0</v>
      </c>
      <c r="G30" s="234" t="s">
        <v>1520</v>
      </c>
    </row>
    <row r="31" spans="1:7" ht="16.5" customHeight="1">
      <c r="A31" s="209">
        <v>1</v>
      </c>
      <c r="B31" s="210" t="s">
        <v>1521</v>
      </c>
      <c r="C31" s="211" t="e">
        <f ca="1">ROUND((C5+C19+C20+C22+C27)/(1-C21-D22-D27-C30),0)</f>
        <v>#VALUE!</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0</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0</v>
      </c>
      <c r="D34" s="217"/>
      <c r="E34" s="220"/>
      <c r="F34" s="257">
        <f ca="1">IF('数据-取费表'!B24=0,1,IF(B1="",'数据-取费表'!N16,INDIRECT("'数据-取费表'!n"&amp;$G$1)))</f>
        <v>1</v>
      </c>
      <c r="G34" s="219" t="s">
        <v>1526</v>
      </c>
    </row>
    <row r="35" spans="1:7" ht="13.5" customHeight="1">
      <c r="A35" s="780" t="s">
        <v>351</v>
      </c>
      <c r="B35" s="215" t="s">
        <v>1527</v>
      </c>
      <c r="C35" s="220">
        <f ca="1">ROUND(C34*F35,0)</f>
        <v>0</v>
      </c>
      <c r="D35" s="220"/>
      <c r="E35" s="220"/>
      <c r="F35" s="259">
        <f>'数据-取费表'!B33</f>
        <v>0</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0</v>
      </c>
      <c r="D37" s="217">
        <f ca="1">D19</f>
        <v>0</v>
      </c>
      <c r="E37" s="249">
        <f>'数据-取费表'!B35</f>
        <v>0</v>
      </c>
      <c r="F37" s="259"/>
      <c r="G37" s="261" t="s">
        <v>1532</v>
      </c>
    </row>
    <row r="38" spans="1:7" ht="13.5" customHeight="1">
      <c r="A38" s="780" t="s">
        <v>354</v>
      </c>
      <c r="B38" s="215" t="s">
        <v>1533</v>
      </c>
      <c r="C38" s="220">
        <f ca="1">ROUND(C34*F38,0)</f>
        <v>0</v>
      </c>
      <c r="D38" s="220"/>
      <c r="E38" s="220"/>
      <c r="F38" s="259">
        <f>'数据-取费表'!B36</f>
        <v>0</v>
      </c>
      <c r="G38" s="219" t="s">
        <v>1528</v>
      </c>
    </row>
    <row r="39" spans="1:7" s="214" customFormat="1" ht="13.5" customHeight="1">
      <c r="A39" s="255" t="s">
        <v>1534</v>
      </c>
      <c r="B39" s="210" t="s">
        <v>1535</v>
      </c>
      <c r="C39" s="232">
        <f ca="1">ROUND(C33*F20,0)</f>
        <v>0</v>
      </c>
      <c r="D39" s="232"/>
      <c r="E39" s="232"/>
      <c r="F39" s="233">
        <f>F20</f>
        <v>0</v>
      </c>
      <c r="G39" s="234" t="s">
        <v>1536</v>
      </c>
    </row>
    <row r="40" spans="1:7" s="214" customFormat="1" ht="13.5" customHeight="1">
      <c r="A40" s="255" t="s">
        <v>1537</v>
      </c>
      <c r="B40" s="210" t="s">
        <v>1538</v>
      </c>
      <c r="C40" s="1327">
        <f>F21</f>
        <v>0</v>
      </c>
      <c r="D40" s="236" t="s">
        <v>1539</v>
      </c>
      <c r="E40" s="232"/>
      <c r="F40" s="233">
        <f>F21</f>
        <v>0</v>
      </c>
      <c r="G40" s="234" t="s">
        <v>1540</v>
      </c>
    </row>
    <row r="41" spans="1:7" s="214" customFormat="1" ht="13.5" customHeight="1">
      <c r="A41" s="255" t="s">
        <v>1541</v>
      </c>
      <c r="B41" s="210" t="s">
        <v>1542</v>
      </c>
      <c r="C41" s="232" t="e">
        <f ca="1">ROUND(SUM(C42:C43),0)</f>
        <v>#VALUE!</v>
      </c>
      <c r="D41" s="235" t="e">
        <f ca="1">C44</f>
        <v>#VALUE!</v>
      </c>
      <c r="E41" s="236" t="s">
        <v>1539</v>
      </c>
      <c r="F41" s="237" t="e">
        <f ca="1">F22</f>
        <v>#VALUE!</v>
      </c>
      <c r="G41" s="234" t="str">
        <f>IF('数据-取费表'!B22&lt;=1,"单利计息","复利计息")</f>
        <v>单利计息</v>
      </c>
    </row>
    <row r="42" spans="1:7" ht="13.5" customHeight="1">
      <c r="A42" s="780" t="s">
        <v>346</v>
      </c>
      <c r="B42" s="215" t="s">
        <v>1543</v>
      </c>
      <c r="C42" s="238" t="e">
        <f ca="1">ROUND(IF('数据-取费表'!B22&lt;=1,C33*F22*'数据-取费表'!B21/2,C33*(POWER((1+F22),'数据-取费表'!B21/2)-1)),0)</f>
        <v>#VALUE!</v>
      </c>
      <c r="D42" s="238"/>
      <c r="E42" s="238"/>
      <c r="F42" s="239"/>
      <c r="G42" s="3661" t="s">
        <v>1544</v>
      </c>
    </row>
    <row r="43" spans="1:7" ht="13.5" customHeight="1">
      <c r="A43" s="780" t="s">
        <v>347</v>
      </c>
      <c r="B43" s="215" t="s">
        <v>1545</v>
      </c>
      <c r="C43" s="238" t="e">
        <f ca="1">ROUND(IF('数据-取费表'!B22&lt;=1,C39*F22*'数据-取费表'!B21/2,C39*(POWER((1+F22),'数据-取费表'!B21/2)-1)),0)</f>
        <v>#VALUE!</v>
      </c>
      <c r="D43" s="238"/>
      <c r="E43" s="238"/>
      <c r="F43" s="239"/>
      <c r="G43" s="3662"/>
    </row>
    <row r="44" spans="1:7" ht="13.5" customHeight="1">
      <c r="A44" s="780" t="s">
        <v>348</v>
      </c>
      <c r="B44" s="215" t="s">
        <v>1546</v>
      </c>
      <c r="C44" s="238" t="e">
        <f ca="1">ROUND(IF('数据-取费表'!B22&lt;=1,C40*F22*'数据-取费表'!B21/2,C40*(POWER((1+F22),'数据-取费表'!B21/2)-1)),4)</f>
        <v>#VALUE!</v>
      </c>
      <c r="D44" s="238"/>
      <c r="E44" s="238"/>
      <c r="F44" s="239"/>
      <c r="G44" s="3663"/>
    </row>
    <row r="45" spans="1:7" s="214" customFormat="1" ht="13.5" customHeight="1">
      <c r="A45" s="255" t="s">
        <v>1547</v>
      </c>
      <c r="B45" s="244" t="s">
        <v>1513</v>
      </c>
      <c r="C45" s="245" t="e">
        <f ca="1">C46</f>
        <v>#DIV/0!</v>
      </c>
      <c r="D45" s="235" t="e">
        <f ca="1">C47</f>
        <v>#DIV/0!</v>
      </c>
      <c r="E45" s="236" t="s">
        <v>1539</v>
      </c>
      <c r="F45" s="246" t="e">
        <f ca="1">F27</f>
        <v>#DIV/0!</v>
      </c>
      <c r="G45" s="247" t="s">
        <v>1548</v>
      </c>
    </row>
    <row r="46" spans="1:7" s="214" customFormat="1" ht="13.5" customHeight="1">
      <c r="A46" s="780" t="s">
        <v>346</v>
      </c>
      <c r="B46" s="248" t="s">
        <v>1549</v>
      </c>
      <c r="C46" s="249" t="e">
        <f ca="1">ROUND((C33+C39)*F27,0)</f>
        <v>#DIV/0!</v>
      </c>
      <c r="D46" s="263"/>
      <c r="E46" s="236"/>
      <c r="F46" s="246"/>
      <c r="G46" s="247"/>
    </row>
    <row r="47" spans="1:7" s="214" customFormat="1" ht="13.5" customHeight="1">
      <c r="A47" s="780" t="s">
        <v>347</v>
      </c>
      <c r="B47" s="248" t="s">
        <v>1550</v>
      </c>
      <c r="C47" s="238" t="e">
        <f ca="1">ROUND(C40*F27,4)</f>
        <v>#DIV/0!</v>
      </c>
      <c r="D47" s="263"/>
      <c r="E47" s="236"/>
      <c r="F47" s="246"/>
      <c r="G47" s="247"/>
    </row>
    <row r="48" spans="1:7" s="214" customFormat="1" ht="13.5" customHeight="1">
      <c r="A48" s="255" t="s">
        <v>1512</v>
      </c>
      <c r="B48" s="210" t="s">
        <v>1551</v>
      </c>
      <c r="C48" s="1327">
        <f>ROUND(F30/(1+'数据-取费表'!C42),4)</f>
        <v>0</v>
      </c>
      <c r="D48" s="236" t="s">
        <v>1539</v>
      </c>
      <c r="E48" s="232"/>
      <c r="F48" s="237">
        <f>F30</f>
        <v>0</v>
      </c>
      <c r="G48" s="234" t="s">
        <v>1552</v>
      </c>
    </row>
    <row r="49" spans="1:7" ht="16.5" customHeight="1">
      <c r="A49" s="255" t="s">
        <v>1518</v>
      </c>
      <c r="B49" s="210" t="s">
        <v>1553</v>
      </c>
      <c r="C49" s="232" t="e">
        <f ca="1">ROUND((C33+C39+C41+C45)/(1-C40-D41-D45-C48),0)</f>
        <v>#VALUE!</v>
      </c>
      <c r="D49" s="232"/>
      <c r="E49" s="232"/>
      <c r="F49" s="264"/>
      <c r="G49" s="234" t="s">
        <v>1554</v>
      </c>
    </row>
    <row r="50" spans="1:7" s="258" customFormat="1" ht="24">
      <c r="A50" s="255" t="s">
        <v>1555</v>
      </c>
      <c r="B50" s="210" t="s">
        <v>1556</v>
      </c>
      <c r="C50" s="232"/>
      <c r="D50" s="232"/>
      <c r="E50" s="232"/>
      <c r="F50" s="264" t="e">
        <f>IF('数据-取费表'!B24=0,'数据-取费表'!N16,1)</f>
        <v>#DIV/0!</v>
      </c>
      <c r="G50" s="247" t="s">
        <v>1557</v>
      </c>
    </row>
    <row r="51" spans="1:7" ht="16.5" customHeight="1">
      <c r="A51" s="255" t="s">
        <v>1558</v>
      </c>
      <c r="B51" s="210" t="s">
        <v>1559</v>
      </c>
      <c r="C51" s="232" t="e">
        <f ca="1">ROUND(C49*F50,0)</f>
        <v>#VALUE!</v>
      </c>
      <c r="D51" s="232"/>
      <c r="E51" s="232"/>
      <c r="F51" s="264"/>
      <c r="G51" s="234" t="s">
        <v>1560</v>
      </c>
    </row>
    <row r="52" spans="1:7" s="208" customFormat="1" ht="16.5" thickBot="1">
      <c r="A52" s="265" t="s">
        <v>1561</v>
      </c>
      <c r="B52" s="266"/>
      <c r="C52" s="267" t="e">
        <f ca="1">C31+C51</f>
        <v>#VALUE!</v>
      </c>
      <c r="D52" s="266"/>
      <c r="E52" s="266"/>
      <c r="F52" s="266"/>
      <c r="G52" s="268"/>
    </row>
    <row r="55" spans="1:7" ht="15">
      <c r="B55" s="270" t="s">
        <v>1562</v>
      </c>
      <c r="C55" s="271"/>
    </row>
    <row r="56" spans="1:7">
      <c r="B56" s="273" t="s">
        <v>802</v>
      </c>
      <c r="C56" s="275" t="e">
        <f ca="1">1-C57</f>
        <v>#VALUE!</v>
      </c>
    </row>
    <row r="57" spans="1:7">
      <c r="B57" s="273" t="s">
        <v>803</v>
      </c>
      <c r="C57" s="274" t="e">
        <f ca="1">ROUND(C51/C52,3)</f>
        <v>#VALUE!</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78" t="str">
        <f>项目基本情况!B1</f>
        <v>预评估</v>
      </c>
      <c r="C37" s="3478"/>
      <c r="D37" s="3478"/>
      <c r="E37" s="3478"/>
      <c r="F37" s="3478"/>
      <c r="G37" s="3478"/>
      <c r="H37" s="3478"/>
      <c r="I37" s="3478"/>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I17" sqref="I17"/>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6</v>
      </c>
      <c r="H1" s="1061" t="str">
        <f>IF(ISERROR(FIND("住宅",B1)),"非住宅","住宅")</f>
        <v>非住宅</v>
      </c>
    </row>
    <row r="2" spans="1:8" s="200" customFormat="1" ht="18" customHeight="1">
      <c r="A2" s="201" t="s">
        <v>1462</v>
      </c>
      <c r="B2" s="3424" t="e">
        <f ca="1">ROUND(IF(D2="——",C52/10000,C52/10000-E2),4)</f>
        <v>#VALUE!</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t="e">
        <f ca="1">ROUND(B2*10000/(IF(B1="",'数据-汇总表'!E3,INDIRECT("'数据-取费表'!k"&amp;$G$1))),0)</f>
        <v>#VALUE!</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0</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0</v>
      </c>
      <c r="G7" s="219"/>
    </row>
    <row r="8" spans="1:8" s="223" customFormat="1">
      <c r="A8" s="778" t="s">
        <v>1476</v>
      </c>
      <c r="B8" s="215" t="s">
        <v>1477</v>
      </c>
      <c r="C8" s="220">
        <f ca="1">IF(G8="已包含在土地购买价格中",0,C9+C10)</f>
        <v>0</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1480</v>
      </c>
      <c r="C10" s="225">
        <f ca="1">ROUND(D10*E10,0)</f>
        <v>0</v>
      </c>
      <c r="D10" s="845">
        <f ca="1">IF(B1="",'数据-汇总表'!E6,IF(INDIRECT("'数据-取费表'!c"&amp;$G$1)="住宅",INDIRECT("'数据-取费表'!s"&amp;$G$1),INDIRECT("'数据-取费表'!k"&amp;$G$1)+INDIRECT("'数据-取费表'!s"&amp;$G$1)))</f>
        <v>0</v>
      </c>
      <c r="E10" s="225">
        <f>'数据-取费表'!B28</f>
        <v>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0</v>
      </c>
      <c r="D19" s="849">
        <f ca="1">D9+D10</f>
        <v>0</v>
      </c>
      <c r="E19" s="211">
        <f>'数据-取费表'!B31</f>
        <v>0</v>
      </c>
      <c r="F19" s="231"/>
      <c r="G19" s="1856"/>
    </row>
    <row r="20" spans="1:7" s="214" customFormat="1" ht="13.5" customHeight="1">
      <c r="A20" s="255" t="s">
        <v>1574</v>
      </c>
      <c r="B20" s="210" t="s">
        <v>1575</v>
      </c>
      <c r="C20" s="232">
        <f ca="1">ROUND((C5+C19)*F20,0)</f>
        <v>0</v>
      </c>
      <c r="D20" s="232"/>
      <c r="E20" s="232"/>
      <c r="F20" s="233">
        <f>'数据-取费表'!B37</f>
        <v>0</v>
      </c>
      <c r="G20" s="234" t="s">
        <v>1576</v>
      </c>
    </row>
    <row r="21" spans="1:7" s="214" customFormat="1" ht="13.5" customHeight="1">
      <c r="A21" s="255" t="s">
        <v>1577</v>
      </c>
      <c r="B21" s="210" t="s">
        <v>1578</v>
      </c>
      <c r="C21" s="235">
        <f>F21</f>
        <v>0</v>
      </c>
      <c r="D21" s="236" t="s">
        <v>1579</v>
      </c>
      <c r="E21" s="232"/>
      <c r="F21" s="233">
        <f>'数据-取费表'!B38</f>
        <v>0</v>
      </c>
      <c r="G21" s="234" t="s">
        <v>1580</v>
      </c>
    </row>
    <row r="22" spans="1:7" s="214" customFormat="1" ht="13.5" customHeight="1">
      <c r="A22" s="255" t="s">
        <v>1581</v>
      </c>
      <c r="B22" s="210" t="s">
        <v>1582</v>
      </c>
      <c r="C22" s="1127" t="e">
        <f ca="1">ROUND(SUM(C23:C25),0)</f>
        <v>#VALUE!</v>
      </c>
      <c r="D22" s="235" t="e">
        <f ca="1">C26</f>
        <v>#VALUE!</v>
      </c>
      <c r="E22" s="236" t="s">
        <v>1579</v>
      </c>
      <c r="F22" s="237" t="e">
        <f ca="1">'数据-取费表'!B40</f>
        <v>#VALUE!</v>
      </c>
      <c r="G22" s="234" t="str">
        <f>IF('数据-取费表'!B22&lt;=1,"单利计息","复利计息")</f>
        <v>单利计息</v>
      </c>
    </row>
    <row r="23" spans="1:7" s="214" customFormat="1" ht="13.5" customHeight="1">
      <c r="A23" s="780" t="s">
        <v>1472</v>
      </c>
      <c r="B23" s="215" t="s">
        <v>1583</v>
      </c>
      <c r="C23" s="1128" t="e">
        <f ca="1">ROUND(IF('数据-取费表'!B22&lt;=1,C5*F22*'数据-取费表'!B22,C5*(POWER((1+F22),'数据-取费表'!B22)-1)),0)</f>
        <v>#VALUE!</v>
      </c>
      <c r="D23" s="238"/>
      <c r="E23" s="238"/>
      <c r="F23" s="239"/>
      <c r="G23" s="240" t="s">
        <v>1584</v>
      </c>
    </row>
    <row r="24" spans="1:7" s="214" customFormat="1" ht="13.5" customHeight="1">
      <c r="A24" s="780" t="s">
        <v>1474</v>
      </c>
      <c r="B24" s="215" t="s">
        <v>1585</v>
      </c>
      <c r="C24" s="1128" t="e">
        <f ca="1">ROUND(IF('数据-取费表'!B22&lt;=1,C19*F22*('数据-取费表'!B19/2+'数据-取费表'!B20),C19*(POWER((1+F22),('数据-取费表'!B19/2+'数据-取费表'!B20))-1)),0)</f>
        <v>#VALUE!</v>
      </c>
      <c r="D24" s="238"/>
      <c r="E24" s="238"/>
      <c r="F24" s="239"/>
      <c r="G24" s="240" t="s">
        <v>1586</v>
      </c>
    </row>
    <row r="25" spans="1:7" s="214" customFormat="1" ht="24">
      <c r="A25" s="780" t="s">
        <v>1476</v>
      </c>
      <c r="B25" s="215" t="s">
        <v>1587</v>
      </c>
      <c r="C25" s="1128" t="e">
        <f ca="1">ROUND(IF('数据-取费表'!B22&lt;=1,C20*F22*'数据-取费表'!B22/2,C20*(POWER((1+F22),'数据-取费表'!B22/2)-1)),0)</f>
        <v>#VALUE!</v>
      </c>
      <c r="D25" s="238"/>
      <c r="E25" s="241"/>
      <c r="F25" s="239"/>
      <c r="G25" s="242" t="s">
        <v>1588</v>
      </c>
    </row>
    <row r="26" spans="1:7" s="214" customFormat="1">
      <c r="A26" s="780" t="s">
        <v>350</v>
      </c>
      <c r="B26" s="215" t="s">
        <v>1511</v>
      </c>
      <c r="C26" s="238" t="e">
        <f ca="1">ROUND(IF('数据-取费表'!B22&lt;=1,F21*F22*'数据-取费表'!B22/2,F21*(POWER((1+F22),'数据-取费表'!B22/2)-1)),4)</f>
        <v>#VALUE!</v>
      </c>
      <c r="D26" s="238"/>
      <c r="E26" s="241"/>
      <c r="F26" s="239"/>
      <c r="G26" s="243"/>
    </row>
    <row r="27" spans="1:7" s="214" customFormat="1" ht="24.75">
      <c r="A27" s="255" t="s">
        <v>1512</v>
      </c>
      <c r="B27" s="244" t="s">
        <v>1513</v>
      </c>
      <c r="C27" s="245" t="e">
        <f ca="1">C28</f>
        <v>#DIV/0!</v>
      </c>
      <c r="D27" s="235" t="e">
        <f ca="1">C29</f>
        <v>#DIV/0!</v>
      </c>
      <c r="E27" s="236" t="s">
        <v>1514</v>
      </c>
      <c r="F27" s="246" t="e">
        <f ca="1">IF(B1="",'数据-取费表'!Q16,INDIRECT("'数据-取费表'!q"&amp;$G$1))</f>
        <v>#DIV/0!</v>
      </c>
      <c r="G27" s="247" t="s">
        <v>1515</v>
      </c>
    </row>
    <row r="28" spans="1:7" s="214" customFormat="1" ht="13.5" customHeight="1">
      <c r="A28" s="780" t="s">
        <v>346</v>
      </c>
      <c r="B28" s="248" t="s">
        <v>1516</v>
      </c>
      <c r="C28" s="249" t="e">
        <f ca="1">ROUND((C5+C19+C20)*F27,0)</f>
        <v>#DIV/0!</v>
      </c>
      <c r="D28" s="235"/>
      <c r="E28" s="236"/>
      <c r="F28" s="246"/>
      <c r="G28" s="247"/>
    </row>
    <row r="29" spans="1:7" s="214" customFormat="1" ht="13.5" customHeight="1">
      <c r="A29" s="780" t="s">
        <v>347</v>
      </c>
      <c r="B29" s="248" t="s">
        <v>1517</v>
      </c>
      <c r="C29" s="238" t="e">
        <f ca="1">ROUND(C21*F27,4)</f>
        <v>#DIV/0!</v>
      </c>
      <c r="D29" s="235"/>
      <c r="E29" s="236"/>
      <c r="F29" s="246"/>
      <c r="G29" s="247"/>
    </row>
    <row r="30" spans="1:7" s="214" customFormat="1" ht="13.5" customHeight="1">
      <c r="A30" s="255" t="s">
        <v>1518</v>
      </c>
      <c r="B30" s="210" t="s">
        <v>1519</v>
      </c>
      <c r="C30" s="235">
        <f>ROUND(F30/(1+'数据-取费表'!C42),4)</f>
        <v>0</v>
      </c>
      <c r="D30" s="236" t="s">
        <v>1514</v>
      </c>
      <c r="E30" s="241"/>
      <c r="F30" s="237">
        <f>'数据-取费表'!B41</f>
        <v>0</v>
      </c>
      <c r="G30" s="234" t="s">
        <v>1520</v>
      </c>
    </row>
    <row r="31" spans="1:7" ht="16.5" customHeight="1">
      <c r="A31" s="209">
        <v>1</v>
      </c>
      <c r="B31" s="210" t="s">
        <v>1521</v>
      </c>
      <c r="C31" s="211" t="e">
        <f ca="1">ROUND((C5+C19+C20+C22+C27)/(1-C21-D22-D27-C30),0)</f>
        <v>#VALUE!</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0</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0</v>
      </c>
      <c r="D34" s="217"/>
      <c r="E34" s="220"/>
      <c r="F34" s="257"/>
      <c r="G34" s="219"/>
    </row>
    <row r="35" spans="1:7" ht="13.5" customHeight="1">
      <c r="A35" s="780" t="s">
        <v>351</v>
      </c>
      <c r="B35" s="215" t="s">
        <v>1527</v>
      </c>
      <c r="C35" s="220">
        <f ca="1">ROUND(C34*F35,0)</f>
        <v>0</v>
      </c>
      <c r="D35" s="220"/>
      <c r="E35" s="220"/>
      <c r="F35" s="259">
        <f>'数据-取费表'!B33</f>
        <v>0</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0</v>
      </c>
      <c r="D37" s="217">
        <f ca="1">D19</f>
        <v>0</v>
      </c>
      <c r="E37" s="249">
        <f>'数据-取费表'!B35</f>
        <v>0</v>
      </c>
      <c r="F37" s="259"/>
      <c r="G37" s="261"/>
    </row>
    <row r="38" spans="1:7" ht="13.5" customHeight="1">
      <c r="A38" s="780" t="s">
        <v>354</v>
      </c>
      <c r="B38" s="215" t="s">
        <v>1533</v>
      </c>
      <c r="C38" s="220">
        <f ca="1">ROUND(C34*F38,0)</f>
        <v>0</v>
      </c>
      <c r="D38" s="220"/>
      <c r="E38" s="220"/>
      <c r="F38" s="259">
        <f>'数据-取费表'!B36</f>
        <v>0</v>
      </c>
      <c r="G38" s="219" t="s">
        <v>1528</v>
      </c>
    </row>
    <row r="39" spans="1:7" s="214" customFormat="1" ht="13.5" customHeight="1">
      <c r="A39" s="255" t="s">
        <v>1534</v>
      </c>
      <c r="B39" s="210" t="s">
        <v>1535</v>
      </c>
      <c r="C39" s="232">
        <f ca="1">ROUND(C33*F20,0)</f>
        <v>0</v>
      </c>
      <c r="D39" s="232"/>
      <c r="E39" s="232"/>
      <c r="F39" s="233">
        <f>F20</f>
        <v>0</v>
      </c>
      <c r="G39" s="234" t="s">
        <v>1536</v>
      </c>
    </row>
    <row r="40" spans="1:7" s="214" customFormat="1" ht="13.5" customHeight="1">
      <c r="A40" s="255" t="s">
        <v>1537</v>
      </c>
      <c r="B40" s="210" t="s">
        <v>1538</v>
      </c>
      <c r="C40" s="1327">
        <f>F21</f>
        <v>0</v>
      </c>
      <c r="D40" s="236" t="s">
        <v>1539</v>
      </c>
      <c r="E40" s="232"/>
      <c r="F40" s="233">
        <f>F21</f>
        <v>0</v>
      </c>
      <c r="G40" s="234" t="s">
        <v>1540</v>
      </c>
    </row>
    <row r="41" spans="1:7" s="214" customFormat="1" ht="13.5" customHeight="1">
      <c r="A41" s="255" t="s">
        <v>1541</v>
      </c>
      <c r="B41" s="210" t="s">
        <v>1542</v>
      </c>
      <c r="C41" s="232" t="e">
        <f ca="1">ROUND(SUM(C42:C43),0)</f>
        <v>#VALUE!</v>
      </c>
      <c r="D41" s="235" t="e">
        <f ca="1">C44</f>
        <v>#VALUE!</v>
      </c>
      <c r="E41" s="236" t="s">
        <v>1539</v>
      </c>
      <c r="F41" s="237" t="e">
        <f ca="1">F22</f>
        <v>#VALUE!</v>
      </c>
      <c r="G41" s="234" t="str">
        <f>IF('数据-取费表'!B22&lt;=1,"单利计息","复利计息")</f>
        <v>单利计息</v>
      </c>
    </row>
    <row r="42" spans="1:7" ht="13.5" customHeight="1">
      <c r="A42" s="780" t="s">
        <v>346</v>
      </c>
      <c r="B42" s="215" t="s">
        <v>1543</v>
      </c>
      <c r="C42" s="238" t="e">
        <f ca="1">ROUND(IF('数据-取费表'!B22&lt;=1,C33*F22*'数据-取费表'!B20/2,C33*(POWER((1+F22),'数据-取费表'!B20/2)-1)),0)</f>
        <v>#VALUE!</v>
      </c>
      <c r="D42" s="238"/>
      <c r="E42" s="238"/>
      <c r="F42" s="239"/>
      <c r="G42" s="3661" t="s">
        <v>1591</v>
      </c>
    </row>
    <row r="43" spans="1:7" ht="13.5" customHeight="1">
      <c r="A43" s="780" t="s">
        <v>347</v>
      </c>
      <c r="B43" s="215" t="s">
        <v>1545</v>
      </c>
      <c r="C43" s="238" t="e">
        <f ca="1">ROUND(IF('数据-取费表'!B22&lt;=1,C39*F22*'数据-取费表'!B20/2,C39*(POWER((1+F22),'数据-取费表'!B20/2)-1)),0)</f>
        <v>#VALUE!</v>
      </c>
      <c r="D43" s="238"/>
      <c r="E43" s="238"/>
      <c r="F43" s="239"/>
      <c r="G43" s="3662"/>
    </row>
    <row r="44" spans="1:7" ht="13.5" customHeight="1">
      <c r="A44" s="780" t="s">
        <v>348</v>
      </c>
      <c r="B44" s="215" t="s">
        <v>1546</v>
      </c>
      <c r="C44" s="238" t="e">
        <f ca="1">ROUND(IF('数据-取费表'!B22&lt;=1,C40*F22*'数据-取费表'!B20/2,C40*(POWER((1+F22),'数据-取费表'!B20/2)-1)),4)</f>
        <v>#VALUE!</v>
      </c>
      <c r="D44" s="238"/>
      <c r="E44" s="238"/>
      <c r="F44" s="239"/>
      <c r="G44" s="3663"/>
    </row>
    <row r="45" spans="1:7" s="214" customFormat="1" ht="13.5" customHeight="1">
      <c r="A45" s="255" t="s">
        <v>1547</v>
      </c>
      <c r="B45" s="244" t="s">
        <v>1513</v>
      </c>
      <c r="C45" s="245" t="e">
        <f ca="1">C46</f>
        <v>#DIV/0!</v>
      </c>
      <c r="D45" s="235" t="e">
        <f ca="1">C47</f>
        <v>#DIV/0!</v>
      </c>
      <c r="E45" s="236" t="s">
        <v>1539</v>
      </c>
      <c r="F45" s="246" t="e">
        <f ca="1">F27</f>
        <v>#DIV/0!</v>
      </c>
      <c r="G45" s="247" t="s">
        <v>1548</v>
      </c>
    </row>
    <row r="46" spans="1:7" s="214" customFormat="1" ht="13.5" customHeight="1">
      <c r="A46" s="780" t="s">
        <v>346</v>
      </c>
      <c r="B46" s="248" t="s">
        <v>1549</v>
      </c>
      <c r="C46" s="249" t="e">
        <f ca="1">ROUND((C33+C39)*F27,0)</f>
        <v>#DIV/0!</v>
      </c>
      <c r="D46" s="263"/>
      <c r="E46" s="236"/>
      <c r="F46" s="246"/>
      <c r="G46" s="247"/>
    </row>
    <row r="47" spans="1:7" s="214" customFormat="1" ht="13.5" customHeight="1">
      <c r="A47" s="780" t="s">
        <v>347</v>
      </c>
      <c r="B47" s="248" t="s">
        <v>1550</v>
      </c>
      <c r="C47" s="238" t="e">
        <f ca="1">ROUND(C40*F27,4)</f>
        <v>#DIV/0!</v>
      </c>
      <c r="D47" s="263"/>
      <c r="E47" s="236"/>
      <c r="F47" s="246"/>
      <c r="G47" s="247"/>
    </row>
    <row r="48" spans="1:7" s="214" customFormat="1" ht="13.5" customHeight="1">
      <c r="A48" s="255" t="s">
        <v>1512</v>
      </c>
      <c r="B48" s="210" t="s">
        <v>1551</v>
      </c>
      <c r="C48" s="262">
        <f>ROUND(F30/(1+'数据-取费表'!C42),4)</f>
        <v>0</v>
      </c>
      <c r="D48" s="236" t="s">
        <v>1539</v>
      </c>
      <c r="E48" s="232"/>
      <c r="F48" s="237">
        <f>F30</f>
        <v>0</v>
      </c>
      <c r="G48" s="234" t="s">
        <v>1552</v>
      </c>
    </row>
    <row r="49" spans="1:7" ht="16.5" customHeight="1">
      <c r="A49" s="255" t="s">
        <v>1518</v>
      </c>
      <c r="B49" s="210" t="s">
        <v>1592</v>
      </c>
      <c r="C49" s="232" t="e">
        <f ca="1">ROUND((C33+C39+C41+C45)/(1-C40-D41-D45-C48),0)</f>
        <v>#VALUE!</v>
      </c>
      <c r="D49" s="232"/>
      <c r="E49" s="232"/>
      <c r="F49" s="264"/>
      <c r="G49" s="234" t="s">
        <v>1554</v>
      </c>
    </row>
    <row r="50" spans="1:7" s="258" customFormat="1">
      <c r="A50" s="255" t="s">
        <v>1555</v>
      </c>
      <c r="B50" s="210" t="s">
        <v>1556</v>
      </c>
      <c r="C50" s="232"/>
      <c r="D50" s="232"/>
      <c r="E50" s="232"/>
      <c r="F50" s="264" t="e">
        <f>IF('数据-取费表'!B24=0,'数据-取费表'!N16,1)</f>
        <v>#DIV/0!</v>
      </c>
      <c r="G50" s="247"/>
    </row>
    <row r="51" spans="1:7" ht="16.5" customHeight="1">
      <c r="A51" s="255" t="s">
        <v>1558</v>
      </c>
      <c r="B51" s="210" t="s">
        <v>1593</v>
      </c>
      <c r="C51" s="232" t="e">
        <f ca="1">ROUND(C49*F50,0)</f>
        <v>#VALUE!</v>
      </c>
      <c r="D51" s="232"/>
      <c r="E51" s="232"/>
      <c r="F51" s="264"/>
      <c r="G51" s="234" t="s">
        <v>1560</v>
      </c>
    </row>
    <row r="52" spans="1:7" s="208" customFormat="1" ht="16.5" thickBot="1">
      <c r="A52" s="265" t="s">
        <v>1561</v>
      </c>
      <c r="B52" s="266"/>
      <c r="C52" s="267" t="e">
        <f ca="1">C31+C51</f>
        <v>#VALUE!</v>
      </c>
      <c r="D52" s="266"/>
      <c r="E52" s="266"/>
      <c r="F52" s="266"/>
      <c r="G52" s="268"/>
    </row>
    <row r="55" spans="1:7" ht="15">
      <c r="B55" s="270" t="s">
        <v>1562</v>
      </c>
      <c r="C55" s="271"/>
    </row>
    <row r="56" spans="1:7">
      <c r="B56" s="273" t="s">
        <v>802</v>
      </c>
      <c r="C56" s="275" t="e">
        <f ca="1">1-C57</f>
        <v>#VALUE!</v>
      </c>
    </row>
    <row r="57" spans="1:7">
      <c r="B57" s="273" t="s">
        <v>803</v>
      </c>
      <c r="C57" s="274" t="e">
        <f ca="1">ROUND(C51/C52,3)</f>
        <v>#VALUE!</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I17" sqref="I17"/>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6</v>
      </c>
    </row>
    <row r="2" spans="1:33" ht="18" customHeight="1">
      <c r="A2" s="201" t="s">
        <v>1462</v>
      </c>
      <c r="B2" s="204" t="e">
        <f ca="1">C32</f>
        <v>#VALUE!</v>
      </c>
      <c r="C2" s="276" t="s">
        <v>1595</v>
      </c>
      <c r="D2" s="276"/>
      <c r="E2" s="2806"/>
      <c r="F2" s="2806"/>
      <c r="G2" s="2806"/>
      <c r="H2" s="2806"/>
      <c r="I2" s="2806"/>
      <c r="J2" s="2806"/>
      <c r="K2" s="2806"/>
    </row>
    <row r="3" spans="1:33" ht="18" customHeight="1" thickBot="1">
      <c r="A3" s="203" t="s">
        <v>1464</v>
      </c>
      <c r="B3" s="204" t="e">
        <f ca="1">ROUND(B2*10000/IF(C1="",'数据-汇总表'!E3,INDIRECT("'数据-取费表'!K"&amp;$K$1)),0)</f>
        <v>#VALUE!</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0</v>
      </c>
      <c r="E14" s="21">
        <f>'数据-取费表'!B35</f>
        <v>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0</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0</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1627</v>
      </c>
      <c r="C20" s="21">
        <f ca="1">ROUND(D20*E20/10000,0)</f>
        <v>0</v>
      </c>
      <c r="D20" s="846">
        <f ca="1">IF(C1="",'数据-汇总表'!E6,IF(INDIRECT("'数据-取费表'!c"&amp;$K$1)="住宅",INDIRECT("'数据-取费表'!s"&amp;$K$1),INDIRECT("'数据-取费表'!k"&amp;$K$1)+INDIRECT("'数据-取费表'!s"&amp;$K$1)))</f>
        <v>0</v>
      </c>
      <c r="E20" s="21">
        <f>'数据-取费表'!B28</f>
        <v>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v>
      </c>
      <c r="G23" s="5" t="s">
        <v>1633</v>
      </c>
      <c r="H23" s="797"/>
      <c r="I23" s="797"/>
      <c r="J23" s="797"/>
      <c r="K23" s="798"/>
    </row>
    <row r="24" spans="1:33" s="803" customFormat="1" ht="13.5" customHeight="1">
      <c r="A24" s="790" t="s">
        <v>1634</v>
      </c>
      <c r="B24" s="813" t="s">
        <v>1635</v>
      </c>
      <c r="C24" s="280">
        <f>ROUND(F24/(1+'数据-取费表'!C42),4)</f>
        <v>0</v>
      </c>
      <c r="D24" s="281" t="s">
        <v>12</v>
      </c>
      <c r="E24" s="281"/>
      <c r="F24" s="816">
        <f>IF(项目基本情况!B8="出让",0,'数据-取费表'!B48+'数据-取费表'!B49)</f>
        <v>0</v>
      </c>
      <c r="G24" s="5" t="s">
        <v>1636</v>
      </c>
      <c r="H24" s="818"/>
      <c r="I24" s="818"/>
      <c r="J24" s="818"/>
      <c r="K24" s="819"/>
    </row>
    <row r="25" spans="1:33" s="803" customFormat="1" ht="13.5" customHeight="1">
      <c r="A25" s="790" t="s">
        <v>1637</v>
      </c>
      <c r="B25" s="815" t="s">
        <v>1638</v>
      </c>
      <c r="C25" s="1106" t="e">
        <f ca="1">C27</f>
        <v>#VALUE!</v>
      </c>
      <c r="D25" s="280" t="e">
        <f ca="1">C26</f>
        <v>#VALUE!</v>
      </c>
      <c r="E25" s="282" t="s">
        <v>12</v>
      </c>
      <c r="F25" s="283" t="e">
        <f ca="1">'数据-取费表'!B40</f>
        <v>#VALUE!</v>
      </c>
      <c r="G25" s="131" t="str">
        <f>IF('数据-取费表'!B22&lt;=1,"单利计息。","复利计息。")&amp;"后续开发成本、管理费用及销售费用产生的利息。"</f>
        <v>单利计息。后续开发成本、管理费用及销售费用产生的利息。</v>
      </c>
      <c r="H25" s="818"/>
      <c r="I25" s="818"/>
      <c r="J25" s="818"/>
      <c r="K25" s="819"/>
    </row>
    <row r="26" spans="1:33" s="821" customFormat="1" ht="13.5" customHeight="1">
      <c r="A26" s="800" t="s">
        <v>358</v>
      </c>
      <c r="B26" s="820" t="s">
        <v>1639</v>
      </c>
      <c r="C26" s="1107" t="e">
        <f ca="1">ROUND(IF('数据-取费表'!B22&lt;=1,(1+C24)*F25*'数据-取费表'!B24,(1+C24)*(POWER((1+F25),'数据-取费表'!B24)-1)),4)</f>
        <v>#VALUE!</v>
      </c>
      <c r="D26" s="284"/>
      <c r="E26" s="285"/>
      <c r="F26" s="286"/>
      <c r="G26" s="1864" t="str">
        <f>IF('数据-取费表'!B22&lt;=1,"（(1)+取得税费率/(1+5%)）×年利率×建设期","（(1)+取得税费率）/(1+5%)×((1+年利率)^建设期-1)")</f>
        <v>（(1)+取得税费率/(1+5%)）×年利率×建设期</v>
      </c>
      <c r="H26" s="807"/>
      <c r="I26" s="807"/>
      <c r="J26" s="807"/>
      <c r="K26" s="808"/>
    </row>
    <row r="27" spans="1:33" s="821" customFormat="1" ht="13.5" customHeight="1">
      <c r="A27" s="800" t="s">
        <v>359</v>
      </c>
      <c r="B27" s="820" t="s">
        <v>1640</v>
      </c>
      <c r="C27" s="1108" t="e">
        <f ca="1">ROUND(IF('数据-取费表'!B22&lt;=1,(C21+C22+C23)*F25*'数据-取费表'!B24/2,(C21+C22+C23)*(POWER((1+F25),'数据-取费表'!B24/2)-1)),0)</f>
        <v>#VALUE!</v>
      </c>
      <c r="D27" s="284"/>
      <c r="E27" s="285"/>
      <c r="F27" s="286"/>
      <c r="G27" s="1864" t="str">
        <f>IF('数据-取费表'!B22&lt;=1,"（1）-（3）项×年利率×建设期÷2","（1）-（3）项×((1+年利率)^(建设期÷2)-1)")</f>
        <v>（1）-（3）项×年利率×建设期÷2</v>
      </c>
      <c r="H27" s="807"/>
      <c r="I27" s="807"/>
      <c r="J27" s="807"/>
      <c r="K27" s="808"/>
    </row>
    <row r="28" spans="1:33" s="289" customFormat="1" ht="13.5" customHeight="1">
      <c r="A28" s="790" t="s">
        <v>1641</v>
      </c>
      <c r="B28" s="1865" t="s">
        <v>1642</v>
      </c>
      <c r="C28" s="287" t="e">
        <f ca="1">C30</f>
        <v>#DIV/0!</v>
      </c>
      <c r="D28" s="280" t="e">
        <f ca="1">C29</f>
        <v>#DIV/0!</v>
      </c>
      <c r="E28" s="282" t="s">
        <v>12</v>
      </c>
      <c r="F28" s="288" t="e">
        <f ca="1">IF(C1="",'数据-取费表'!Q16,INDIRECT("'数据-取费表'!q"&amp;$K$1))</f>
        <v>#DIV/0!</v>
      </c>
      <c r="G28" s="817"/>
      <c r="H28" s="818"/>
      <c r="I28" s="818"/>
      <c r="J28" s="818"/>
      <c r="K28" s="819"/>
    </row>
    <row r="29" spans="1:33" s="291" customFormat="1" ht="13.5" customHeight="1">
      <c r="A29" s="800" t="s">
        <v>358</v>
      </c>
      <c r="B29" s="822" t="s">
        <v>1643</v>
      </c>
      <c r="C29" s="284" t="e">
        <f ca="1">ROUND((1+C24)*F28*'数据-取费表'!B24/'数据-取费表'!B20,4)</f>
        <v>#DIV/0!</v>
      </c>
      <c r="D29" s="284"/>
      <c r="E29" s="285"/>
      <c r="F29" s="290"/>
      <c r="G29" s="131" t="s">
        <v>1644</v>
      </c>
      <c r="H29" s="807"/>
      <c r="I29" s="807"/>
      <c r="J29" s="807"/>
      <c r="K29" s="808"/>
    </row>
    <row r="30" spans="1:33" s="291" customFormat="1" ht="13.5" customHeight="1">
      <c r="A30" s="800" t="s">
        <v>359</v>
      </c>
      <c r="B30" s="822" t="s">
        <v>1645</v>
      </c>
      <c r="C30" s="292" t="e">
        <f ca="1">ROUND((C21+C22+C23)*F28,0)</f>
        <v>#DIV/0!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0</v>
      </c>
      <c r="G31" s="838" t="s">
        <v>1648</v>
      </c>
      <c r="H31" s="839"/>
      <c r="I31" s="839"/>
      <c r="J31" s="839"/>
      <c r="K31" s="840"/>
    </row>
    <row r="32" spans="1:33" s="799" customFormat="1" ht="13.5" customHeight="1" thickBot="1">
      <c r="A32" s="828" t="s">
        <v>1649</v>
      </c>
      <c r="B32" s="829"/>
      <c r="C32" s="830" t="e">
        <f ca="1">ROUND((C4-C21-C22-C23-C25-C28-C31)/(1+C24+D25+D28),0)</f>
        <v>#VALUE!</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I17" sqref="I17"/>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#VALUE!</v>
      </c>
      <c r="C2" s="1387" t="s">
        <v>805</v>
      </c>
      <c r="D2" s="1387"/>
      <c r="E2" s="1388"/>
      <c r="F2" s="1389"/>
      <c r="G2" s="2706"/>
      <c r="H2" s="2695"/>
      <c r="I2" s="2695"/>
      <c r="J2" s="2695"/>
      <c r="K2" s="2696"/>
      <c r="L2" s="2695"/>
      <c r="M2" s="2695"/>
    </row>
    <row r="3" spans="1:37" ht="18" customHeight="1" thickBot="1">
      <c r="A3" s="1390" t="s">
        <v>806</v>
      </c>
      <c r="B3" s="1391">
        <f ca="1">IF(ISERROR(B2*10000/F43),0,ROUND(B2*10000/F43,0))</f>
        <v>0</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666" t="s">
        <v>694</v>
      </c>
      <c r="C6" s="1074">
        <f ca="1">ROUND(F6*F8*F7*(1-F9)/10000,0)</f>
        <v>0</v>
      </c>
      <c r="D6" s="155" t="s">
        <v>2109</v>
      </c>
      <c r="E6" s="302" t="s">
        <v>696</v>
      </c>
      <c r="F6" s="303">
        <f ca="1">INDIRECT("'数据-取费表'!u"&amp;$G$1)</f>
        <v>0</v>
      </c>
      <c r="G6" s="1384"/>
      <c r="H6" s="1069" t="s">
        <v>398</v>
      </c>
      <c r="I6" s="3666" t="s">
        <v>694</v>
      </c>
      <c r="J6" s="301">
        <f ca="1">ROUND(M6*M8*M7*(1-M9)/10000,0)</f>
        <v>0</v>
      </c>
      <c r="K6" s="155" t="s">
        <v>2108</v>
      </c>
      <c r="L6" s="302" t="s">
        <v>696</v>
      </c>
      <c r="M6" s="303">
        <f ca="1">INDIRECT("'数据-取费表'!z"&amp;$G$1)</f>
        <v>0</v>
      </c>
    </row>
    <row r="7" spans="1:37" ht="18" customHeight="1">
      <c r="A7" s="1073"/>
      <c r="B7" s="3667"/>
      <c r="C7" s="1075"/>
      <c r="D7" s="307"/>
      <c r="E7" s="1076" t="s">
        <v>697</v>
      </c>
      <c r="F7" s="303">
        <f ca="1">IF(INDIRECT("'数据-取费表'!ah"&amp;$G$1)="",INDIRECT("'数据-取费表'!k"&amp;$G$1),INDIRECT("'数据-取费表'!ah"&amp;$G$1))</f>
        <v>0</v>
      </c>
      <c r="G7" s="1384"/>
      <c r="H7" s="304"/>
      <c r="I7" s="3667"/>
      <c r="J7" s="306"/>
      <c r="K7" s="307"/>
      <c r="L7" s="302" t="s">
        <v>697</v>
      </c>
      <c r="M7" s="303">
        <f ca="1">F7</f>
        <v>0</v>
      </c>
    </row>
    <row r="8" spans="1:37" ht="18" customHeight="1">
      <c r="A8" s="304"/>
      <c r="B8" s="3667"/>
      <c r="C8" s="306"/>
      <c r="D8" s="307"/>
      <c r="E8" s="302" t="s">
        <v>698</v>
      </c>
      <c r="F8" s="303">
        <f ca="1">INDIRECT("'数据-取费表'!ai"&amp;$G$1)</f>
        <v>0</v>
      </c>
      <c r="G8" s="1384"/>
      <c r="H8" s="304"/>
      <c r="I8" s="3667"/>
      <c r="J8" s="306"/>
      <c r="K8" s="307"/>
      <c r="L8" s="302" t="s">
        <v>698</v>
      </c>
      <c r="M8" s="303">
        <f ca="1">INDIRECT("'数据-取费表'!ai"&amp;$G$1)</f>
        <v>0</v>
      </c>
    </row>
    <row r="9" spans="1:37" ht="18" customHeight="1">
      <c r="A9" s="304"/>
      <c r="B9" s="3668"/>
      <c r="C9" s="306"/>
      <c r="D9" s="307"/>
      <c r="E9" s="302" t="s">
        <v>699</v>
      </c>
      <c r="F9" s="312">
        <f ca="1">INDIRECT("'数据-取费表'!w"&amp;$G$1)</f>
        <v>0</v>
      </c>
      <c r="G9" s="1384"/>
      <c r="H9" s="304"/>
      <c r="I9" s="3668"/>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t="e">
        <f ca="1">ROUND(C29*F13,0)</f>
        <v>#VALUE!</v>
      </c>
      <c r="D13" s="1081" t="s">
        <v>705</v>
      </c>
      <c r="E13" s="1081" t="s">
        <v>706</v>
      </c>
      <c r="F13" s="1082">
        <f ca="1">INDIRECT("'数据-取费表'!y"&amp;$G$1)</f>
        <v>0</v>
      </c>
      <c r="G13" s="1384"/>
      <c r="H13" s="1079">
        <v>2</v>
      </c>
      <c r="I13" s="1080" t="s">
        <v>704</v>
      </c>
      <c r="J13" s="1068" t="e">
        <f ca="1">ROUND(J14*J15,0)</f>
        <v>#VALUE!</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t="e">
        <f ca="1">C29</f>
        <v>#VALUE!</v>
      </c>
      <c r="K14" s="12"/>
      <c r="L14" s="807"/>
      <c r="M14" s="808"/>
    </row>
    <row r="15" spans="1:37" s="1397" customFormat="1" ht="18" customHeight="1" thickBot="1">
      <c r="A15" s="982" t="s">
        <v>399</v>
      </c>
      <c r="B15" s="302" t="s">
        <v>710</v>
      </c>
      <c r="C15" s="21">
        <f ca="1">ROUND(C14*F15,0)</f>
        <v>0</v>
      </c>
      <c r="D15" s="320" t="s">
        <v>711</v>
      </c>
      <c r="E15" s="320" t="s">
        <v>712</v>
      </c>
      <c r="F15" s="321">
        <f>'数据-取费表'!B33</f>
        <v>0</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t="e">
        <f ca="1">ROUND(J17+J22+J23+J24,0)</f>
        <v>#VALUE!</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0</v>
      </c>
      <c r="G17" s="1396"/>
      <c r="H17" s="982" t="s">
        <v>398</v>
      </c>
      <c r="I17" s="302" t="s">
        <v>719</v>
      </c>
      <c r="J17" s="2316">
        <f ca="1">ROUND(IF(AND(项目基本情况!B11="自然人",项目基本情况!B10="北京市"),J6*M17/(1+'数据-取费表'!C42),J18+J19+J20),2)</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v>
      </c>
      <c r="G18" s="1396"/>
      <c r="H18" s="982" t="s">
        <v>397</v>
      </c>
      <c r="I18" s="302" t="s">
        <v>723</v>
      </c>
      <c r="J18" s="21">
        <f ca="1">ROUND(J6*M18/(1+'数据-取费表'!C42),2)</f>
        <v>0</v>
      </c>
      <c r="K18" s="1344" t="s">
        <v>724</v>
      </c>
      <c r="L18" s="302" t="s">
        <v>712</v>
      </c>
      <c r="M18" s="322">
        <f>'数据-取费表'!B41</f>
        <v>0</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3336</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v>
      </c>
      <c r="G20" s="1396"/>
      <c r="H20" s="982" t="s">
        <v>680</v>
      </c>
      <c r="I20" s="155" t="s">
        <v>730</v>
      </c>
      <c r="J20" s="22">
        <f ca="1">ROUND(M20*M21/10000,2)</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t="e">
        <f ca="1">ROUND(J14*M22,2)</f>
        <v>#VALUE!</v>
      </c>
      <c r="K22" s="1344" t="s">
        <v>739</v>
      </c>
      <c r="L22" s="302" t="s">
        <v>712</v>
      </c>
      <c r="M22" s="328">
        <f ca="1">INDIRECT("'数据-取费表'!Ak"&amp;$G$1)</f>
        <v>0</v>
      </c>
    </row>
    <row r="23" spans="1:37" s="1397" customFormat="1" ht="18" customHeight="1">
      <c r="A23" s="982" t="s">
        <v>397</v>
      </c>
      <c r="B23" s="302" t="s">
        <v>740</v>
      </c>
      <c r="C23" s="21" t="e">
        <f ca="1">IF('数据-取费表'!B22&lt;=1,ROUND(C19*F24*F23/2,0)+ROUND(C20*F24*F23/2,0),ROUND(C19*(POWER((1+F24),F23/2)-1),0)+ROUND(C20*(POWER((1+F24),F23/2)-1),0))</f>
        <v>#VALUE!</v>
      </c>
      <c r="D23" s="329" t="str">
        <f>IF(F23&lt;=1,"(建造成本+管理费用)×利率×(建设周期÷2)","(建造成本+管理费用)×((1+利率)^(建设周期÷2)-1)")</f>
        <v>(建造成本+管理费用)×利率×(建设周期÷2)</v>
      </c>
      <c r="E23" s="302" t="s">
        <v>741</v>
      </c>
      <c r="F23" s="325">
        <f>'数据-取费表'!B20</f>
        <v>0</v>
      </c>
      <c r="G23" s="1396"/>
      <c r="H23" s="982" t="s">
        <v>437</v>
      </c>
      <c r="I23" s="302" t="s">
        <v>742</v>
      </c>
      <c r="J23" s="21" t="e">
        <f ca="1">ROUND(J13*M23,2)</f>
        <v>#VALUE!</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t="e">
        <f ca="1">ROUND(IF('数据-取费表'!B22&lt;=1,F21*F24*F23/2,F21*(POWER((1+F24),F23/2)-1)),4)</f>
        <v>#VALUE!</v>
      </c>
      <c r="D24" s="329" t="str">
        <f>IF(F23&lt;=1,"销售费用×利率×(建设周期÷2)","销售费用×((1+利率)^(建设周期÷2)-1)")</f>
        <v>销售费用×利率×(建设周期÷2)</v>
      </c>
      <c r="E24" s="302" t="s">
        <v>747</v>
      </c>
      <c r="F24" s="331" t="e">
        <f ca="1">'数据-取费表'!B40</f>
        <v>#VALUE!</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t="e">
        <f ca="1">J5-J16</f>
        <v>#VALUE!</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0</v>
      </c>
      <c r="D28" s="323" t="s">
        <v>765</v>
      </c>
      <c r="E28" s="302" t="s">
        <v>712</v>
      </c>
      <c r="F28" s="322">
        <f>'数据-取费表'!B41</f>
        <v>0</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t="e">
        <f ca="1">ROUND((C19+C20+C23+C26)/(1-F21-C24-C27-C28),0)</f>
        <v>#VALUE!</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t="e">
        <f ca="1">ROUND(C31+C36+C37+C38,0)</f>
        <v>#VALUE!</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0</v>
      </c>
      <c r="D31" s="1345" t="s">
        <v>720</v>
      </c>
      <c r="E31" s="1344" t="s">
        <v>770</v>
      </c>
      <c r="F31" s="2315">
        <f ca="1">IF(项目基本情况!B11="企业","——",IF(M47="住宅",IF(F6*F7*F8/12/(1+'数据-取费表'!F30)&gt;100000,4%,2.5%),IF(F6*F7*F8/12/(1+'数据-取费表'!F30)&gt;100000,12%,7%)))</f>
        <v>7.0000000000000007E-2</v>
      </c>
      <c r="G31" s="1384"/>
      <c r="H31" s="2808" t="s">
        <v>2306</v>
      </c>
      <c r="I31" s="1398"/>
      <c r="J31" s="1399"/>
      <c r="K31" s="2475"/>
      <c r="L31" s="2698"/>
      <c r="M31" s="2699"/>
    </row>
    <row r="32" spans="1:37" ht="18" customHeight="1">
      <c r="A32" s="982" t="s">
        <v>397</v>
      </c>
      <c r="B32" s="302" t="s">
        <v>723</v>
      </c>
      <c r="C32" s="21">
        <f ca="1">IF(项目基本情况!B11="自然人","——",ROUND(C6*F32/(1+'数据-取费表'!C42),2))</f>
        <v>0</v>
      </c>
      <c r="D32" s="1344" t="s">
        <v>724</v>
      </c>
      <c r="E32" s="302" t="s">
        <v>712</v>
      </c>
      <c r="F32" s="331">
        <f>'数据-取费表'!B41</f>
        <v>0</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0</v>
      </c>
      <c r="D33" s="1370" t="s">
        <v>3336</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0</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t="e">
        <f ca="1">ROUND(C29*F36,2)</f>
        <v>#VALUE!</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t="e">
        <f ca="1">ROUND(C13*F37,2)</f>
        <v>#VALUE!</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ROUND(C5*F38,2)</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t="e">
        <f ca="1">C5-C30</f>
        <v>#VALUE!</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#VALUE!</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ROUND(C40*10000/F43,0)</f>
        <v>#VALUE!</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t="e">
        <f ca="1">C68-C40</f>
        <v>#VALUE!</v>
      </c>
      <c r="D46" s="1406" t="str">
        <f>C2</f>
        <v>万元</v>
      </c>
      <c r="E46" s="1400"/>
      <c r="F46" s="1400"/>
      <c r="I46" s="1407" t="s">
        <v>810</v>
      </c>
      <c r="J46" s="1408"/>
      <c r="K46" s="1409"/>
      <c r="L46" s="1410" t="e">
        <f ca="1">IF(M47="住宅",0,IF(L48&gt;J51,L60,J60))</f>
        <v>#VALUE!</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#VALUE!</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#VALUE!</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c r="K49" s="1423" t="s">
        <v>824</v>
      </c>
      <c r="L49" s="1427"/>
      <c r="O49" s="1428" t="s">
        <v>405</v>
      </c>
      <c r="P49" s="1419" t="s">
        <v>825</v>
      </c>
      <c r="Q49" s="1420" t="e">
        <f ca="1">C29</f>
        <v>#VALUE!</v>
      </c>
      <c r="R49" s="1420" t="s">
        <v>818</v>
      </c>
    </row>
    <row r="50" spans="1:18" s="1384" customFormat="1" ht="13.5"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t="e">
        <f ca="1">ROUND(-PV(INDIRECT("'数据-取费表'!h"&amp;$G$1),J51,(C39-C13*C76),0),0)</f>
        <v>#VALUE!</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0</v>
      </c>
      <c r="K53" s="3664" t="s">
        <v>837</v>
      </c>
      <c r="L53" s="3665"/>
      <c r="O53" s="1418" t="s">
        <v>409</v>
      </c>
      <c r="P53" s="1419" t="s">
        <v>838</v>
      </c>
      <c r="Q53" s="1420" t="e">
        <f ca="1">Q47+Q48</f>
        <v>#VALUE!</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25.5" thickTop="1" thickBot="1">
      <c r="A56" s="957">
        <v>2</v>
      </c>
      <c r="B56" s="958" t="s">
        <v>704</v>
      </c>
      <c r="C56" s="232" t="e">
        <f ca="1">C13</f>
        <v>#VALUE!</v>
      </c>
      <c r="D56" s="1447"/>
      <c r="E56" s="1448"/>
      <c r="F56" s="1440"/>
      <c r="I56" s="1449" t="s">
        <v>842</v>
      </c>
      <c r="J56" s="1450"/>
      <c r="K56" s="1421" t="s">
        <v>843</v>
      </c>
      <c r="L56" s="1424">
        <f ca="1">IF(L48&lt;J51,"——",L48-J53)</f>
        <v>0</v>
      </c>
      <c r="O56" s="1418" t="s">
        <v>403</v>
      </c>
      <c r="P56" s="1419" t="s">
        <v>817</v>
      </c>
      <c r="Q56" s="1420" t="e">
        <f ca="1">C40+J29</f>
        <v>#VALUE!</v>
      </c>
      <c r="R56" s="1420" t="s">
        <v>818</v>
      </c>
    </row>
    <row r="57" spans="1:18" s="1384" customFormat="1" ht="24.75" thickBot="1">
      <c r="A57" s="1451"/>
      <c r="B57" s="950" t="s">
        <v>767</v>
      </c>
      <c r="C57" s="238" t="e">
        <f ca="1">C29</f>
        <v>#VALUE!</v>
      </c>
      <c r="D57" s="1452"/>
      <c r="E57" s="1453"/>
      <c r="F57" s="1454"/>
      <c r="I57" s="1455" t="s">
        <v>844</v>
      </c>
      <c r="J57" s="1456">
        <f ca="1">IF(OR(M47="住宅",J51&lt;L48,J56="是"),"——",J51-L48)</f>
        <v>0</v>
      </c>
      <c r="K57" s="1421" t="s">
        <v>845</v>
      </c>
      <c r="L57" s="1424" t="e">
        <f ca="1">IF(L48&lt;J51,"——",IF(L55="比较法",L49,IF(L55="基准地价",L50,L51)))</f>
        <v>#VALUE!</v>
      </c>
      <c r="O57" s="1418" t="s">
        <v>404</v>
      </c>
      <c r="P57" s="1419" t="s">
        <v>846</v>
      </c>
      <c r="Q57" s="1420" t="e">
        <f ca="1">L60</f>
        <v>#VALUE!</v>
      </c>
      <c r="R57" s="1420" t="s">
        <v>847</v>
      </c>
    </row>
    <row r="58" spans="1:18" s="1384" customFormat="1" ht="24.75" thickBot="1">
      <c r="A58" s="315" t="s">
        <v>393</v>
      </c>
      <c r="B58" s="958" t="s">
        <v>714</v>
      </c>
      <c r="C58" s="316" t="e">
        <f ca="1">ROUND(C59+C64+C65+C66,0)</f>
        <v>#VALUE!</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#VALUE!</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0</v>
      </c>
      <c r="I60" s="1458" t="s">
        <v>853</v>
      </c>
      <c r="J60" s="1459" t="e">
        <f ca="1">IF(OR(M47="住宅",J51&lt;L48,J56="是"),"0",ROUND(J59/(1+J52)^J53,0))</f>
        <v>#VALUE!</v>
      </c>
      <c r="K60" s="1460" t="s">
        <v>854</v>
      </c>
      <c r="L60" s="1459" t="e">
        <f ca="1">IF(OR(M47="住宅",L48&lt;J51),0,ROUND(L57*(L58/L59-1),0))</f>
        <v>#VALUE!</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3336</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#VALUE!</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t="e">
        <f ca="1">ROUND(C57*F64,2)</f>
        <v>#VALUE!</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t="e">
        <f ca="1">ROUND(C56*F65,2)</f>
        <v>#VALUE!</v>
      </c>
      <c r="D65" s="964" t="s">
        <v>743</v>
      </c>
      <c r="E65" s="950" t="s">
        <v>744</v>
      </c>
      <c r="F65" s="330">
        <f t="shared" ca="1" si="0"/>
        <v>0</v>
      </c>
      <c r="I65" s="1462" t="s">
        <v>867</v>
      </c>
      <c r="J65" s="1463">
        <v>40</v>
      </c>
      <c r="K65" s="1463">
        <v>30</v>
      </c>
      <c r="L65" s="1463">
        <v>50</v>
      </c>
      <c r="M65" s="1465">
        <v>0.02</v>
      </c>
      <c r="O65" s="1418" t="s">
        <v>403</v>
      </c>
      <c r="P65" s="1419" t="s">
        <v>868</v>
      </c>
      <c r="Q65" s="1420" t="e">
        <f ca="1">C40+J29</f>
        <v>#VALUE!</v>
      </c>
      <c r="R65" s="1420" t="s">
        <v>818</v>
      </c>
    </row>
    <row r="66" spans="1:18" s="1384" customFormat="1" ht="16.5" thickBot="1">
      <c r="A66" s="982" t="s">
        <v>793</v>
      </c>
      <c r="B66" s="950" t="s">
        <v>728</v>
      </c>
      <c r="C66" s="21">
        <f ca="1">ROUND(C48*F66,2)</f>
        <v>0</v>
      </c>
      <c r="D66" s="964" t="s">
        <v>794</v>
      </c>
      <c r="E66" s="950" t="s">
        <v>712</v>
      </c>
      <c r="F66" s="312">
        <f t="shared" ca="1" si="0"/>
        <v>0</v>
      </c>
      <c r="O66" s="1418" t="s">
        <v>404</v>
      </c>
      <c r="P66" s="1419" t="s">
        <v>846</v>
      </c>
      <c r="Q66" s="1420" t="e">
        <f ca="1">L60</f>
        <v>#VALUE!</v>
      </c>
      <c r="R66" s="1420" t="s">
        <v>869</v>
      </c>
    </row>
    <row r="67" spans="1:18" s="1384" customFormat="1" ht="16.5" thickBot="1">
      <c r="A67" s="957" t="s">
        <v>394</v>
      </c>
      <c r="B67" s="967" t="s">
        <v>752</v>
      </c>
      <c r="C67" s="316" t="e">
        <f ca="1">C48-C58</f>
        <v>#VALUE!</v>
      </c>
      <c r="D67" s="963" t="s">
        <v>753</v>
      </c>
      <c r="E67" s="968"/>
      <c r="F67" s="969"/>
      <c r="O67" s="1428" t="s">
        <v>405</v>
      </c>
      <c r="P67" s="1419" t="s">
        <v>850</v>
      </c>
      <c r="Q67" s="1466" t="e">
        <f ca="1">L51</f>
        <v>#VALUE!</v>
      </c>
      <c r="R67" s="1420" t="s">
        <v>870</v>
      </c>
    </row>
    <row r="68" spans="1:18" s="1384" customFormat="1" ht="16.5" thickBot="1">
      <c r="A68" s="947" t="s">
        <v>395</v>
      </c>
      <c r="B68" s="948" t="s">
        <v>774</v>
      </c>
      <c r="C68" s="301" t="e">
        <f ca="1">ROUND(C67*(1-((1+F70)/(1+F68))^F69)/(F68-F70),0)</f>
        <v>#VALUE!</v>
      </c>
      <c r="D68" s="965" t="s">
        <v>758</v>
      </c>
      <c r="E68" s="950" t="s">
        <v>759</v>
      </c>
      <c r="F68" s="312">
        <f ca="1">F40</f>
        <v>0</v>
      </c>
      <c r="O68" s="1428" t="s">
        <v>406</v>
      </c>
      <c r="P68" s="1467" t="s">
        <v>871</v>
      </c>
      <c r="Q68" s="1420" t="e">
        <f ca="1">ROUND(Q69-Q70*Q71,0)</f>
        <v>#VALUE!</v>
      </c>
      <c r="R68" s="1420" t="s">
        <v>414</v>
      </c>
    </row>
    <row r="69" spans="1:18" s="1384" customFormat="1" ht="13.5" thickBot="1">
      <c r="A69" s="951"/>
      <c r="B69" s="952"/>
      <c r="C69" s="306"/>
      <c r="D69" s="970" t="s">
        <v>762</v>
      </c>
      <c r="E69" s="950" t="s">
        <v>763</v>
      </c>
      <c r="F69" s="333">
        <f ca="1">F41</f>
        <v>0</v>
      </c>
      <c r="O69" s="1428" t="s">
        <v>411</v>
      </c>
      <c r="P69" s="1467" t="s">
        <v>872</v>
      </c>
      <c r="Q69" s="1420" t="e">
        <f ca="1">C39</f>
        <v>#VALUE!</v>
      </c>
      <c r="R69" s="1420" t="s">
        <v>818</v>
      </c>
    </row>
    <row r="70" spans="1:18" s="1384" customFormat="1" ht="13.5" thickBot="1">
      <c r="A70" s="954"/>
      <c r="B70" s="955"/>
      <c r="C70" s="310"/>
      <c r="D70" s="966"/>
      <c r="E70" s="950" t="s">
        <v>766</v>
      </c>
      <c r="F70" s="1054"/>
      <c r="O70" s="1428" t="s">
        <v>412</v>
      </c>
      <c r="P70" s="1467" t="s">
        <v>873</v>
      </c>
      <c r="Q70" s="1420" t="e">
        <f ca="1">C13</f>
        <v>#VALUE!</v>
      </c>
      <c r="R70" s="1420" t="s">
        <v>818</v>
      </c>
    </row>
    <row r="71" spans="1:18" s="1384" customFormat="1" ht="13.5" thickBot="1">
      <c r="A71" s="971" t="s">
        <v>396</v>
      </c>
      <c r="B71" s="972" t="s">
        <v>776</v>
      </c>
      <c r="C71" s="336" t="e">
        <f ca="1">ROUND(C68*10000/F71,0)</f>
        <v>#VALUE!</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t="e">
        <f ca="1">ROUND(C13*C76,0)</f>
        <v>#VALUE!</v>
      </c>
      <c r="D75" s="1384"/>
      <c r="E75" s="1384"/>
      <c r="F75" s="1384"/>
      <c r="K75" s="1402"/>
      <c r="L75" s="1384"/>
      <c r="O75" s="1418" t="s">
        <v>409</v>
      </c>
      <c r="P75" s="1419" t="s">
        <v>838</v>
      </c>
      <c r="Q75" s="1420" t="e">
        <f ca="1">Q65+Q66</f>
        <v>#VALUE!</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#VALUE!</v>
      </c>
    </row>
    <row r="80" spans="1:18">
      <c r="B80" s="340" t="s">
        <v>800</v>
      </c>
      <c r="C80" s="274" t="e">
        <f ca="1">ROUND(C75/C39,3)</f>
        <v>#VALUE!</v>
      </c>
    </row>
    <row r="81" spans="2:3">
      <c r="B81" s="270" t="s">
        <v>801</v>
      </c>
      <c r="C81" s="238"/>
    </row>
    <row r="82" spans="2:3">
      <c r="B82" s="273" t="s">
        <v>802</v>
      </c>
      <c r="C82" s="275" t="e">
        <f ca="1">1-C83</f>
        <v>#VALUE!</v>
      </c>
    </row>
    <row r="83" spans="2:3">
      <c r="B83" s="273" t="s">
        <v>803</v>
      </c>
      <c r="C83" s="274" t="e">
        <f ca="1">ROUND(C13/C40,3)</f>
        <v>#VALUE!</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I17" sqref="I17"/>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t="e">
        <f ca="1">ROUND(D2/10000,4)</f>
        <v>#VALUE!</v>
      </c>
      <c r="C2" s="1387" t="s">
        <v>879</v>
      </c>
      <c r="D2" s="1471" t="e">
        <f ca="1">C40+J29+L46</f>
        <v>#VALUE!</v>
      </c>
      <c r="E2" s="1388" t="s">
        <v>880</v>
      </c>
      <c r="F2" s="1389"/>
      <c r="G2" s="2706"/>
      <c r="H2" s="2695"/>
      <c r="I2" s="2695"/>
      <c r="J2" s="2695"/>
      <c r="K2" s="2696"/>
      <c r="L2" s="2695"/>
      <c r="M2" s="2695"/>
    </row>
    <row r="3" spans="1:37" ht="18" customHeight="1" thickBot="1">
      <c r="A3" s="1390" t="s">
        <v>881</v>
      </c>
      <c r="B3" s="1391">
        <f ca="1">IF(ISERROR(D2/F43),0,ROUND(D2/F43,0))</f>
        <v>0</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666" t="s">
        <v>694</v>
      </c>
      <c r="C6" s="1074">
        <f ca="1">ROUND(F6*F8*F7*(1-F9),0)</f>
        <v>0</v>
      </c>
      <c r="D6" s="155" t="s">
        <v>2106</v>
      </c>
      <c r="E6" s="302" t="s">
        <v>696</v>
      </c>
      <c r="F6" s="303">
        <f ca="1">INDIRECT("'数据-取费表'!u"&amp;$G$1)</f>
        <v>0</v>
      </c>
      <c r="G6" s="1384"/>
      <c r="H6" s="1069" t="s">
        <v>398</v>
      </c>
      <c r="I6" s="3666" t="s">
        <v>694</v>
      </c>
      <c r="J6" s="301">
        <f ca="1">ROUND(M6*M8*M7*(1-M9),0)</f>
        <v>0</v>
      </c>
      <c r="K6" s="1376" t="s">
        <v>2107</v>
      </c>
      <c r="L6" s="302" t="s">
        <v>696</v>
      </c>
      <c r="M6" s="303">
        <f ca="1">INDIRECT("'数据-取费表'!z"&amp;$G$1)</f>
        <v>0</v>
      </c>
    </row>
    <row r="7" spans="1:37" ht="18" customHeight="1">
      <c r="A7" s="1073"/>
      <c r="B7" s="3667"/>
      <c r="C7" s="1075"/>
      <c r="D7" s="307"/>
      <c r="E7" s="1076" t="s">
        <v>697</v>
      </c>
      <c r="F7" s="303">
        <f ca="1">IF(INDIRECT("'数据-取费表'!ah"&amp;$G$1)="",INDIRECT("'数据-取费表'!k"&amp;$G$1),INDIRECT("'数据-取费表'!ah"&amp;$G$1))</f>
        <v>0</v>
      </c>
      <c r="G7" s="1384"/>
      <c r="H7" s="304"/>
      <c r="I7" s="3667"/>
      <c r="J7" s="306"/>
      <c r="K7" s="307"/>
      <c r="L7" s="302" t="s">
        <v>697</v>
      </c>
      <c r="M7" s="303">
        <f ca="1">F7</f>
        <v>0</v>
      </c>
    </row>
    <row r="8" spans="1:37" ht="18" customHeight="1">
      <c r="A8" s="304"/>
      <c r="B8" s="3667"/>
      <c r="C8" s="306"/>
      <c r="D8" s="307"/>
      <c r="E8" s="302" t="s">
        <v>698</v>
      </c>
      <c r="F8" s="303">
        <f ca="1">INDIRECT("'数据-取费表'!ai"&amp;$G$1)</f>
        <v>0</v>
      </c>
      <c r="G8" s="1384"/>
      <c r="H8" s="304"/>
      <c r="I8" s="3667"/>
      <c r="J8" s="306"/>
      <c r="K8" s="307"/>
      <c r="L8" s="302" t="s">
        <v>698</v>
      </c>
      <c r="M8" s="303">
        <f ca="1">INDIRECT("'数据-取费表'!ai"&amp;$G$1)</f>
        <v>0</v>
      </c>
    </row>
    <row r="9" spans="1:37" ht="18" customHeight="1">
      <c r="A9" s="304"/>
      <c r="B9" s="3668"/>
      <c r="C9" s="306"/>
      <c r="D9" s="307"/>
      <c r="E9" s="302" t="s">
        <v>699</v>
      </c>
      <c r="F9" s="312">
        <f ca="1">INDIRECT("'数据-取费表'!w"&amp;$G$1)</f>
        <v>0</v>
      </c>
      <c r="G9" s="1384"/>
      <c r="H9" s="304"/>
      <c r="I9" s="3668"/>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2116</v>
      </c>
      <c r="E10" s="313" t="s">
        <v>701</v>
      </c>
      <c r="F10" s="1116"/>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t="e">
        <f ca="1">ROUND(C29*F13,0)</f>
        <v>#VALUE!</v>
      </c>
      <c r="D13" s="1081" t="s">
        <v>705</v>
      </c>
      <c r="E13" s="1081" t="s">
        <v>706</v>
      </c>
      <c r="F13" s="1082">
        <f ca="1">INDIRECT("'数据-取费表'!y"&amp;$G$1)</f>
        <v>0</v>
      </c>
      <c r="G13" s="1384"/>
      <c r="H13" s="1079">
        <v>2</v>
      </c>
      <c r="I13" s="1080" t="s">
        <v>704</v>
      </c>
      <c r="J13" s="1068" t="e">
        <f ca="1">ROUND(J14*J15,0)</f>
        <v>#VALUE!</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t="e">
        <f ca="1">C29</f>
        <v>#VALUE!</v>
      </c>
      <c r="K14" s="12"/>
      <c r="L14" s="807"/>
      <c r="M14" s="808"/>
    </row>
    <row r="15" spans="1:37" s="1397" customFormat="1" ht="18" customHeight="1" thickBot="1">
      <c r="A15" s="982" t="s">
        <v>399</v>
      </c>
      <c r="B15" s="302" t="s">
        <v>710</v>
      </c>
      <c r="C15" s="21">
        <f ca="1">ROUND(C14*F15,0)</f>
        <v>0</v>
      </c>
      <c r="D15" s="320" t="s">
        <v>711</v>
      </c>
      <c r="E15" s="320" t="s">
        <v>712</v>
      </c>
      <c r="F15" s="321">
        <f>'数据-取费表'!B33</f>
        <v>0</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t="e">
        <f ca="1">ROUND(J17+J22+J23+J24,0)</f>
        <v>#VALUE!</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0</v>
      </c>
      <c r="G17" s="1396"/>
      <c r="H17" s="982" t="s">
        <v>398</v>
      </c>
      <c r="I17" s="302" t="s">
        <v>719</v>
      </c>
      <c r="J17" s="2316">
        <f ca="1">ROUND(IF(AND(项目基本情况!B11="自然人",项目基本情况!B10="北京市"),J6*M17/(1+'数据-取费表'!C42),J18+J19+J20),0)</f>
        <v>0</v>
      </c>
      <c r="K17" s="1345" t="s">
        <v>720</v>
      </c>
      <c r="L17" s="1344" t="s">
        <v>721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v>
      </c>
      <c r="G18" s="1396"/>
      <c r="H18" s="982" t="s">
        <v>397</v>
      </c>
      <c r="I18" s="302" t="s">
        <v>723</v>
      </c>
      <c r="J18" s="21">
        <f ca="1">ROUND(J6*M18/(1+'数据-取费表'!C42),0)</f>
        <v>0</v>
      </c>
      <c r="K18" s="1344" t="s">
        <v>724</v>
      </c>
      <c r="L18" s="302" t="s">
        <v>712</v>
      </c>
      <c r="M18" s="322">
        <f>'数据-取费表'!B41</f>
        <v>0</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3336</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v>
      </c>
      <c r="G20" s="1396"/>
      <c r="H20" s="982" t="s">
        <v>680</v>
      </c>
      <c r="I20" s="155" t="s">
        <v>730</v>
      </c>
      <c r="J20" s="22">
        <f ca="1">ROUND(M20*M21,0)</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t="e">
        <f ca="1">ROUND(J14*M22,0)</f>
        <v>#VALUE!</v>
      </c>
      <c r="K22" s="1344" t="s">
        <v>739</v>
      </c>
      <c r="L22" s="302" t="s">
        <v>712</v>
      </c>
      <c r="M22" s="328">
        <f ca="1">INDIRECT("'数据-取费表'!Ak"&amp;$G$1)</f>
        <v>0</v>
      </c>
    </row>
    <row r="23" spans="1:37" s="1397" customFormat="1" ht="18" customHeight="1">
      <c r="A23" s="982" t="s">
        <v>397</v>
      </c>
      <c r="B23" s="302" t="s">
        <v>740</v>
      </c>
      <c r="C23" s="21" t="e">
        <f ca="1">IF('数据-取费表'!B22&lt;=1,ROUND(C19*F24*F23/2,0)+ROUND(C20*F24*F23/2,0),ROUND(C19*(POWER((1+F24),F23/2)-1),0)+ROUND(C20*(POWER((1+F24),F23/2)-1),0))</f>
        <v>#VALUE!</v>
      </c>
      <c r="D23" s="329" t="str">
        <f>IF(F23&lt;=1,"(建造成本+管理费用)×利率×(建设周期÷2)","(建造成本+管理费用)×((1+利率)^(建设周期÷2)-1)")</f>
        <v>(建造成本+管理费用)×利率×(建设周期÷2)</v>
      </c>
      <c r="E23" s="302" t="s">
        <v>741</v>
      </c>
      <c r="F23" s="325">
        <f>'数据-取费表'!B20</f>
        <v>0</v>
      </c>
      <c r="G23" s="1396"/>
      <c r="H23" s="982" t="s">
        <v>437</v>
      </c>
      <c r="I23" s="302" t="s">
        <v>742</v>
      </c>
      <c r="J23" s="21" t="e">
        <f ca="1">ROUND(J13*M23,0)</f>
        <v>#VALUE!</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t="e">
        <f ca="1">ROUND(IF('数据-取费表'!B22&lt;=1,F21*F24*F23/2,F21*(POWER((1+F24),F23/2)-1)),4)</f>
        <v>#VALUE!</v>
      </c>
      <c r="D24" s="329" t="str">
        <f>IF(F23&lt;=1,"销售费用×利率×(建设周期÷2)","销售费用×((1+利率)^(建设周期÷2)-1)")</f>
        <v>销售费用×利率×(建设周期÷2)</v>
      </c>
      <c r="E24" s="302" t="s">
        <v>747</v>
      </c>
      <c r="F24" s="331" t="e">
        <f ca="1">'数据-取费表'!B40</f>
        <v>#VALUE!</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t="e">
        <f ca="1">J5-J16</f>
        <v>#VALUE!</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0</v>
      </c>
      <c r="D28" s="323" t="s">
        <v>765</v>
      </c>
      <c r="E28" s="302" t="s">
        <v>712</v>
      </c>
      <c r="F28" s="322">
        <f>'数据-取费表'!B41</f>
        <v>0</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t="e">
        <f ca="1">ROUND((C19+C20+C23+C26)/(1-F21-C24-C27-C28),0)</f>
        <v>#VALUE!</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t="e">
        <f ca="1">ROUND(C31+C36+C37+C38,0)</f>
        <v>#VALUE!</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0</v>
      </c>
      <c r="D31" s="1345" t="s">
        <v>720</v>
      </c>
      <c r="E31" s="1344" t="s">
        <v>770</v>
      </c>
      <c r="F31" s="2315">
        <f ca="1">IF(项目基本情况!B11="企业","——",IF(M47="住宅",IF(F6*F7*F8/12/(1+'数据-取费表'!F30)&gt;100000,4%,2.5%),IF(F6*F7*F8/12/(1+'数据-取费表'!F30)&gt;100000,12%,7%)))</f>
        <v>7.0000000000000007E-2</v>
      </c>
      <c r="G31" s="1384"/>
      <c r="H31" s="2808" t="s">
        <v>2306</v>
      </c>
      <c r="I31" s="1398"/>
      <c r="J31" s="1399"/>
      <c r="K31" s="2475"/>
      <c r="L31" s="2698"/>
      <c r="M31" s="2699"/>
    </row>
    <row r="32" spans="1:37" ht="18" customHeight="1">
      <c r="A32" s="982" t="s">
        <v>397</v>
      </c>
      <c r="B32" s="302" t="s">
        <v>723</v>
      </c>
      <c r="C32" s="21">
        <f ca="1">IF(项目基本情况!B11="自然人","——",ROUND(C6*F32/(1+'数据-取费表'!C42),0))</f>
        <v>0</v>
      </c>
      <c r="D32" s="1344" t="s">
        <v>724</v>
      </c>
      <c r="E32" s="302" t="s">
        <v>712</v>
      </c>
      <c r="F32" s="331">
        <f>'数据-取费表'!B41</f>
        <v>0</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3336</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t="e">
        <f ca="1">ROUND(C29*F36,0)</f>
        <v>#VALUE!</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t="e">
        <f ca="1">ROUND(C13*F37,0)</f>
        <v>#VALUE!</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ROUND(C5*F38,0)</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t="e">
        <f ca="1">C5-C30</f>
        <v>#VALUE!</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#VALUE!</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ROUND(C40/F43,0)</f>
        <v>#VALUE!</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3352</v>
      </c>
      <c r="B45" s="1400"/>
      <c r="C45" s="1472" t="e">
        <f ca="1">ROUND((C68-C40)/10000,4)</f>
        <v>#VALUE!</v>
      </c>
      <c r="D45" s="3432" t="s">
        <v>3353</v>
      </c>
      <c r="E45" s="1400"/>
      <c r="F45" s="1400"/>
      <c r="O45" s="1403" t="s">
        <v>808</v>
      </c>
      <c r="P45" s="1461"/>
      <c r="Q45" s="1461"/>
      <c r="R45" s="1461"/>
    </row>
    <row r="46" spans="1:18" s="1384" customFormat="1" ht="13.5" thickBot="1">
      <c r="A46" s="1404" t="s">
        <v>809</v>
      </c>
      <c r="C46" s="1405" t="e">
        <f ca="1">ROUND(C45,0)</f>
        <v>#VALUE!</v>
      </c>
      <c r="D46" s="1406" t="str">
        <f>C2</f>
        <v>万元</v>
      </c>
      <c r="I46" s="1407" t="s">
        <v>810</v>
      </c>
      <c r="J46" s="1408"/>
      <c r="K46" s="1409"/>
      <c r="L46" s="1410" t="e">
        <f ca="1">IF(M47="住宅",0,IF(L48&gt;J51,L60,J60))</f>
        <v>#VALUE!</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#VALUE!</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#VALUE!</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t="e">
        <f ca="1">C29</f>
        <v>#VALUE!</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t="e">
        <f ca="1">ROUND(-PV(INDIRECT("'数据-取费表'!h"&amp;$G$1),J51,(C39-C13*C76),0),0)</f>
        <v>#VALUE!</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0</v>
      </c>
      <c r="K53" s="3664" t="s">
        <v>837</v>
      </c>
      <c r="L53" s="3665"/>
      <c r="O53" s="1418" t="s">
        <v>409</v>
      </c>
      <c r="P53" s="1419" t="s">
        <v>838</v>
      </c>
      <c r="Q53" s="1420" t="e">
        <f ca="1">Q47+Q48</f>
        <v>#VALUE!</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t="e">
        <f ca="1">C13</f>
        <v>#VALUE!</v>
      </c>
      <c r="D56" s="1447"/>
      <c r="E56" s="1448"/>
      <c r="F56" s="1440"/>
      <c r="I56" s="1449" t="s">
        <v>842</v>
      </c>
      <c r="J56" s="1450"/>
      <c r="K56" s="1421" t="s">
        <v>843</v>
      </c>
      <c r="L56" s="1424">
        <f ca="1">IF(L48&lt;J51,"——",L48-J51)</f>
        <v>0</v>
      </c>
      <c r="O56" s="1418" t="s">
        <v>403</v>
      </c>
      <c r="P56" s="1419" t="s">
        <v>817</v>
      </c>
      <c r="Q56" s="1420" t="e">
        <f ca="1">C40+J29</f>
        <v>#VALUE!</v>
      </c>
      <c r="R56" s="1420" t="s">
        <v>818</v>
      </c>
    </row>
    <row r="57" spans="1:18" s="1384" customFormat="1" ht="24.75" thickBot="1">
      <c r="A57" s="1451"/>
      <c r="B57" s="950" t="s">
        <v>767</v>
      </c>
      <c r="C57" s="238" t="e">
        <f ca="1">C29</f>
        <v>#VALUE!</v>
      </c>
      <c r="D57" s="1452"/>
      <c r="E57" s="1453"/>
      <c r="F57" s="1454"/>
      <c r="I57" s="1455" t="s">
        <v>844</v>
      </c>
      <c r="J57" s="1456">
        <f ca="1">IF(OR(M47="住宅",J51&lt;L48,J56="是"),"——",J51-L48)</f>
        <v>0</v>
      </c>
      <c r="K57" s="1421" t="s">
        <v>892</v>
      </c>
      <c r="L57" s="1424" t="e">
        <f ca="1">IF(L48&lt;J51,"——",IF(L55="比较法",L49,IF(L55="基准地价",L50,L51)))</f>
        <v>#VALUE!</v>
      </c>
      <c r="O57" s="1418" t="s">
        <v>404</v>
      </c>
      <c r="P57" s="1419" t="s">
        <v>893</v>
      </c>
      <c r="Q57" s="1420" t="e">
        <f ca="1">L60</f>
        <v>#VALUE!</v>
      </c>
      <c r="R57" s="1420" t="s">
        <v>894</v>
      </c>
    </row>
    <row r="58" spans="1:18" s="1384" customFormat="1" ht="24.75" thickBot="1">
      <c r="A58" s="315" t="s">
        <v>393</v>
      </c>
      <c r="B58" s="958" t="s">
        <v>714</v>
      </c>
      <c r="C58" s="316" t="e">
        <f ca="1">ROUND(C59+C64+C65+C66,0)</f>
        <v>#VALUE!</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f ca="1">IF(项目基本情况!B11="企业","——",IF('数据-取费表'!B10="住宅",IF(F49*F50*F51/12/(1+'数据-取费表'!F30)&gt;100000,4%,2.5%),IF(F49*F50*F51/12/(1+'数据-取费表'!F30)&gt;100000,12%,7%)))</f>
        <v>7.0000000000000007E-2</v>
      </c>
      <c r="I59" s="1455" t="s">
        <v>851</v>
      </c>
      <c r="J59" s="1456" t="e">
        <f ca="1">IF(OR(M47="住宅",J51&lt;L48,J56="是"),"——",ROUND(C29*J58,0))</f>
        <v>#VALUE!</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0</v>
      </c>
      <c r="I60" s="1458" t="s">
        <v>853</v>
      </c>
      <c r="J60" s="1459" t="e">
        <f ca="1">IF(OR(M47="住宅",J51&lt;L48,J56="是"),"0",ROUND(J59/(1+J52)^J53,0))</f>
        <v>#VALUE!</v>
      </c>
      <c r="K60" s="1460" t="s">
        <v>854</v>
      </c>
      <c r="L60" s="1459" t="e">
        <f ca="1">IF(OR(M47="住宅",L48&lt;J51),0,ROUND(L57*(L58/L59-1),0))</f>
        <v>#VALUE!</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3336</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#VALUE!</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t="e">
        <f ca="1">ROUND(C57*F64,0)</f>
        <v>#VALUE!</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t="e">
        <f ca="1">ROUND(C56*F65,0)</f>
        <v>#VALUE!</v>
      </c>
      <c r="D65" s="964" t="s">
        <v>743</v>
      </c>
      <c r="E65" s="950" t="s">
        <v>744</v>
      </c>
      <c r="F65" s="330">
        <f t="shared" ca="1" si="0"/>
        <v>0</v>
      </c>
      <c r="I65" s="1462" t="s">
        <v>867</v>
      </c>
      <c r="J65" s="1463">
        <v>40</v>
      </c>
      <c r="K65" s="1463">
        <v>30</v>
      </c>
      <c r="L65" s="1463">
        <v>50</v>
      </c>
      <c r="M65" s="1465">
        <v>0.02</v>
      </c>
      <c r="O65" s="1418" t="s">
        <v>403</v>
      </c>
      <c r="P65" s="1419" t="s">
        <v>868</v>
      </c>
      <c r="Q65" s="1420" t="e">
        <f ca="1">C40+J29</f>
        <v>#VALUE!</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#VALUE!</v>
      </c>
      <c r="R66" s="1420" t="s">
        <v>869</v>
      </c>
    </row>
    <row r="67" spans="1:18" s="1384" customFormat="1" ht="16.5" thickBot="1">
      <c r="A67" s="957" t="s">
        <v>394</v>
      </c>
      <c r="B67" s="967" t="s">
        <v>752</v>
      </c>
      <c r="C67" s="316" t="e">
        <f ca="1">C48-C58</f>
        <v>#VALUE!</v>
      </c>
      <c r="D67" s="963" t="s">
        <v>753</v>
      </c>
      <c r="E67" s="968"/>
      <c r="F67" s="969"/>
      <c r="O67" s="1428" t="s">
        <v>405</v>
      </c>
      <c r="P67" s="1419" t="s">
        <v>850</v>
      </c>
      <c r="Q67" s="1466" t="e">
        <f ca="1">L51</f>
        <v>#VALUE!</v>
      </c>
      <c r="R67" s="1420" t="s">
        <v>870</v>
      </c>
    </row>
    <row r="68" spans="1:18" s="1384" customFormat="1" ht="16.5" thickBot="1">
      <c r="A68" s="947" t="s">
        <v>395</v>
      </c>
      <c r="B68" s="948" t="s">
        <v>774</v>
      </c>
      <c r="C68" s="301" t="e">
        <f ca="1">ROUND(C67*(1-((1+F70)/(1+F68))^F69)/(F68-F70),0)</f>
        <v>#VALUE!</v>
      </c>
      <c r="D68" s="965" t="s">
        <v>758</v>
      </c>
      <c r="E68" s="950" t="s">
        <v>759</v>
      </c>
      <c r="F68" s="312">
        <f ca="1">F40</f>
        <v>0</v>
      </c>
      <c r="O68" s="1428" t="s">
        <v>406</v>
      </c>
      <c r="P68" s="1467" t="s">
        <v>871</v>
      </c>
      <c r="Q68" s="1420" t="e">
        <f ca="1">ROUND(Q69-Q70*Q71,0)</f>
        <v>#VALUE!</v>
      </c>
      <c r="R68" s="1420" t="s">
        <v>414</v>
      </c>
    </row>
    <row r="69" spans="1:18" s="1384" customFormat="1" ht="13.5" thickBot="1">
      <c r="A69" s="951"/>
      <c r="B69" s="952"/>
      <c r="C69" s="306"/>
      <c r="D69" s="970" t="s">
        <v>762</v>
      </c>
      <c r="E69" s="950" t="s">
        <v>763</v>
      </c>
      <c r="F69" s="333">
        <f ca="1">F41</f>
        <v>0</v>
      </c>
      <c r="O69" s="1428" t="s">
        <v>411</v>
      </c>
      <c r="P69" s="1467" t="s">
        <v>872</v>
      </c>
      <c r="Q69" s="1420" t="e">
        <f ca="1">C39</f>
        <v>#VALUE!</v>
      </c>
      <c r="R69" s="1420" t="s">
        <v>818</v>
      </c>
    </row>
    <row r="70" spans="1:18" s="1384" customFormat="1" ht="13.5" thickBot="1">
      <c r="A70" s="954"/>
      <c r="B70" s="955"/>
      <c r="C70" s="310"/>
      <c r="D70" s="966"/>
      <c r="E70" s="950" t="s">
        <v>766</v>
      </c>
      <c r="F70" s="1054"/>
      <c r="O70" s="1428" t="s">
        <v>412</v>
      </c>
      <c r="P70" s="1467" t="s">
        <v>873</v>
      </c>
      <c r="Q70" s="1420" t="e">
        <f ca="1">C13</f>
        <v>#VALUE!</v>
      </c>
      <c r="R70" s="1420" t="s">
        <v>818</v>
      </c>
    </row>
    <row r="71" spans="1:18" s="1384" customFormat="1" ht="13.5" thickBot="1">
      <c r="A71" s="971" t="s">
        <v>396</v>
      </c>
      <c r="B71" s="972" t="s">
        <v>776</v>
      </c>
      <c r="C71" s="336" t="e">
        <f ca="1">ROUND(C68/F71,0)</f>
        <v>#VALUE!</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t="e">
        <f ca="1">ROUND(C13*C76,0)</f>
        <v>#VALUE!</v>
      </c>
      <c r="D75" s="1384"/>
      <c r="E75" s="1384"/>
      <c r="F75" s="1384"/>
      <c r="K75" s="1402"/>
      <c r="L75" s="1384"/>
      <c r="O75" s="1418" t="s">
        <v>409</v>
      </c>
      <c r="P75" s="1419" t="s">
        <v>838</v>
      </c>
      <c r="Q75" s="1420" t="e">
        <f ca="1">Q65+Q66</f>
        <v>#VALUE!</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#VALUE!</v>
      </c>
    </row>
    <row r="80" spans="1:18">
      <c r="B80" s="340" t="s">
        <v>800</v>
      </c>
      <c r="C80" s="274" t="e">
        <f ca="1">ROUND(C75/C39,3)</f>
        <v>#VALUE!</v>
      </c>
    </row>
    <row r="81" spans="2:3">
      <c r="B81" s="270" t="s">
        <v>801</v>
      </c>
      <c r="C81" s="238"/>
    </row>
    <row r="82" spans="2:3">
      <c r="B82" s="273" t="s">
        <v>802</v>
      </c>
      <c r="C82" s="275" t="e">
        <f ca="1">1-C83</f>
        <v>#VALUE!</v>
      </c>
    </row>
    <row r="83" spans="2:3">
      <c r="B83" s="273" t="s">
        <v>803</v>
      </c>
      <c r="C83" s="274" t="e">
        <f ca="1">ROUND(C13/C40,3)</f>
        <v>#VALUE!</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I17" sqref="I17"/>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2435</v>
      </c>
      <c r="B1" s="2832"/>
      <c r="C1" s="2844"/>
      <c r="D1" s="2844"/>
      <c r="E1" s="2833"/>
      <c r="F1" s="2834"/>
      <c r="G1" s="2835"/>
      <c r="J1" s="2838" t="s">
        <v>2314</v>
      </c>
      <c r="K1" s="2839"/>
      <c r="L1" s="2839"/>
      <c r="M1" s="2839"/>
      <c r="N1" s="2839"/>
      <c r="O1" s="2839"/>
      <c r="P1" s="2839"/>
      <c r="Q1" s="2839"/>
      <c r="R1" s="2840"/>
      <c r="S1" s="2841"/>
      <c r="T1" s="2841"/>
      <c r="U1" s="2841"/>
    </row>
    <row r="2" spans="1:22" s="2853" customFormat="1" ht="13.15" customHeight="1">
      <c r="A2" s="1385" t="s">
        <v>2315</v>
      </c>
      <c r="B2" s="2843" t="e">
        <f>IF(D2="——",C40,C40+E2)</f>
        <v>#DIV/0!</v>
      </c>
      <c r="C2" s="2844" t="s">
        <v>2316</v>
      </c>
      <c r="D2" s="3443" t="s">
        <v>3359</v>
      </c>
      <c r="E2" s="3444"/>
      <c r="F2" s="2846"/>
      <c r="G2" s="2847"/>
      <c r="H2" s="2848"/>
      <c r="I2" s="2849"/>
      <c r="J2" s="3669" t="s">
        <v>2317</v>
      </c>
      <c r="K2" s="3670"/>
      <c r="L2" s="2850" t="s">
        <v>2318</v>
      </c>
      <c r="M2" s="2850" t="s">
        <v>2319</v>
      </c>
      <c r="N2" s="2850" t="s">
        <v>2320</v>
      </c>
      <c r="O2" s="2850" t="s">
        <v>2321</v>
      </c>
      <c r="P2" s="2850" t="s">
        <v>2322</v>
      </c>
      <c r="Q2" s="2851" t="s">
        <v>2323</v>
      </c>
      <c r="R2" s="2852" t="s">
        <v>2324</v>
      </c>
      <c r="S2" s="2841"/>
      <c r="T2" s="2841"/>
      <c r="U2" s="2841"/>
      <c r="V2" s="2849"/>
    </row>
    <row r="3" spans="1:22" s="2853" customFormat="1" ht="13.15" customHeight="1">
      <c r="A3" s="2854" t="s">
        <v>2325</v>
      </c>
      <c r="B3" s="2855" t="e">
        <f>ROUND(B2*10000/B4,0)</f>
        <v>#DIV/0!</v>
      </c>
      <c r="C3" s="2844" t="s">
        <v>2326</v>
      </c>
      <c r="D3" s="2844"/>
      <c r="E3" s="2845"/>
      <c r="F3" s="2846"/>
      <c r="G3" s="2847"/>
      <c r="H3" s="2848"/>
      <c r="I3" s="2849"/>
      <c r="J3" s="3671" t="s">
        <v>2327</v>
      </c>
      <c r="K3" s="3672"/>
      <c r="L3" s="2856"/>
      <c r="M3" s="2856"/>
      <c r="N3" s="2856"/>
      <c r="O3" s="2856"/>
      <c r="P3" s="2856"/>
      <c r="Q3" s="2857"/>
      <c r="R3" s="2858">
        <f>SUM(L3:Q3)</f>
        <v>0</v>
      </c>
      <c r="S3" s="2841"/>
      <c r="T3" s="2841"/>
      <c r="U3" s="2841"/>
      <c r="V3" s="2849"/>
    </row>
    <row r="4" spans="1:22" s="2853" customFormat="1" ht="13.15" customHeight="1">
      <c r="A4" s="2859" t="s">
        <v>2328</v>
      </c>
      <c r="B4" s="2860"/>
      <c r="C4" s="2844"/>
      <c r="D4" s="2844"/>
      <c r="E4" s="2845"/>
      <c r="F4" s="2846"/>
      <c r="G4" s="2847"/>
      <c r="H4" s="2848"/>
      <c r="I4" s="2849"/>
      <c r="J4" s="3671" t="s">
        <v>2329</v>
      </c>
      <c r="K4" s="3672"/>
      <c r="L4" s="2861"/>
      <c r="M4" s="2861"/>
      <c r="N4" s="2861"/>
      <c r="O4" s="2861"/>
      <c r="P4" s="2861"/>
      <c r="Q4" s="2862"/>
      <c r="R4" s="2863">
        <f>SUM(L4:Q4)</f>
        <v>0</v>
      </c>
      <c r="S4" s="2841"/>
      <c r="T4" s="2841"/>
      <c r="U4" s="2841"/>
      <c r="V4" s="2849"/>
    </row>
    <row r="5" spans="1:22" s="2853" customFormat="1" ht="13.15" customHeight="1" thickBot="1">
      <c r="A5" s="2864" t="s">
        <v>2330</v>
      </c>
      <c r="B5" s="2865"/>
      <c r="C5" s="2844"/>
      <c r="D5" s="2866"/>
      <c r="E5" s="2846"/>
      <c r="F5" s="2846"/>
      <c r="G5" s="2847"/>
      <c r="H5" s="2848"/>
      <c r="I5" s="2849"/>
      <c r="J5" s="2867" t="s">
        <v>2331</v>
      </c>
      <c r="K5" s="2868"/>
      <c r="L5" s="2868"/>
      <c r="M5" s="2869"/>
      <c r="N5" s="2869"/>
      <c r="O5" s="2869"/>
      <c r="P5" s="2869"/>
      <c r="Q5" s="2869"/>
      <c r="R5" s="2852">
        <f>SUM(R14,R19,R24,R25,R27,R28)</f>
        <v>0</v>
      </c>
      <c r="S5" s="2841"/>
      <c r="T5" s="2841" t="s">
        <v>2332</v>
      </c>
      <c r="U5" s="2841" t="e">
        <f>ROUND(R5*10000/365/R3,1)</f>
        <v>#DIV/0!</v>
      </c>
      <c r="V5" s="2849"/>
    </row>
    <row r="6" spans="1:22" s="2853" customFormat="1" ht="13.15" customHeight="1" thickBot="1">
      <c r="A6" s="3673" t="s">
        <v>2333</v>
      </c>
      <c r="B6" s="3674"/>
      <c r="C6" s="3675"/>
      <c r="D6" s="2870"/>
      <c r="E6" s="2871"/>
      <c r="F6" s="2872"/>
      <c r="G6" s="2873"/>
      <c r="H6" s="2848"/>
      <c r="I6" s="2849"/>
      <c r="J6" s="3676">
        <v>1</v>
      </c>
      <c r="K6" s="3677" t="s">
        <v>2334</v>
      </c>
      <c r="L6" s="2874" t="s">
        <v>2335</v>
      </c>
      <c r="M6" s="2875" t="s">
        <v>2336</v>
      </c>
      <c r="N6" s="2875" t="s">
        <v>2337</v>
      </c>
      <c r="O6" s="2875" t="s">
        <v>2338</v>
      </c>
      <c r="P6" s="2875" t="s">
        <v>2339</v>
      </c>
      <c r="Q6" s="2875" t="s">
        <v>2340</v>
      </c>
      <c r="R6" s="2858" t="s">
        <v>2341</v>
      </c>
      <c r="S6" s="2841"/>
      <c r="T6" s="2841" t="s">
        <v>2342</v>
      </c>
      <c r="U6" s="2841"/>
      <c r="V6" s="2849"/>
    </row>
    <row r="7" spans="1:22" s="2853" customFormat="1" ht="13.15" customHeight="1">
      <c r="A7" s="2876" t="s">
        <v>2343</v>
      </c>
      <c r="B7" s="2877"/>
      <c r="C7" s="2878"/>
      <c r="D7" s="2879">
        <f>SUM(D9,D10,D11,D17,0)</f>
        <v>0</v>
      </c>
      <c r="E7" s="2880" t="e">
        <f>E9+E10+E11+E17</f>
        <v>#DIV/0!</v>
      </c>
      <c r="F7" s="2881"/>
      <c r="G7" s="2882"/>
      <c r="H7" s="2848"/>
      <c r="I7" s="2849"/>
      <c r="J7" s="3676"/>
      <c r="K7" s="3678"/>
      <c r="L7" s="2883" t="s">
        <v>2344</v>
      </c>
      <c r="M7" s="2884"/>
      <c r="N7" s="2860"/>
      <c r="O7" s="2885"/>
      <c r="P7" s="2885"/>
      <c r="Q7" s="2886">
        <v>365</v>
      </c>
      <c r="R7" s="2887">
        <f>ROUND(M7*N7*O7*P7*Q7/10000,0)</f>
        <v>0</v>
      </c>
      <c r="S7" s="2841"/>
      <c r="T7" s="2841" t="s">
        <v>2345</v>
      </c>
      <c r="U7" s="2841"/>
      <c r="V7" s="2849"/>
    </row>
    <row r="8" spans="1:22" s="2853" customFormat="1" ht="13.15" customHeight="1">
      <c r="A8" s="2888" t="s">
        <v>2346</v>
      </c>
      <c r="B8" s="3680" t="s">
        <v>2347</v>
      </c>
      <c r="C8" s="3681"/>
      <c r="D8" s="2889" t="s">
        <v>2348</v>
      </c>
      <c r="E8" s="2890" t="s">
        <v>2349</v>
      </c>
      <c r="F8" s="2891" t="s">
        <v>2350</v>
      </c>
      <c r="G8" s="2892"/>
      <c r="H8" s="2848"/>
      <c r="I8" s="2849"/>
      <c r="J8" s="3676"/>
      <c r="K8" s="3678"/>
      <c r="L8" s="2883" t="s">
        <v>2351</v>
      </c>
      <c r="M8" s="2884"/>
      <c r="N8" s="2860"/>
      <c r="O8" s="2885"/>
      <c r="P8" s="2885"/>
      <c r="Q8" s="2886">
        <v>365</v>
      </c>
      <c r="R8" s="2887">
        <f t="shared" ref="R8:R13" si="0">ROUND(M8*N8*O8*P8*Q8/10000,0)</f>
        <v>0</v>
      </c>
      <c r="S8" s="2841"/>
      <c r="T8" s="2841" t="s">
        <v>2352</v>
      </c>
      <c r="U8" s="2841"/>
      <c r="V8" s="2849"/>
    </row>
    <row r="9" spans="1:22" s="2853" customFormat="1" ht="13.15" customHeight="1">
      <c r="A9" s="2888">
        <v>1</v>
      </c>
      <c r="B9" s="3680" t="s">
        <v>2353</v>
      </c>
      <c r="C9" s="3681"/>
      <c r="D9" s="2889">
        <f>ROUND(D6*E9,0)</f>
        <v>0</v>
      </c>
      <c r="E9" s="2893"/>
      <c r="F9" s="2894" t="s">
        <v>2354</v>
      </c>
      <c r="G9" s="2873"/>
      <c r="H9" s="2848"/>
      <c r="I9" s="2849"/>
      <c r="J9" s="3676"/>
      <c r="K9" s="3678"/>
      <c r="L9" s="2883" t="s">
        <v>2355</v>
      </c>
      <c r="M9" s="2884"/>
      <c r="N9" s="2860"/>
      <c r="O9" s="2885"/>
      <c r="P9" s="2885"/>
      <c r="Q9" s="2886">
        <v>365</v>
      </c>
      <c r="R9" s="2887">
        <f t="shared" si="0"/>
        <v>0</v>
      </c>
      <c r="S9" s="2841"/>
      <c r="T9" s="2841"/>
      <c r="U9" s="2841"/>
      <c r="V9" s="2849"/>
    </row>
    <row r="10" spans="1:22" s="2853" customFormat="1" ht="13.15" customHeight="1">
      <c r="A10" s="2888">
        <v>2</v>
      </c>
      <c r="B10" s="3680" t="s">
        <v>2356</v>
      </c>
      <c r="C10" s="3681"/>
      <c r="D10" s="2889">
        <f>ROUND(D6*E10,0)</f>
        <v>0</v>
      </c>
      <c r="E10" s="2893"/>
      <c r="F10" s="2894" t="s">
        <v>2357</v>
      </c>
      <c r="G10" s="2873"/>
      <c r="H10" s="2848"/>
      <c r="I10" s="2849"/>
      <c r="J10" s="3676"/>
      <c r="K10" s="3678"/>
      <c r="L10" s="2883" t="s">
        <v>2358</v>
      </c>
      <c r="M10" s="2884"/>
      <c r="N10" s="2860"/>
      <c r="O10" s="2885"/>
      <c r="P10" s="2885"/>
      <c r="Q10" s="2886">
        <v>365</v>
      </c>
      <c r="R10" s="2887">
        <f t="shared" si="0"/>
        <v>0</v>
      </c>
      <c r="S10" s="2841"/>
      <c r="T10" s="2841"/>
      <c r="U10" s="2841"/>
      <c r="V10" s="2849"/>
    </row>
    <row r="11" spans="1:22" s="2853" customFormat="1" ht="13.15" customHeight="1">
      <c r="A11" s="2888">
        <v>3</v>
      </c>
      <c r="B11" s="3680" t="s">
        <v>2359</v>
      </c>
      <c r="C11" s="3681"/>
      <c r="D11" s="2889">
        <f>D12+D14+D15+D16</f>
        <v>0</v>
      </c>
      <c r="E11" s="2895" t="e">
        <f>D11/D6</f>
        <v>#DIV/0!</v>
      </c>
      <c r="F11" s="2891"/>
      <c r="G11" s="2892"/>
      <c r="H11" s="2848"/>
      <c r="I11" s="2849"/>
      <c r="J11" s="3676"/>
      <c r="K11" s="3678"/>
      <c r="L11" s="2883" t="s">
        <v>2360</v>
      </c>
      <c r="M11" s="2884"/>
      <c r="N11" s="2860"/>
      <c r="O11" s="2885"/>
      <c r="P11" s="2885"/>
      <c r="Q11" s="2886">
        <v>365</v>
      </c>
      <c r="R11" s="2887">
        <f t="shared" si="0"/>
        <v>0</v>
      </c>
      <c r="S11" s="2841"/>
      <c r="T11" s="2841"/>
      <c r="U11" s="2841"/>
      <c r="V11" s="2849"/>
    </row>
    <row r="12" spans="1:22" s="2853" customFormat="1" ht="13.15" customHeight="1">
      <c r="A12" s="2896" t="s">
        <v>2361</v>
      </c>
      <c r="B12" s="3682" t="s">
        <v>2362</v>
      </c>
      <c r="C12" s="3683"/>
      <c r="D12" s="2897">
        <f>ROUND(D13*1.2%*(1-30%),0)</f>
        <v>0</v>
      </c>
      <c r="E12" s="2898">
        <v>1.2E-2</v>
      </c>
      <c r="F12" s="2891" t="s">
        <v>2363</v>
      </c>
      <c r="G12" s="2892"/>
      <c r="H12" s="2848"/>
      <c r="I12" s="2849"/>
      <c r="J12" s="3676"/>
      <c r="K12" s="3678"/>
      <c r="L12" s="2883" t="s">
        <v>2364</v>
      </c>
      <c r="M12" s="2884"/>
      <c r="N12" s="2860"/>
      <c r="O12" s="2885"/>
      <c r="P12" s="2885"/>
      <c r="Q12" s="2886">
        <v>365</v>
      </c>
      <c r="R12" s="2887">
        <f t="shared" si="0"/>
        <v>0</v>
      </c>
      <c r="S12" s="2841"/>
      <c r="T12" s="2841"/>
      <c r="U12" s="2841"/>
      <c r="V12" s="2849"/>
    </row>
    <row r="13" spans="1:22" s="2853" customFormat="1" ht="13.15" customHeight="1">
      <c r="A13" s="2896"/>
      <c r="B13" s="2899"/>
      <c r="C13" s="2900" t="s">
        <v>2365</v>
      </c>
      <c r="D13" s="2901"/>
      <c r="E13" s="2902"/>
      <c r="F13" s="2891"/>
      <c r="G13" s="2892"/>
      <c r="H13" s="2848"/>
      <c r="I13" s="2849"/>
      <c r="J13" s="3676"/>
      <c r="K13" s="3678"/>
      <c r="L13" s="2883" t="s">
        <v>2366</v>
      </c>
      <c r="M13" s="2884"/>
      <c r="N13" s="2860"/>
      <c r="O13" s="2885"/>
      <c r="P13" s="2885"/>
      <c r="Q13" s="2886">
        <v>365</v>
      </c>
      <c r="R13" s="2887">
        <f t="shared" si="0"/>
        <v>0</v>
      </c>
      <c r="S13" s="2841"/>
      <c r="T13" s="2841"/>
      <c r="U13" s="2841"/>
      <c r="V13" s="2849"/>
    </row>
    <row r="14" spans="1:22" s="2853" customFormat="1" ht="13.15" customHeight="1">
      <c r="A14" s="2896" t="s">
        <v>2367</v>
      </c>
      <c r="B14" s="3682" t="s">
        <v>2368</v>
      </c>
      <c r="C14" s="3683"/>
      <c r="D14" s="2897">
        <f>ROUND(E14*B5/10000,0)</f>
        <v>0</v>
      </c>
      <c r="E14" s="2886"/>
      <c r="F14" s="2891" t="s">
        <v>2369</v>
      </c>
      <c r="G14" s="2892"/>
      <c r="H14" s="2848"/>
      <c r="I14" s="2849"/>
      <c r="J14" s="3676"/>
      <c r="K14" s="3679"/>
      <c r="L14" s="2903" t="s">
        <v>2370</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2371</v>
      </c>
      <c r="B15" s="3682" t="s">
        <v>2372</v>
      </c>
      <c r="C15" s="3683"/>
      <c r="D15" s="2897">
        <f>ROUND(D6*E15,0)</f>
        <v>0</v>
      </c>
      <c r="E15" s="2898">
        <v>5.5E-2</v>
      </c>
      <c r="F15" s="2891" t="s">
        <v>2373</v>
      </c>
      <c r="G15" s="2873"/>
      <c r="H15" s="2848"/>
      <c r="I15" s="2849"/>
      <c r="J15" s="3676">
        <v>2</v>
      </c>
      <c r="K15" s="3677" t="s">
        <v>2374</v>
      </c>
      <c r="L15" s="2883" t="s">
        <v>2375</v>
      </c>
      <c r="M15" s="2884" t="s">
        <v>2376</v>
      </c>
      <c r="N15" s="2884" t="s">
        <v>2377</v>
      </c>
      <c r="O15" s="2885" t="s">
        <v>2378</v>
      </c>
      <c r="P15" s="2885" t="s">
        <v>2340</v>
      </c>
      <c r="Q15" s="2860" t="s">
        <v>2379</v>
      </c>
      <c r="R15" s="2907" t="s">
        <v>2341</v>
      </c>
      <c r="S15" s="2841"/>
      <c r="T15" s="2841"/>
      <c r="U15" s="2841"/>
      <c r="V15" s="2849"/>
    </row>
    <row r="16" spans="1:22" s="2853" customFormat="1" ht="13.15" customHeight="1">
      <c r="A16" s="2896" t="s">
        <v>2380</v>
      </c>
      <c r="B16" s="3682" t="s">
        <v>2381</v>
      </c>
      <c r="C16" s="3683"/>
      <c r="D16" s="2908">
        <f>D6*E16</f>
        <v>0</v>
      </c>
      <c r="E16" s="2909"/>
      <c r="F16" s="2894" t="s">
        <v>2382</v>
      </c>
      <c r="G16" s="2873"/>
      <c r="H16" s="2848"/>
      <c r="I16" s="2849"/>
      <c r="J16" s="3676"/>
      <c r="K16" s="3678"/>
      <c r="L16" s="2883" t="s">
        <v>2383</v>
      </c>
      <c r="M16" s="2884"/>
      <c r="N16" s="2884"/>
      <c r="O16" s="2885"/>
      <c r="P16" s="2886">
        <v>365</v>
      </c>
      <c r="Q16" s="2860"/>
      <c r="R16" s="2907">
        <f>ROUND(M16*N16*O16*P16/10000,0)</f>
        <v>0</v>
      </c>
      <c r="S16" s="2841"/>
      <c r="T16" s="2841"/>
      <c r="U16" s="2841"/>
      <c r="V16" s="2849"/>
    </row>
    <row r="17" spans="1:22" s="2853" customFormat="1" ht="13.15" customHeight="1" thickBot="1">
      <c r="A17" s="2910">
        <v>4</v>
      </c>
      <c r="B17" s="3684" t="s">
        <v>2384</v>
      </c>
      <c r="C17" s="3685"/>
      <c r="D17" s="2911">
        <f>ROUND(D6*E17,0)</f>
        <v>0</v>
      </c>
      <c r="E17" s="2912"/>
      <c r="F17" s="2913" t="s">
        <v>2385</v>
      </c>
      <c r="G17" s="2873"/>
      <c r="H17" s="2848"/>
      <c r="I17" s="2849"/>
      <c r="J17" s="3676"/>
      <c r="K17" s="3678"/>
      <c r="L17" s="2883" t="s">
        <v>2386</v>
      </c>
      <c r="M17" s="2884"/>
      <c r="N17" s="2884"/>
      <c r="O17" s="2885"/>
      <c r="P17" s="2886">
        <v>365</v>
      </c>
      <c r="Q17" s="2860"/>
      <c r="R17" s="2907">
        <f>ROUND(M17*N17*O17*P17/10000,0)</f>
        <v>0</v>
      </c>
      <c r="S17" s="2841"/>
      <c r="T17" s="2841"/>
      <c r="U17" s="2841"/>
      <c r="V17" s="2849"/>
    </row>
    <row r="18" spans="1:22" s="2853" customFormat="1" ht="13.15" customHeight="1" thickBot="1">
      <c r="A18" s="2876" t="s">
        <v>2387</v>
      </c>
      <c r="B18" s="2877"/>
      <c r="C18" s="2877"/>
      <c r="D18" s="2914">
        <f>ROUND(D6*E18,0)</f>
        <v>0</v>
      </c>
      <c r="E18" s="2915"/>
      <c r="F18" s="2916" t="s">
        <v>2388</v>
      </c>
      <c r="G18" s="2873"/>
      <c r="H18" s="2848"/>
      <c r="I18" s="2849"/>
      <c r="J18" s="3676"/>
      <c r="K18" s="3678"/>
      <c r="L18" s="2883" t="s">
        <v>2389</v>
      </c>
      <c r="M18" s="2884"/>
      <c r="N18" s="2884"/>
      <c r="O18" s="2885"/>
      <c r="P18" s="2886">
        <v>365</v>
      </c>
      <c r="Q18" s="2860"/>
      <c r="R18" s="2907">
        <f>ROUND(M18*N18*O18*P18/10000,0)</f>
        <v>0</v>
      </c>
      <c r="S18" s="2841"/>
      <c r="T18" s="2841"/>
      <c r="U18" s="2841"/>
      <c r="V18" s="2849"/>
    </row>
    <row r="19" spans="1:22" s="2853" customFormat="1" ht="13.15" customHeight="1" thickBot="1">
      <c r="A19" s="2917" t="s">
        <v>2390</v>
      </c>
      <c r="B19" s="2871"/>
      <c r="C19" s="2871"/>
      <c r="D19" s="2871"/>
      <c r="E19" s="2871"/>
      <c r="F19" s="2872"/>
      <c r="G19" s="2892"/>
      <c r="H19" s="2848"/>
      <c r="I19" s="2849"/>
      <c r="J19" s="3676"/>
      <c r="K19" s="3679"/>
      <c r="L19" s="2903" t="s">
        <v>2370</v>
      </c>
      <c r="M19" s="2904"/>
      <c r="N19" s="2904">
        <f>SUM(N16:N18)</f>
        <v>0</v>
      </c>
      <c r="O19" s="2905"/>
      <c r="P19" s="2918" t="s">
        <v>2434</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76">
        <v>3</v>
      </c>
      <c r="K20" s="3677" t="s">
        <v>2391</v>
      </c>
      <c r="L20" s="2883" t="s">
        <v>2392</v>
      </c>
      <c r="M20" s="2884" t="s">
        <v>2393</v>
      </c>
      <c r="N20" s="2921" t="s">
        <v>2394</v>
      </c>
      <c r="O20" s="2885" t="s">
        <v>2395</v>
      </c>
      <c r="P20" s="2886" t="s">
        <v>2396</v>
      </c>
      <c r="Q20" s="2860" t="s">
        <v>2397</v>
      </c>
      <c r="R20" s="2907" t="s">
        <v>2398</v>
      </c>
      <c r="S20" s="2922"/>
      <c r="T20" s="2922"/>
      <c r="U20" s="2922"/>
      <c r="V20" s="2849"/>
    </row>
    <row r="21" spans="1:22" s="2853" customFormat="1" ht="13.15" customHeight="1">
      <c r="A21" s="2876"/>
      <c r="B21" s="2877"/>
      <c r="C21" s="2923" t="s">
        <v>2399</v>
      </c>
      <c r="D21" s="2924" t="s">
        <v>2400</v>
      </c>
      <c r="E21" s="2925" t="s">
        <v>2401</v>
      </c>
      <c r="F21" s="2920"/>
      <c r="G21" s="2892"/>
      <c r="H21" s="2848"/>
      <c r="I21" s="2849"/>
      <c r="J21" s="3676"/>
      <c r="K21" s="3678"/>
      <c r="L21" s="2883" t="s">
        <v>2402</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2403</v>
      </c>
      <c r="D22" s="2928" t="s">
        <v>2404</v>
      </c>
      <c r="E22" s="2929" t="s">
        <v>2405</v>
      </c>
      <c r="F22" s="2920"/>
      <c r="G22" s="2930"/>
      <c r="H22" s="2848"/>
      <c r="I22" s="2849"/>
      <c r="J22" s="3676"/>
      <c r="K22" s="3678"/>
      <c r="L22" s="2883" t="s">
        <v>2406</v>
      </c>
      <c r="M22" s="2884"/>
      <c r="N22" s="2884"/>
      <c r="O22" s="2885"/>
      <c r="P22" s="2886">
        <v>365</v>
      </c>
      <c r="Q22" s="2860"/>
      <c r="R22" s="2926">
        <f>ROUND(M22*N22*O22*P22/10000,0)</f>
        <v>0</v>
      </c>
      <c r="S22" s="2922"/>
      <c r="T22" s="2922"/>
      <c r="U22" s="2922"/>
      <c r="V22" s="2849"/>
    </row>
    <row r="23" spans="1:22" s="2853" customFormat="1" ht="13.15" customHeight="1">
      <c r="A23" s="2931">
        <v>1</v>
      </c>
      <c r="B23" s="2932" t="s">
        <v>2407</v>
      </c>
      <c r="C23" s="2933">
        <f>D6</f>
        <v>0</v>
      </c>
      <c r="D23" s="2934">
        <f>C23*(1+D24)</f>
        <v>0</v>
      </c>
      <c r="E23" s="2935">
        <f>D23*(1+E24)</f>
        <v>0</v>
      </c>
      <c r="F23" s="2936"/>
      <c r="G23" s="2937"/>
      <c r="H23" s="2848"/>
      <c r="I23" s="2849"/>
      <c r="J23" s="3676"/>
      <c r="K23" s="3678"/>
      <c r="L23" s="2883" t="s">
        <v>2408</v>
      </c>
      <c r="M23" s="2884"/>
      <c r="N23" s="2884"/>
      <c r="O23" s="2885"/>
      <c r="P23" s="2886">
        <v>365</v>
      </c>
      <c r="Q23" s="2860"/>
      <c r="R23" s="2926">
        <f>ROUND(M23*N23*O23*P23/10000,0)</f>
        <v>0</v>
      </c>
      <c r="S23" s="2841"/>
      <c r="T23" s="2841"/>
      <c r="U23" s="2841"/>
      <c r="V23" s="2849"/>
    </row>
    <row r="24" spans="1:22" s="2853" customFormat="1" ht="13.15" customHeight="1">
      <c r="A24" s="2938"/>
      <c r="B24" s="2939" t="s">
        <v>2409</v>
      </c>
      <c r="C24" s="2940"/>
      <c r="D24" s="2941"/>
      <c r="E24" s="2942"/>
      <c r="F24" s="2943"/>
      <c r="G24" s="2937"/>
      <c r="H24" s="2848"/>
      <c r="I24" s="2849"/>
      <c r="J24" s="3676"/>
      <c r="K24" s="3679"/>
      <c r="L24" s="2903" t="s">
        <v>2370</v>
      </c>
      <c r="M24" s="2904">
        <f>SUM(M21:M23)</f>
        <v>0</v>
      </c>
      <c r="N24" s="2904"/>
      <c r="O24" s="2905"/>
      <c r="P24" s="2918" t="s">
        <v>2434</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2410</v>
      </c>
      <c r="L25" s="2946"/>
      <c r="M25" s="2946"/>
      <c r="N25" s="2946"/>
      <c r="O25" s="2946"/>
      <c r="P25" s="2947"/>
      <c r="Q25" s="2948">
        <v>0</v>
      </c>
      <c r="R25" s="2919">
        <f>ROUND(R14*Q25,0)</f>
        <v>0</v>
      </c>
      <c r="S25" s="2841"/>
      <c r="T25" s="2841"/>
      <c r="U25" s="2841"/>
      <c r="V25" s="2949"/>
    </row>
    <row r="26" spans="1:22" s="2950" customFormat="1" ht="13.15" customHeight="1">
      <c r="A26" s="2931">
        <v>2</v>
      </c>
      <c r="B26" s="2932" t="s">
        <v>2411</v>
      </c>
      <c r="C26" s="2933">
        <f>D7</f>
        <v>0</v>
      </c>
      <c r="D26" s="2934">
        <f>D23*D27</f>
        <v>0</v>
      </c>
      <c r="E26" s="2935">
        <f>E23*E27</f>
        <v>0</v>
      </c>
      <c r="F26" s="2936"/>
      <c r="G26" s="2937"/>
      <c r="H26" s="2848"/>
      <c r="I26" s="2849"/>
      <c r="J26" s="3686">
        <v>5</v>
      </c>
      <c r="K26" s="2951" t="s">
        <v>2412</v>
      </c>
      <c r="L26" s="2952"/>
      <c r="M26" s="2953"/>
      <c r="N26" s="2954" t="s">
        <v>2413</v>
      </c>
      <c r="O26" s="2954" t="s">
        <v>2414</v>
      </c>
      <c r="P26" s="2955" t="s">
        <v>2415</v>
      </c>
      <c r="Q26" s="2955" t="s">
        <v>2416</v>
      </c>
      <c r="R26" s="2858" t="s">
        <v>2341</v>
      </c>
      <c r="S26" s="2956"/>
      <c r="T26" s="2956"/>
      <c r="U26" s="2956"/>
      <c r="V26" s="2949"/>
    </row>
    <row r="27" spans="1:22" s="2853" customFormat="1" ht="13.15" customHeight="1">
      <c r="A27" s="2938"/>
      <c r="B27" s="2939" t="s">
        <v>2417</v>
      </c>
      <c r="C27" s="2957" t="e">
        <f>E7</f>
        <v>#DIV/0!</v>
      </c>
      <c r="D27" s="2941"/>
      <c r="E27" s="2942"/>
      <c r="F27" s="2943"/>
      <c r="G27" s="2937"/>
      <c r="H27" s="2958"/>
      <c r="I27" s="2949"/>
      <c r="J27" s="3687"/>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2418</v>
      </c>
      <c r="F28" s="2943"/>
      <c r="G28" s="2930"/>
      <c r="H28" s="2958"/>
      <c r="I28" s="2949"/>
      <c r="J28" s="2964">
        <v>6</v>
      </c>
      <c r="K28" s="2965" t="s">
        <v>2419</v>
      </c>
      <c r="L28" s="2966" t="s">
        <v>2420</v>
      </c>
      <c r="M28" s="2967"/>
      <c r="N28" s="2966" t="s">
        <v>2421</v>
      </c>
      <c r="O28" s="2968"/>
      <c r="P28" s="2966" t="s">
        <v>2422</v>
      </c>
      <c r="Q28" s="2969">
        <v>1.4999999999999999E-2</v>
      </c>
      <c r="R28" s="2970"/>
      <c r="S28" s="2922"/>
      <c r="T28" s="2922"/>
      <c r="U28" s="2922"/>
      <c r="V28" s="2949"/>
    </row>
    <row r="29" spans="1:22" s="2950" customFormat="1" ht="13.15" customHeight="1">
      <c r="A29" s="2931">
        <v>3</v>
      </c>
      <c r="B29" s="2932" t="s">
        <v>2423</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2417</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2424</v>
      </c>
      <c r="K31" s="2839"/>
      <c r="L31" s="2839"/>
      <c r="M31" s="2839"/>
      <c r="N31" s="2839"/>
      <c r="O31" s="2839"/>
      <c r="P31" s="2839"/>
      <c r="Q31" s="2839"/>
      <c r="R31" s="2840"/>
      <c r="S31" s="2922"/>
      <c r="T31" s="2841"/>
      <c r="U31" s="2841"/>
      <c r="V31" s="2949"/>
    </row>
    <row r="32" spans="1:22" s="2950" customFormat="1" ht="13.15" customHeight="1">
      <c r="A32" s="2931">
        <v>4</v>
      </c>
      <c r="B32" s="2932" t="s">
        <v>2425</v>
      </c>
      <c r="C32" s="2933">
        <f>C23-C26-C29</f>
        <v>0</v>
      </c>
      <c r="D32" s="2934">
        <f>D23-D26-D29</f>
        <v>0</v>
      </c>
      <c r="E32" s="2935">
        <f>E23-E26-E29</f>
        <v>0</v>
      </c>
      <c r="F32" s="2936"/>
      <c r="G32" s="2930"/>
      <c r="H32" s="2848"/>
      <c r="I32" s="2849"/>
      <c r="J32" s="3669" t="s">
        <v>2317</v>
      </c>
      <c r="K32" s="3670"/>
      <c r="L32" s="2850" t="s">
        <v>2318</v>
      </c>
      <c r="M32" s="2850" t="s">
        <v>2319</v>
      </c>
      <c r="N32" s="2850" t="s">
        <v>2320</v>
      </c>
      <c r="O32" s="2850" t="s">
        <v>2321</v>
      </c>
      <c r="P32" s="2850" t="s">
        <v>2322</v>
      </c>
      <c r="Q32" s="2851" t="s">
        <v>2323</v>
      </c>
      <c r="R32" s="2973" t="s">
        <v>2324</v>
      </c>
      <c r="S32" s="2922"/>
      <c r="T32" s="2841"/>
      <c r="U32" s="2841"/>
      <c r="V32" s="2949"/>
    </row>
    <row r="33" spans="1:23" s="2853" customFormat="1" ht="13.15" customHeight="1">
      <c r="A33" s="2931"/>
      <c r="B33" s="2932"/>
      <c r="C33" s="2933"/>
      <c r="D33" s="2974"/>
      <c r="E33" s="2975"/>
      <c r="F33" s="2936"/>
      <c r="G33" s="2930"/>
      <c r="H33" s="2958"/>
      <c r="I33" s="2949"/>
      <c r="J33" s="3671" t="s">
        <v>2327</v>
      </c>
      <c r="K33" s="3672"/>
      <c r="L33" s="2856"/>
      <c r="M33" s="2856"/>
      <c r="N33" s="2856"/>
      <c r="O33" s="2856"/>
      <c r="P33" s="2856"/>
      <c r="Q33" s="2857"/>
      <c r="R33" s="2976">
        <f>SUM(L33:Q33)</f>
        <v>0</v>
      </c>
      <c r="S33" s="2922"/>
      <c r="T33" s="2841"/>
      <c r="U33" s="2841"/>
      <c r="V33" s="2849"/>
    </row>
    <row r="34" spans="1:23" s="2853" customFormat="1" ht="13.15" customHeight="1">
      <c r="A34" s="2931">
        <v>5</v>
      </c>
      <c r="B34" s="2932" t="s">
        <v>2426</v>
      </c>
      <c r="C34" s="2977"/>
      <c r="D34" s="2978"/>
      <c r="E34" s="2979"/>
      <c r="F34" s="2936"/>
      <c r="G34" s="2930"/>
      <c r="H34" s="2958"/>
      <c r="I34" s="2949"/>
      <c r="J34" s="3671" t="s">
        <v>2329</v>
      </c>
      <c r="K34" s="3672"/>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2427</v>
      </c>
      <c r="C35" s="2981"/>
      <c r="D35" s="2982"/>
      <c r="E35" s="2983"/>
      <c r="F35" s="2936"/>
      <c r="G35" s="2984"/>
      <c r="H35" s="2848"/>
      <c r="I35" s="2949"/>
      <c r="J35" s="2867" t="s">
        <v>2331</v>
      </c>
      <c r="K35" s="2868"/>
      <c r="L35" s="2868"/>
      <c r="M35" s="2869"/>
      <c r="N35" s="2869"/>
      <c r="O35" s="2869"/>
      <c r="P35" s="2869"/>
      <c r="Q35" s="2869"/>
      <c r="R35" s="2985">
        <f>R40+R41+R43</f>
        <v>0</v>
      </c>
      <c r="S35" s="2922"/>
      <c r="T35" s="2841" t="s">
        <v>2332</v>
      </c>
      <c r="U35" s="2841"/>
      <c r="V35" s="2849"/>
    </row>
    <row r="36" spans="1:23" s="2853" customFormat="1" ht="13.15" customHeight="1" thickBot="1">
      <c r="A36" s="2931">
        <v>7</v>
      </c>
      <c r="B36" s="2986" t="s">
        <v>2428</v>
      </c>
      <c r="C36" s="2987"/>
      <c r="D36" s="2988"/>
      <c r="E36" s="2989"/>
      <c r="F36" s="2990">
        <f>C36+D36+E36</f>
        <v>0</v>
      </c>
      <c r="G36" s="2930"/>
      <c r="H36" s="2848"/>
      <c r="I36" s="2849"/>
      <c r="J36" s="3676">
        <v>1</v>
      </c>
      <c r="K36" s="3677" t="s">
        <v>2429</v>
      </c>
      <c r="L36" s="2874"/>
      <c r="M36" s="2875"/>
      <c r="N36" s="2875"/>
      <c r="O36" s="2875"/>
      <c r="P36" s="2875"/>
      <c r="Q36" s="2875"/>
      <c r="R36" s="2858" t="s">
        <v>2341</v>
      </c>
      <c r="S36" s="2922"/>
      <c r="T36" s="2841" t="s">
        <v>2342</v>
      </c>
      <c r="U36" s="2841"/>
      <c r="V36" s="2849"/>
    </row>
    <row r="37" spans="1:23" s="2853" customFormat="1" ht="13.15" customHeight="1">
      <c r="A37" s="2931"/>
      <c r="B37" s="2932"/>
      <c r="C37" s="2932"/>
      <c r="D37" s="2932"/>
      <c r="E37" s="2932"/>
      <c r="F37" s="2936"/>
      <c r="G37" s="2930"/>
      <c r="H37" s="2848"/>
      <c r="I37" s="2849"/>
      <c r="J37" s="3676"/>
      <c r="K37" s="3678"/>
      <c r="L37" s="2883"/>
      <c r="M37" s="2884"/>
      <c r="N37" s="2860"/>
      <c r="O37" s="2885"/>
      <c r="P37" s="2885"/>
      <c r="Q37" s="2886"/>
      <c r="R37" s="2887"/>
      <c r="S37" s="2922"/>
      <c r="T37" s="2841" t="s">
        <v>2345</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76"/>
      <c r="K38" s="3678"/>
      <c r="L38" s="2883"/>
      <c r="M38" s="2884"/>
      <c r="N38" s="2860"/>
      <c r="O38" s="2885"/>
      <c r="P38" s="2885"/>
      <c r="Q38" s="2886"/>
      <c r="R38" s="2887"/>
      <c r="S38" s="2922"/>
      <c r="T38" s="2841" t="s">
        <v>2352</v>
      </c>
      <c r="U38" s="2841"/>
      <c r="V38" s="2849"/>
    </row>
    <row r="39" spans="1:23" s="2853" customFormat="1" ht="13.15" customHeight="1">
      <c r="A39" s="2931">
        <v>9</v>
      </c>
      <c r="B39" s="2932" t="s">
        <v>2430</v>
      </c>
      <c r="C39" s="2897" t="e">
        <f>C38</f>
        <v>#DIV/0!</v>
      </c>
      <c r="D39" s="2932">
        <f>D38/(1+D34)^C36</f>
        <v>0</v>
      </c>
      <c r="E39" s="2932">
        <f>E38/(1+E34)^(C36+D36)</f>
        <v>0</v>
      </c>
      <c r="F39" s="2936"/>
      <c r="G39" s="2991"/>
      <c r="H39" s="2848"/>
      <c r="I39" s="2849"/>
      <c r="J39" s="3676"/>
      <c r="K39" s="3678"/>
      <c r="L39" s="2883"/>
      <c r="M39" s="2884"/>
      <c r="N39" s="2860"/>
      <c r="O39" s="2885"/>
      <c r="P39" s="2885"/>
      <c r="Q39" s="2886"/>
      <c r="R39" s="2887"/>
      <c r="S39" s="2922"/>
      <c r="T39" s="2841"/>
      <c r="U39" s="2841"/>
      <c r="V39" s="2849"/>
    </row>
    <row r="40" spans="1:23" s="2853" customFormat="1" ht="13.15" customHeight="1">
      <c r="A40" s="2992">
        <v>10</v>
      </c>
      <c r="B40" s="2932" t="s">
        <v>2431</v>
      </c>
      <c r="C40" s="2993" t="e">
        <f>C39+D39+E39</f>
        <v>#DIV/0!</v>
      </c>
      <c r="D40" s="2994"/>
      <c r="E40" s="2994"/>
      <c r="F40" s="2995"/>
      <c r="G40" s="2930"/>
      <c r="H40" s="2848"/>
      <c r="I40" s="2849"/>
      <c r="J40" s="3676"/>
      <c r="K40" s="3679"/>
      <c r="L40" s="2903" t="s">
        <v>2370</v>
      </c>
      <c r="M40" s="2904"/>
      <c r="N40" s="2904"/>
      <c r="O40" s="2905"/>
      <c r="P40" s="2905"/>
      <c r="Q40" s="2906"/>
      <c r="R40" s="2852">
        <f>SUM(R37:R39)</f>
        <v>0</v>
      </c>
      <c r="S40" s="2922"/>
      <c r="T40" s="2841"/>
      <c r="U40" s="2841"/>
      <c r="V40" s="2849"/>
    </row>
    <row r="41" spans="1:23" s="2853" customFormat="1" ht="13.15" customHeight="1" thickBot="1">
      <c r="A41" s="2996">
        <v>11</v>
      </c>
      <c r="B41" s="2997" t="s">
        <v>2432</v>
      </c>
      <c r="C41" s="2997" t="e">
        <f>ROUND(C40*10000/B4,0)</f>
        <v>#DIV/0!</v>
      </c>
      <c r="D41" s="2998"/>
      <c r="E41" s="2998"/>
      <c r="F41" s="2999"/>
      <c r="G41" s="3000"/>
      <c r="H41" s="2848"/>
      <c r="I41" s="2849"/>
      <c r="J41" s="2944">
        <v>2</v>
      </c>
      <c r="K41" s="2945" t="s">
        <v>2410</v>
      </c>
      <c r="L41" s="2946"/>
      <c r="M41" s="2946"/>
      <c r="N41" s="2946"/>
      <c r="O41" s="2946"/>
      <c r="P41" s="2947"/>
      <c r="Q41" s="2948"/>
      <c r="R41" s="2919">
        <f>ROUND(R40*Q41,0)</f>
        <v>0</v>
      </c>
      <c r="S41" s="2922"/>
      <c r="T41" s="2841"/>
      <c r="U41" s="2956"/>
      <c r="V41" s="2849"/>
    </row>
    <row r="42" spans="1:23" s="2853" customFormat="1" ht="13.15" customHeight="1">
      <c r="G42" s="3000"/>
      <c r="H42" s="2848"/>
      <c r="I42" s="2849"/>
      <c r="J42" s="3686">
        <v>3</v>
      </c>
      <c r="K42" s="2951" t="s">
        <v>2412</v>
      </c>
      <c r="L42" s="2952"/>
      <c r="M42" s="2953"/>
      <c r="N42" s="2954" t="s">
        <v>2413</v>
      </c>
      <c r="O42" s="2954" t="s">
        <v>2414</v>
      </c>
      <c r="P42" s="2955" t="s">
        <v>2415</v>
      </c>
      <c r="Q42" s="2955" t="s">
        <v>2416</v>
      </c>
      <c r="R42" s="2858" t="s">
        <v>2341</v>
      </c>
      <c r="S42" s="2956"/>
      <c r="T42" s="2956"/>
      <c r="U42" s="2841"/>
      <c r="V42" s="2849"/>
    </row>
    <row r="43" spans="1:23" ht="13.15" customHeight="1">
      <c r="A43" s="2853"/>
      <c r="B43" s="2853"/>
      <c r="C43" s="2853"/>
      <c r="D43" s="2853"/>
      <c r="E43" s="2853"/>
      <c r="F43" s="2853"/>
      <c r="I43" s="2836"/>
      <c r="J43" s="3687"/>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2419</v>
      </c>
      <c r="L44" s="3004" t="s">
        <v>2420</v>
      </c>
      <c r="M44" s="2967"/>
      <c r="N44" s="3004" t="s">
        <v>2421</v>
      </c>
      <c r="O44" s="2967"/>
      <c r="P44" s="3004" t="s">
        <v>2422</v>
      </c>
      <c r="Q44" s="2969">
        <v>1.4999999999999999E-2</v>
      </c>
      <c r="R44" s="297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I17" sqref="I17"/>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0</v>
      </c>
      <c r="C2" s="1872" t="s">
        <v>1651</v>
      </c>
      <c r="D2" s="1873" t="s">
        <v>1652</v>
      </c>
      <c r="E2" s="2607">
        <f>SUM(E6:E13)</f>
        <v>0</v>
      </c>
      <c r="F2" s="2707"/>
      <c r="G2" s="1489"/>
      <c r="H2" s="1489"/>
      <c r="I2" s="1489"/>
      <c r="J2" s="1489"/>
      <c r="K2" s="1489"/>
      <c r="L2" s="1489"/>
      <c r="M2" s="1489"/>
      <c r="N2" s="1489"/>
      <c r="O2" s="1489"/>
      <c r="P2" s="1489"/>
      <c r="Q2" s="1489"/>
      <c r="R2" s="1489"/>
      <c r="S2" s="1489"/>
    </row>
    <row r="3" spans="1:22" ht="15.75">
      <c r="A3" s="1870" t="s">
        <v>686</v>
      </c>
      <c r="B3" s="2601" t="e">
        <f ca="1">ROUND(B2*10000/E2,0)</f>
        <v>#DIV/0!</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688" t="s">
        <v>1654</v>
      </c>
      <c r="C5" s="3689"/>
      <c r="D5" s="2708"/>
      <c r="E5" s="1874" t="s">
        <v>1655</v>
      </c>
      <c r="F5" s="1875" t="s">
        <v>1656</v>
      </c>
      <c r="G5" s="1489"/>
      <c r="H5" s="1489"/>
      <c r="I5" s="1489"/>
      <c r="J5" s="1489"/>
      <c r="K5" s="1489"/>
      <c r="L5" s="1489"/>
      <c r="M5" s="1489"/>
      <c r="N5" s="1489"/>
      <c r="O5" s="1489"/>
      <c r="P5" s="1489"/>
      <c r="Q5" s="1489"/>
      <c r="R5" s="1489"/>
      <c r="S5" s="1489"/>
    </row>
    <row r="6" spans="1:22">
      <c r="A6" s="2604">
        <f>'数据-取费表'!AN6</f>
        <v>0</v>
      </c>
      <c r="B6" s="2602" t="e">
        <f ca="1">IF(F6="是",'数据-取费表'!AO6,0)</f>
        <v>#REF!</v>
      </c>
      <c r="C6" s="1872" t="s">
        <v>1651</v>
      </c>
      <c r="D6" s="2709"/>
      <c r="E6" s="2606">
        <f>IF(OR(A6=0,F6="否"),0,'数据-取费表'!K6+'数据-取费表'!S6)</f>
        <v>0</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I17" sqref="I17"/>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t="e">
        <f>IF(C2="——",C49,ROUND(B2*10000/D3,0))</f>
        <v>#DIV/0!</v>
      </c>
      <c r="C3" s="354" t="s">
        <v>1665</v>
      </c>
      <c r="D3" s="353">
        <f>IF(D1="",'数据-汇总表'!E3,SUMIF('数据-汇总表'!$C19:$C33,D1,'数据-汇总表'!$E19:$E33))</f>
        <v>0</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708" t="s">
        <v>1667</v>
      </c>
      <c r="D4" s="3709"/>
      <c r="E4" s="3710" t="s">
        <v>1668</v>
      </c>
      <c r="F4" s="3711"/>
      <c r="G4" s="3708" t="s">
        <v>1669</v>
      </c>
      <c r="H4" s="3709"/>
      <c r="I4" s="3708" t="s">
        <v>1670</v>
      </c>
      <c r="J4" s="3709"/>
      <c r="K4" s="1889" t="s">
        <v>1671</v>
      </c>
      <c r="L4" s="2715"/>
      <c r="M4" s="2716"/>
      <c r="N4" s="2716"/>
      <c r="O4" s="2716"/>
      <c r="P4" s="3712" t="s">
        <v>1672</v>
      </c>
      <c r="Q4" s="3713"/>
      <c r="R4" s="3695" t="s">
        <v>1668</v>
      </c>
      <c r="S4" s="3696"/>
      <c r="T4" s="3695" t="s">
        <v>1669</v>
      </c>
      <c r="U4" s="3696"/>
      <c r="V4" s="3720" t="s">
        <v>1670</v>
      </c>
      <c r="W4" s="3720"/>
      <c r="X4" s="1355"/>
      <c r="Y4" s="3695" t="s">
        <v>1672</v>
      </c>
      <c r="Z4" s="3696"/>
      <c r="AA4" s="3690" t="s">
        <v>1668</v>
      </c>
      <c r="AB4" s="3690" t="s">
        <v>1669</v>
      </c>
      <c r="AC4" s="3690" t="s">
        <v>1670</v>
      </c>
    </row>
    <row r="5" spans="1:29" ht="15">
      <c r="A5" s="358"/>
      <c r="B5" s="359"/>
      <c r="C5" s="3701" t="s">
        <v>1673</v>
      </c>
      <c r="D5" s="3702"/>
      <c r="E5" s="3699" t="s">
        <v>1674</v>
      </c>
      <c r="F5" s="3700"/>
      <c r="G5" s="3701" t="s">
        <v>1675</v>
      </c>
      <c r="H5" s="3702"/>
      <c r="I5" s="3701" t="s">
        <v>1676</v>
      </c>
      <c r="J5" s="3702"/>
      <c r="K5" s="1890"/>
      <c r="L5" s="2715"/>
      <c r="M5" s="2716"/>
      <c r="N5" s="2716"/>
      <c r="O5" s="2716"/>
      <c r="P5" s="3714"/>
      <c r="Q5" s="3715"/>
      <c r="R5" s="3697"/>
      <c r="S5" s="3698"/>
      <c r="T5" s="3697"/>
      <c r="U5" s="3698"/>
      <c r="V5" s="3720"/>
      <c r="W5" s="3720"/>
      <c r="X5" s="1355"/>
      <c r="Y5" s="3697"/>
      <c r="Z5" s="3698"/>
      <c r="AA5" s="3691"/>
      <c r="AB5" s="3691"/>
      <c r="AC5" s="3691"/>
    </row>
    <row r="6" spans="1:29" ht="15.75" thickBot="1">
      <c r="A6" s="360"/>
      <c r="B6" s="361"/>
      <c r="C6" s="3703" t="s">
        <v>1677</v>
      </c>
      <c r="D6" s="3704"/>
      <c r="E6" s="3705" t="s">
        <v>1677</v>
      </c>
      <c r="F6" s="3706"/>
      <c r="G6" s="3703" t="s">
        <v>1677</v>
      </c>
      <c r="H6" s="3704"/>
      <c r="I6" s="3703" t="s">
        <v>1677</v>
      </c>
      <c r="J6" s="3704"/>
      <c r="K6" s="1890" t="s">
        <v>1678</v>
      </c>
      <c r="L6" s="2715"/>
      <c r="M6" s="2716"/>
      <c r="N6" s="2716"/>
      <c r="O6" s="2716"/>
      <c r="P6" s="3716"/>
      <c r="Q6" s="3717"/>
      <c r="R6" s="3697"/>
      <c r="S6" s="3698"/>
      <c r="T6" s="3718"/>
      <c r="U6" s="3719"/>
      <c r="V6" s="3720"/>
      <c r="W6" s="3720"/>
      <c r="X6" s="1355"/>
      <c r="Y6" s="3718"/>
      <c r="Z6" s="3719"/>
      <c r="AA6" s="3692"/>
      <c r="AB6" s="3692"/>
      <c r="AC6" s="3692"/>
    </row>
    <row r="7" spans="1:29" s="108" customFormat="1" ht="15.75" thickBot="1">
      <c r="A7" s="362" t="s">
        <v>1679</v>
      </c>
      <c r="B7" s="363"/>
      <c r="C7" s="364">
        <f>'数据-取费表'!B2</f>
        <v>45861</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693" t="s">
        <v>1680</v>
      </c>
      <c r="Q7" s="3721"/>
      <c r="R7" s="701" t="s">
        <v>20</v>
      </c>
      <c r="S7" s="702">
        <f t="shared" ref="S7:S15" si="0">F7</f>
        <v>0</v>
      </c>
      <c r="T7" s="701" t="s">
        <v>20</v>
      </c>
      <c r="U7" s="702">
        <f t="shared" ref="U7:U15" si="1">H7</f>
        <v>0</v>
      </c>
      <c r="V7" s="701" t="s">
        <v>20</v>
      </c>
      <c r="W7" s="702">
        <f t="shared" ref="W7:W15" si="2">J7</f>
        <v>0</v>
      </c>
      <c r="X7" s="703"/>
      <c r="Y7" s="3693" t="s">
        <v>1680</v>
      </c>
      <c r="Z7" s="3694"/>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693" t="s">
        <v>1683</v>
      </c>
      <c r="Q8" s="3694"/>
      <c r="R8" s="701" t="s">
        <v>20</v>
      </c>
      <c r="S8" s="702">
        <f t="shared" si="0"/>
        <v>100</v>
      </c>
      <c r="T8" s="701" t="s">
        <v>20</v>
      </c>
      <c r="U8" s="702">
        <f t="shared" si="1"/>
        <v>100</v>
      </c>
      <c r="V8" s="701" t="s">
        <v>20</v>
      </c>
      <c r="W8" s="702">
        <f t="shared" si="2"/>
        <v>100</v>
      </c>
      <c r="X8" s="703"/>
      <c r="Y8" s="3693" t="s">
        <v>1683</v>
      </c>
      <c r="Z8" s="3694"/>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707" t="s">
        <v>1686</v>
      </c>
      <c r="Q9" s="1343" t="str">
        <f t="shared" ref="Q9:Q15" si="6">B9</f>
        <v>用途</v>
      </c>
      <c r="R9" s="701" t="s">
        <v>14</v>
      </c>
      <c r="S9" s="702">
        <f t="shared" si="0"/>
        <v>100</v>
      </c>
      <c r="T9" s="701" t="s">
        <v>14</v>
      </c>
      <c r="U9" s="702">
        <f t="shared" si="1"/>
        <v>100</v>
      </c>
      <c r="V9" s="701" t="s">
        <v>14</v>
      </c>
      <c r="W9" s="702">
        <f t="shared" si="2"/>
        <v>100</v>
      </c>
      <c r="X9" s="703"/>
      <c r="Y9" s="3637"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707"/>
      <c r="Q10" s="1343" t="str">
        <f t="shared" si="6"/>
        <v>土地使用年限（年）</v>
      </c>
      <c r="R10" s="701" t="s">
        <v>14</v>
      </c>
      <c r="S10" s="702">
        <f t="shared" si="0"/>
        <v>100</v>
      </c>
      <c r="T10" s="701" t="s">
        <v>14</v>
      </c>
      <c r="U10" s="702">
        <f t="shared" si="1"/>
        <v>100</v>
      </c>
      <c r="V10" s="701" t="s">
        <v>14</v>
      </c>
      <c r="W10" s="702">
        <f t="shared" si="2"/>
        <v>100</v>
      </c>
      <c r="X10" s="703"/>
      <c r="Y10" s="3637"/>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707"/>
      <c r="Q11" s="1343" t="str">
        <f t="shared" si="6"/>
        <v>容积率</v>
      </c>
      <c r="R11" s="701" t="s">
        <v>18</v>
      </c>
      <c r="S11" s="702" t="e">
        <f t="shared" si="0"/>
        <v>#N/A</v>
      </c>
      <c r="T11" s="701" t="s">
        <v>18</v>
      </c>
      <c r="U11" s="702" t="e">
        <f t="shared" si="1"/>
        <v>#N/A</v>
      </c>
      <c r="V11" s="701" t="s">
        <v>18</v>
      </c>
      <c r="W11" s="702" t="e">
        <f t="shared" si="2"/>
        <v>#N/A</v>
      </c>
      <c r="X11" s="703"/>
      <c r="Y11" s="3637"/>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707"/>
      <c r="Q12" s="1343">
        <f t="shared" si="6"/>
        <v>111</v>
      </c>
      <c r="R12" s="701" t="s">
        <v>18</v>
      </c>
      <c r="S12" s="702">
        <f t="shared" si="0"/>
        <v>100</v>
      </c>
      <c r="T12" s="701" t="s">
        <v>18</v>
      </c>
      <c r="U12" s="702">
        <f t="shared" si="1"/>
        <v>100</v>
      </c>
      <c r="V12" s="701" t="s">
        <v>18</v>
      </c>
      <c r="W12" s="702">
        <f t="shared" si="2"/>
        <v>100</v>
      </c>
      <c r="X12" s="703"/>
      <c r="Y12" s="3637"/>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707"/>
      <c r="Q13" s="1343">
        <f t="shared" si="6"/>
        <v>111</v>
      </c>
      <c r="R13" s="701" t="s">
        <v>18</v>
      </c>
      <c r="S13" s="702">
        <f t="shared" si="0"/>
        <v>100</v>
      </c>
      <c r="T13" s="701" t="s">
        <v>18</v>
      </c>
      <c r="U13" s="702">
        <f t="shared" si="1"/>
        <v>100</v>
      </c>
      <c r="V13" s="701" t="s">
        <v>18</v>
      </c>
      <c r="W13" s="702">
        <f t="shared" si="2"/>
        <v>100</v>
      </c>
      <c r="X13" s="703"/>
      <c r="Y13" s="3637"/>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707"/>
      <c r="Q14" s="1343">
        <f t="shared" si="6"/>
        <v>111</v>
      </c>
      <c r="R14" s="701" t="s">
        <v>18</v>
      </c>
      <c r="S14" s="702">
        <f t="shared" si="0"/>
        <v>100</v>
      </c>
      <c r="T14" s="701" t="s">
        <v>18</v>
      </c>
      <c r="U14" s="702">
        <f t="shared" si="1"/>
        <v>100</v>
      </c>
      <c r="V14" s="701" t="s">
        <v>18</v>
      </c>
      <c r="W14" s="702">
        <f t="shared" si="2"/>
        <v>100</v>
      </c>
      <c r="X14" s="703"/>
      <c r="Y14" s="3637"/>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734" t="s">
        <v>1691</v>
      </c>
      <c r="Q15" s="1352" t="str">
        <f t="shared" si="6"/>
        <v>居住社区成熟度</v>
      </c>
      <c r="R15" s="705" t="s">
        <v>18</v>
      </c>
      <c r="S15" s="706">
        <f t="shared" si="0"/>
        <v>100</v>
      </c>
      <c r="T15" s="705" t="s">
        <v>18</v>
      </c>
      <c r="U15" s="706">
        <f t="shared" si="1"/>
        <v>100</v>
      </c>
      <c r="V15" s="705" t="s">
        <v>18</v>
      </c>
      <c r="W15" s="706">
        <f t="shared" si="2"/>
        <v>100</v>
      </c>
      <c r="X15" s="1355"/>
      <c r="Y15" s="3727"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735"/>
      <c r="Q16" s="1352"/>
      <c r="R16" s="705"/>
      <c r="S16" s="706"/>
      <c r="T16" s="705"/>
      <c r="U16" s="706"/>
      <c r="V16" s="705"/>
      <c r="W16" s="706"/>
      <c r="X16" s="1355"/>
      <c r="Y16" s="3728"/>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735"/>
      <c r="Q17" s="1352" t="str">
        <f>B17</f>
        <v>交通便捷度</v>
      </c>
      <c r="R17" s="705" t="s">
        <v>18</v>
      </c>
      <c r="S17" s="706">
        <f>F17</f>
        <v>100</v>
      </c>
      <c r="T17" s="705" t="s">
        <v>18</v>
      </c>
      <c r="U17" s="706">
        <f>H17</f>
        <v>100</v>
      </c>
      <c r="V17" s="705" t="s">
        <v>18</v>
      </c>
      <c r="W17" s="706">
        <f>J17</f>
        <v>100</v>
      </c>
      <c r="X17" s="1355"/>
      <c r="Y17" s="3728"/>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735"/>
      <c r="Q18" s="1352"/>
      <c r="R18" s="705"/>
      <c r="S18" s="706"/>
      <c r="T18" s="705"/>
      <c r="U18" s="706"/>
      <c r="V18" s="705"/>
      <c r="W18" s="706"/>
      <c r="X18" s="1355"/>
      <c r="Y18" s="3728"/>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735"/>
      <c r="Q19" s="1352" t="str">
        <f>B19</f>
        <v>公共配套设施</v>
      </c>
      <c r="R19" s="705" t="s">
        <v>18</v>
      </c>
      <c r="S19" s="706">
        <f>F19</f>
        <v>100</v>
      </c>
      <c r="T19" s="705" t="s">
        <v>18</v>
      </c>
      <c r="U19" s="706">
        <f>H19</f>
        <v>100</v>
      </c>
      <c r="V19" s="705" t="s">
        <v>18</v>
      </c>
      <c r="W19" s="706">
        <f>J19</f>
        <v>100</v>
      </c>
      <c r="X19" s="1355"/>
      <c r="Y19" s="3728"/>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735"/>
      <c r="Q20" s="1352"/>
      <c r="R20" s="705"/>
      <c r="S20" s="706"/>
      <c r="T20" s="705"/>
      <c r="U20" s="706"/>
      <c r="V20" s="705"/>
      <c r="W20" s="706"/>
      <c r="X20" s="1355"/>
      <c r="Y20" s="3728"/>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735"/>
      <c r="Q21" s="1352" t="str">
        <f>B21</f>
        <v>基础设施水平</v>
      </c>
      <c r="R21" s="705" t="s">
        <v>14</v>
      </c>
      <c r="S21" s="706">
        <f>F21</f>
        <v>100</v>
      </c>
      <c r="T21" s="705" t="s">
        <v>14</v>
      </c>
      <c r="U21" s="706">
        <f>H21</f>
        <v>100</v>
      </c>
      <c r="V21" s="705" t="s">
        <v>14</v>
      </c>
      <c r="W21" s="706">
        <f>J21</f>
        <v>100</v>
      </c>
      <c r="X21" s="1355"/>
      <c r="Y21" s="3728"/>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735"/>
      <c r="Q22" s="1352"/>
      <c r="R22" s="705"/>
      <c r="S22" s="706"/>
      <c r="T22" s="705"/>
      <c r="U22" s="706"/>
      <c r="V22" s="705"/>
      <c r="W22" s="706"/>
      <c r="X22" s="1355"/>
      <c r="Y22" s="3728"/>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735"/>
      <c r="Q23" s="1352" t="str">
        <f>B23</f>
        <v>自然及人文环境</v>
      </c>
      <c r="R23" s="705" t="s">
        <v>18</v>
      </c>
      <c r="S23" s="706">
        <f>F23</f>
        <v>100</v>
      </c>
      <c r="T23" s="705" t="s">
        <v>18</v>
      </c>
      <c r="U23" s="706">
        <f>H23</f>
        <v>100</v>
      </c>
      <c r="V23" s="705" t="s">
        <v>18</v>
      </c>
      <c r="W23" s="706">
        <f>J23</f>
        <v>100</v>
      </c>
      <c r="X23" s="1355"/>
      <c r="Y23" s="3728"/>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735"/>
      <c r="Q24" s="1352"/>
      <c r="R24" s="705"/>
      <c r="S24" s="706"/>
      <c r="T24" s="705"/>
      <c r="U24" s="706"/>
      <c r="V24" s="705"/>
      <c r="W24" s="706"/>
      <c r="X24" s="1355"/>
      <c r="Y24" s="3728"/>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735"/>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728"/>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735"/>
      <c r="Q26" s="1352" t="str">
        <f t="shared" si="11"/>
        <v>朝向</v>
      </c>
      <c r="R26" s="705" t="s">
        <v>18</v>
      </c>
      <c r="S26" s="706">
        <f t="shared" si="12"/>
        <v>100</v>
      </c>
      <c r="T26" s="705" t="s">
        <v>18</v>
      </c>
      <c r="U26" s="706">
        <f t="shared" si="13"/>
        <v>100</v>
      </c>
      <c r="V26" s="705" t="s">
        <v>18</v>
      </c>
      <c r="W26" s="706">
        <f t="shared" si="14"/>
        <v>100</v>
      </c>
      <c r="X26" s="1355"/>
      <c r="Y26" s="3728"/>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735"/>
      <c r="Q27" s="1343">
        <f t="shared" si="11"/>
        <v>111</v>
      </c>
      <c r="R27" s="701" t="s">
        <v>18</v>
      </c>
      <c r="S27" s="702">
        <f t="shared" si="12"/>
        <v>100</v>
      </c>
      <c r="T27" s="701" t="s">
        <v>18</v>
      </c>
      <c r="U27" s="702">
        <f t="shared" si="13"/>
        <v>100</v>
      </c>
      <c r="V27" s="701" t="s">
        <v>18</v>
      </c>
      <c r="W27" s="702">
        <f t="shared" si="14"/>
        <v>100</v>
      </c>
      <c r="X27" s="703"/>
      <c r="Y27" s="3728"/>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735"/>
      <c r="Q28" s="1352">
        <f t="shared" si="11"/>
        <v>111</v>
      </c>
      <c r="R28" s="705" t="s">
        <v>18</v>
      </c>
      <c r="S28" s="706">
        <f t="shared" si="12"/>
        <v>100</v>
      </c>
      <c r="T28" s="705" t="s">
        <v>18</v>
      </c>
      <c r="U28" s="706">
        <f t="shared" si="13"/>
        <v>100</v>
      </c>
      <c r="V28" s="705" t="s">
        <v>18</v>
      </c>
      <c r="W28" s="706">
        <f t="shared" si="14"/>
        <v>100</v>
      </c>
      <c r="X28" s="1355"/>
      <c r="Y28" s="3728"/>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735"/>
      <c r="Q29" s="1352">
        <f t="shared" si="11"/>
        <v>111</v>
      </c>
      <c r="R29" s="705" t="s">
        <v>18</v>
      </c>
      <c r="S29" s="706">
        <f t="shared" si="12"/>
        <v>100</v>
      </c>
      <c r="T29" s="705" t="s">
        <v>18</v>
      </c>
      <c r="U29" s="706">
        <f t="shared" si="13"/>
        <v>100</v>
      </c>
      <c r="V29" s="705" t="s">
        <v>18</v>
      </c>
      <c r="W29" s="706">
        <f t="shared" si="14"/>
        <v>100</v>
      </c>
      <c r="X29" s="1355"/>
      <c r="Y29" s="3728"/>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735"/>
      <c r="Q30" s="1352">
        <f t="shared" si="11"/>
        <v>111</v>
      </c>
      <c r="R30" s="705" t="s">
        <v>18</v>
      </c>
      <c r="S30" s="706">
        <f t="shared" si="12"/>
        <v>100</v>
      </c>
      <c r="T30" s="705" t="s">
        <v>18</v>
      </c>
      <c r="U30" s="706">
        <f t="shared" si="13"/>
        <v>100</v>
      </c>
      <c r="V30" s="705" t="s">
        <v>18</v>
      </c>
      <c r="W30" s="706">
        <f t="shared" si="14"/>
        <v>100</v>
      </c>
      <c r="X30" s="1355"/>
      <c r="Y30" s="3728"/>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735"/>
      <c r="Q31" s="1352">
        <f t="shared" si="11"/>
        <v>111</v>
      </c>
      <c r="R31" s="705" t="s">
        <v>18</v>
      </c>
      <c r="S31" s="706">
        <f t="shared" si="12"/>
        <v>100</v>
      </c>
      <c r="T31" s="705" t="s">
        <v>18</v>
      </c>
      <c r="U31" s="706">
        <f t="shared" si="13"/>
        <v>100</v>
      </c>
      <c r="V31" s="705" t="s">
        <v>18</v>
      </c>
      <c r="W31" s="706">
        <f t="shared" si="14"/>
        <v>100</v>
      </c>
      <c r="X31" s="1355"/>
      <c r="Y31" s="3728"/>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729" t="s">
        <v>1696</v>
      </c>
      <c r="Q32" s="1352" t="str">
        <f t="shared" si="11"/>
        <v>建筑类型</v>
      </c>
      <c r="R32" s="705" t="s">
        <v>18</v>
      </c>
      <c r="S32" s="706">
        <f t="shared" si="12"/>
        <v>100</v>
      </c>
      <c r="T32" s="705" t="s">
        <v>18</v>
      </c>
      <c r="U32" s="706">
        <f t="shared" si="13"/>
        <v>100</v>
      </c>
      <c r="V32" s="705" t="s">
        <v>18</v>
      </c>
      <c r="W32" s="706">
        <f t="shared" si="14"/>
        <v>100</v>
      </c>
      <c r="X32" s="1355"/>
      <c r="Y32" s="3732"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730"/>
      <c r="Q33" s="707" t="str">
        <f t="shared" si="11"/>
        <v>项目建筑规模</v>
      </c>
      <c r="R33" s="708" t="s">
        <v>18</v>
      </c>
      <c r="S33" s="709" t="e">
        <f t="shared" si="12"/>
        <v>#N/A</v>
      </c>
      <c r="T33" s="708" t="s">
        <v>18</v>
      </c>
      <c r="U33" s="709" t="e">
        <f t="shared" si="13"/>
        <v>#N/A</v>
      </c>
      <c r="V33" s="708" t="s">
        <v>18</v>
      </c>
      <c r="W33" s="709" t="e">
        <f t="shared" si="14"/>
        <v>#N/A</v>
      </c>
      <c r="X33" s="710"/>
      <c r="Y33" s="3732"/>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730"/>
      <c r="Q34" s="1352" t="str">
        <f t="shared" si="11"/>
        <v>建筑结构</v>
      </c>
      <c r="R34" s="705" t="s">
        <v>18</v>
      </c>
      <c r="S34" s="706">
        <f t="shared" si="12"/>
        <v>100</v>
      </c>
      <c r="T34" s="705" t="s">
        <v>18</v>
      </c>
      <c r="U34" s="706">
        <f t="shared" si="13"/>
        <v>100</v>
      </c>
      <c r="V34" s="705" t="s">
        <v>18</v>
      </c>
      <c r="W34" s="706">
        <f t="shared" si="14"/>
        <v>100</v>
      </c>
      <c r="X34" s="1355"/>
      <c r="Y34" s="3732"/>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730"/>
      <c r="Q35" s="1352" t="str">
        <f t="shared" si="11"/>
        <v>建筑品质</v>
      </c>
      <c r="R35" s="705" t="s">
        <v>18</v>
      </c>
      <c r="S35" s="706">
        <f t="shared" si="12"/>
        <v>100</v>
      </c>
      <c r="T35" s="705" t="s">
        <v>18</v>
      </c>
      <c r="U35" s="706">
        <f t="shared" si="13"/>
        <v>100</v>
      </c>
      <c r="V35" s="705" t="s">
        <v>18</v>
      </c>
      <c r="W35" s="706">
        <f t="shared" si="14"/>
        <v>100</v>
      </c>
      <c r="X35" s="1355"/>
      <c r="Y35" s="3732"/>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730"/>
      <c r="Q36" s="1352" t="str">
        <f t="shared" si="11"/>
        <v>公共部分装修</v>
      </c>
      <c r="R36" s="705" t="s">
        <v>18</v>
      </c>
      <c r="S36" s="706">
        <f t="shared" si="12"/>
        <v>100</v>
      </c>
      <c r="T36" s="705" t="s">
        <v>18</v>
      </c>
      <c r="U36" s="706">
        <f t="shared" si="13"/>
        <v>100</v>
      </c>
      <c r="V36" s="705" t="s">
        <v>18</v>
      </c>
      <c r="W36" s="706">
        <f t="shared" si="14"/>
        <v>100</v>
      </c>
      <c r="X36" s="1355"/>
      <c r="Y36" s="3732"/>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730"/>
      <c r="Q37" s="1343" t="str">
        <f t="shared" si="11"/>
        <v>成新度</v>
      </c>
      <c r="R37" s="701" t="s">
        <v>18</v>
      </c>
      <c r="S37" s="702" t="e">
        <f t="shared" si="12"/>
        <v>#N/A</v>
      </c>
      <c r="T37" s="701" t="s">
        <v>18</v>
      </c>
      <c r="U37" s="702" t="e">
        <f t="shared" si="13"/>
        <v>#N/A</v>
      </c>
      <c r="V37" s="701" t="s">
        <v>18</v>
      </c>
      <c r="W37" s="702" t="e">
        <f t="shared" si="14"/>
        <v>#N/A</v>
      </c>
      <c r="X37" s="703"/>
      <c r="Y37" s="3732"/>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730" t="s">
        <v>1696</v>
      </c>
      <c r="Q38" s="1352" t="str">
        <f t="shared" si="11"/>
        <v>物业管理</v>
      </c>
      <c r="R38" s="705" t="s">
        <v>18</v>
      </c>
      <c r="S38" s="706">
        <f t="shared" si="12"/>
        <v>100</v>
      </c>
      <c r="T38" s="705" t="s">
        <v>18</v>
      </c>
      <c r="U38" s="706">
        <f t="shared" si="13"/>
        <v>100</v>
      </c>
      <c r="V38" s="705" t="s">
        <v>18</v>
      </c>
      <c r="W38" s="706">
        <f t="shared" si="14"/>
        <v>100</v>
      </c>
      <c r="X38" s="1355"/>
      <c r="Y38" s="3732"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730"/>
      <c r="Q39" s="1352" t="str">
        <f t="shared" si="11"/>
        <v>市政基础设施</v>
      </c>
      <c r="R39" s="705" t="s">
        <v>18</v>
      </c>
      <c r="S39" s="706">
        <f t="shared" si="12"/>
        <v>100</v>
      </c>
      <c r="T39" s="705" t="s">
        <v>18</v>
      </c>
      <c r="U39" s="706">
        <f t="shared" si="13"/>
        <v>100</v>
      </c>
      <c r="V39" s="705" t="s">
        <v>18</v>
      </c>
      <c r="W39" s="706">
        <f t="shared" si="14"/>
        <v>100</v>
      </c>
      <c r="X39" s="1355"/>
      <c r="Y39" s="3732"/>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730"/>
      <c r="Q40" s="1352" t="str">
        <f t="shared" si="11"/>
        <v>房型</v>
      </c>
      <c r="R40" s="705" t="s">
        <v>18</v>
      </c>
      <c r="S40" s="706">
        <f t="shared" si="12"/>
        <v>100</v>
      </c>
      <c r="T40" s="705" t="s">
        <v>18</v>
      </c>
      <c r="U40" s="706">
        <f t="shared" si="13"/>
        <v>100</v>
      </c>
      <c r="V40" s="705" t="s">
        <v>18</v>
      </c>
      <c r="W40" s="706">
        <f t="shared" si="14"/>
        <v>100</v>
      </c>
      <c r="X40" s="1355"/>
      <c r="Y40" s="3732"/>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730"/>
      <c r="Q41" s="707" t="str">
        <f t="shared" si="11"/>
        <v>单套/主力户型建筑面积</v>
      </c>
      <c r="R41" s="708" t="s">
        <v>18</v>
      </c>
      <c r="S41" s="709">
        <f t="shared" si="12"/>
        <v>100</v>
      </c>
      <c r="T41" s="708" t="s">
        <v>18</v>
      </c>
      <c r="U41" s="709">
        <f t="shared" si="13"/>
        <v>100</v>
      </c>
      <c r="V41" s="708" t="s">
        <v>18</v>
      </c>
      <c r="W41" s="709">
        <f t="shared" si="14"/>
        <v>100</v>
      </c>
      <c r="X41" s="710"/>
      <c r="Y41" s="3732"/>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730"/>
      <c r="Q42" s="1352" t="str">
        <f t="shared" si="11"/>
        <v>内部装修</v>
      </c>
      <c r="R42" s="705" t="s">
        <v>18</v>
      </c>
      <c r="S42" s="706">
        <f t="shared" si="12"/>
        <v>100</v>
      </c>
      <c r="T42" s="705" t="s">
        <v>18</v>
      </c>
      <c r="U42" s="706">
        <f t="shared" si="13"/>
        <v>100</v>
      </c>
      <c r="V42" s="705" t="s">
        <v>18</v>
      </c>
      <c r="W42" s="706">
        <f t="shared" si="14"/>
        <v>100</v>
      </c>
      <c r="X42" s="1355"/>
      <c r="Y42" s="3732"/>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730"/>
      <c r="Q43" s="1352" t="str">
        <f t="shared" si="11"/>
        <v>内部装修维护情况</v>
      </c>
      <c r="R43" s="705" t="s">
        <v>18</v>
      </c>
      <c r="S43" s="706">
        <f t="shared" si="12"/>
        <v>100</v>
      </c>
      <c r="T43" s="705" t="s">
        <v>18</v>
      </c>
      <c r="U43" s="706">
        <f t="shared" si="13"/>
        <v>100</v>
      </c>
      <c r="V43" s="705" t="s">
        <v>18</v>
      </c>
      <c r="W43" s="706">
        <f t="shared" si="14"/>
        <v>100</v>
      </c>
      <c r="X43" s="1355"/>
      <c r="Y43" s="3732"/>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730"/>
      <c r="Q44" s="1343">
        <f t="shared" si="11"/>
        <v>111</v>
      </c>
      <c r="R44" s="701" t="s">
        <v>18</v>
      </c>
      <c r="S44" s="702">
        <f t="shared" si="12"/>
        <v>100</v>
      </c>
      <c r="T44" s="701" t="s">
        <v>18</v>
      </c>
      <c r="U44" s="702">
        <f t="shared" si="13"/>
        <v>100</v>
      </c>
      <c r="V44" s="701" t="s">
        <v>18</v>
      </c>
      <c r="W44" s="702">
        <f t="shared" si="14"/>
        <v>100</v>
      </c>
      <c r="X44" s="703"/>
      <c r="Y44" s="3732"/>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730"/>
      <c r="Q45" s="1352">
        <f t="shared" si="11"/>
        <v>111</v>
      </c>
      <c r="R45" s="705" t="s">
        <v>18</v>
      </c>
      <c r="S45" s="706">
        <f t="shared" si="12"/>
        <v>100</v>
      </c>
      <c r="T45" s="705" t="s">
        <v>18</v>
      </c>
      <c r="U45" s="706">
        <f t="shared" si="13"/>
        <v>100</v>
      </c>
      <c r="V45" s="705" t="s">
        <v>18</v>
      </c>
      <c r="W45" s="706">
        <f t="shared" si="14"/>
        <v>100</v>
      </c>
      <c r="X45" s="1355"/>
      <c r="Y45" s="3732"/>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731"/>
      <c r="Q46" s="1352">
        <f t="shared" si="11"/>
        <v>111</v>
      </c>
      <c r="R46" s="705" t="s">
        <v>17</v>
      </c>
      <c r="S46" s="706">
        <f t="shared" si="12"/>
        <v>100</v>
      </c>
      <c r="T46" s="705" t="s">
        <v>17</v>
      </c>
      <c r="U46" s="706">
        <f t="shared" si="13"/>
        <v>100</v>
      </c>
      <c r="V46" s="705" t="s">
        <v>17</v>
      </c>
      <c r="W46" s="706">
        <f t="shared" si="14"/>
        <v>100</v>
      </c>
      <c r="X46" s="1355"/>
      <c r="Y46" s="3733"/>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725" t="str">
        <f>A47</f>
        <v>成交单价（元/平方米）</v>
      </c>
      <c r="Q47" s="3725"/>
      <c r="R47" s="3726">
        <f>E47</f>
        <v>0</v>
      </c>
      <c r="S47" s="3726"/>
      <c r="T47" s="3726">
        <f>G47</f>
        <v>0</v>
      </c>
      <c r="U47" s="3726"/>
      <c r="V47" s="3726">
        <f>I47</f>
        <v>0</v>
      </c>
      <c r="W47" s="3726"/>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725" t="str">
        <f>A48</f>
        <v>比较价值（元/平方米）</v>
      </c>
      <c r="Q48" s="3725"/>
      <c r="R48" s="3726" t="e">
        <f>IF(F1="售价",ROUND(PRODUCT(R47,AA7:AA46),0),ROUND(PRODUCT(R47,AA7:AA46),1))</f>
        <v>#DIV/0!</v>
      </c>
      <c r="S48" s="3726"/>
      <c r="T48" s="3726" t="e">
        <f>IF(F1="售价",ROUND(PRODUCT(T47,AB7:AB46),0),ROUND(PRODUCT(T47,AB7:AB46),1))</f>
        <v>#DIV/0!</v>
      </c>
      <c r="U48" s="3726"/>
      <c r="V48" s="3726" t="e">
        <f>IF(F1="售价",ROUND(PRODUCT(V47,AC7:AC46),0),ROUND(PRODUCT(V47,AC7:AC46),1))</f>
        <v>#DIV/0!</v>
      </c>
      <c r="W48" s="3726"/>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722" t="str">
        <f>A49</f>
        <v>估价对象XX用房的比较价值（楼面单价，元/平方米）</v>
      </c>
      <c r="Q49" s="3723"/>
      <c r="R49" s="3724" t="e">
        <f>IF(F1="售价",ROUND(IF(D48="简单平均",AVERAGE(R48:V48),R48*F48+T48*H48+V48*J48),0),ROUND(IF(D48="简单平均",AVERAGE(R48:V48),R48*F48+T48*H48+V48*J48),1))</f>
        <v>#DIV/0!</v>
      </c>
      <c r="S49" s="3724"/>
      <c r="T49" s="3724"/>
      <c r="U49" s="3724"/>
      <c r="V49" s="3724"/>
      <c r="W49" s="3724"/>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2025-7</v>
      </c>
      <c r="D58" s="1185">
        <f>EDATE(C58,-1)</f>
        <v>45809</v>
      </c>
      <c r="E58" s="1185">
        <f>EDATE(D58,-1)</f>
        <v>45778</v>
      </c>
      <c r="F58" s="1185">
        <f t="shared" ref="F58:O58" si="19">EDATE(E58,-1)</f>
        <v>45748</v>
      </c>
      <c r="G58" s="1185">
        <f t="shared" si="19"/>
        <v>45717</v>
      </c>
      <c r="H58" s="1185">
        <f t="shared" si="19"/>
        <v>45689</v>
      </c>
      <c r="I58" s="1185">
        <f t="shared" si="19"/>
        <v>45658</v>
      </c>
      <c r="J58" s="1185">
        <f t="shared" si="19"/>
        <v>45627</v>
      </c>
      <c r="K58" s="1185">
        <f t="shared" si="19"/>
        <v>45597</v>
      </c>
      <c r="L58" s="1185">
        <f t="shared" si="19"/>
        <v>45566</v>
      </c>
      <c r="M58" s="1185">
        <f t="shared" si="19"/>
        <v>45536</v>
      </c>
      <c r="N58" s="1185">
        <f t="shared" si="19"/>
        <v>45505</v>
      </c>
      <c r="O58" s="1185">
        <f t="shared" si="19"/>
        <v>45474</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I17" sqref="I17"/>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t="e">
        <f>IF(C2="——",C49,ROUND(B2*10000/D3,0))</f>
        <v>#DIV/0!</v>
      </c>
      <c r="C3" s="354" t="s">
        <v>1768</v>
      </c>
      <c r="D3" s="353">
        <f>IF(D1="",'数据-汇总表'!E3,SUMIF('数据-汇总表'!$C19:$C33,D1,'数据-汇总表'!$E19:$E33))</f>
        <v>0</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708" t="s">
        <v>1770</v>
      </c>
      <c r="D4" s="3709"/>
      <c r="E4" s="3710" t="s">
        <v>1771</v>
      </c>
      <c r="F4" s="3711"/>
      <c r="G4" s="3708" t="s">
        <v>1772</v>
      </c>
      <c r="H4" s="3709"/>
      <c r="I4" s="3708" t="s">
        <v>1773</v>
      </c>
      <c r="J4" s="3709"/>
      <c r="K4" s="559" t="s">
        <v>1774</v>
      </c>
      <c r="L4" s="2715"/>
      <c r="M4" s="2716"/>
      <c r="N4" s="2716"/>
      <c r="O4" s="2716"/>
      <c r="P4" s="3712" t="s">
        <v>1775</v>
      </c>
      <c r="Q4" s="3713"/>
      <c r="R4" s="3695" t="s">
        <v>1771</v>
      </c>
      <c r="S4" s="3696"/>
      <c r="T4" s="3695" t="s">
        <v>1772</v>
      </c>
      <c r="U4" s="3696"/>
      <c r="V4" s="3720" t="s">
        <v>1773</v>
      </c>
      <c r="W4" s="3720"/>
      <c r="X4" s="1355"/>
      <c r="Y4" s="3695" t="s">
        <v>1775</v>
      </c>
      <c r="Z4" s="3696"/>
      <c r="AA4" s="3690" t="s">
        <v>1771</v>
      </c>
      <c r="AB4" s="3720" t="s">
        <v>1772</v>
      </c>
      <c r="AC4" s="3690" t="s">
        <v>1773</v>
      </c>
    </row>
    <row r="5" spans="1:29" ht="15">
      <c r="A5" s="358"/>
      <c r="B5" s="359"/>
      <c r="C5" s="3701" t="s">
        <v>1673</v>
      </c>
      <c r="D5" s="3702"/>
      <c r="E5" s="3699" t="s">
        <v>1674</v>
      </c>
      <c r="F5" s="3700"/>
      <c r="G5" s="3701" t="s">
        <v>1675</v>
      </c>
      <c r="H5" s="3702"/>
      <c r="I5" s="3701" t="s">
        <v>1676</v>
      </c>
      <c r="J5" s="3702"/>
      <c r="K5" s="559"/>
      <c r="L5" s="2715"/>
      <c r="M5" s="2716"/>
      <c r="N5" s="2716"/>
      <c r="O5" s="2716"/>
      <c r="P5" s="3714"/>
      <c r="Q5" s="3715"/>
      <c r="R5" s="3697"/>
      <c r="S5" s="3698"/>
      <c r="T5" s="3697"/>
      <c r="U5" s="3698"/>
      <c r="V5" s="3720"/>
      <c r="W5" s="3720"/>
      <c r="X5" s="1355"/>
      <c r="Y5" s="3697"/>
      <c r="Z5" s="3698"/>
      <c r="AA5" s="3691"/>
      <c r="AB5" s="3720"/>
      <c r="AC5" s="3691"/>
    </row>
    <row r="6" spans="1:29" ht="15.75" thickBot="1">
      <c r="A6" s="360"/>
      <c r="B6" s="361"/>
      <c r="C6" s="3703" t="s">
        <v>1677</v>
      </c>
      <c r="D6" s="3704"/>
      <c r="E6" s="3705" t="s">
        <v>1677</v>
      </c>
      <c r="F6" s="3706"/>
      <c r="G6" s="3703" t="s">
        <v>1677</v>
      </c>
      <c r="H6" s="3704"/>
      <c r="I6" s="3703" t="s">
        <v>1677</v>
      </c>
      <c r="J6" s="3704"/>
      <c r="K6" s="559" t="s">
        <v>1678</v>
      </c>
      <c r="L6" s="2715"/>
      <c r="M6" s="2716"/>
      <c r="N6" s="2716"/>
      <c r="O6" s="2716"/>
      <c r="P6" s="3716"/>
      <c r="Q6" s="3717"/>
      <c r="R6" s="3697"/>
      <c r="S6" s="3698"/>
      <c r="T6" s="3718"/>
      <c r="U6" s="3719"/>
      <c r="V6" s="3720"/>
      <c r="W6" s="3720"/>
      <c r="X6" s="1355"/>
      <c r="Y6" s="3718"/>
      <c r="Z6" s="3719"/>
      <c r="AA6" s="3692"/>
      <c r="AB6" s="3720"/>
      <c r="AC6" s="3692"/>
    </row>
    <row r="7" spans="1:29" s="108" customFormat="1" ht="15.75" thickBot="1">
      <c r="A7" s="362" t="s">
        <v>1679</v>
      </c>
      <c r="B7" s="363"/>
      <c r="C7" s="364">
        <f>'数据-取费表'!B2</f>
        <v>45861</v>
      </c>
      <c r="D7" s="365">
        <v>100</v>
      </c>
      <c r="E7" s="366"/>
      <c r="F7" s="367">
        <f>SUMIF(58:58,YEAR(E7)&amp;"-"&amp;MONTH(E7),59:59)</f>
        <v>0</v>
      </c>
      <c r="G7" s="366"/>
      <c r="H7" s="365">
        <f>SUMIF(58:58,YEAR(G7)&amp;"-"&amp;MONTH(G7),59:59)</f>
        <v>0</v>
      </c>
      <c r="I7" s="366"/>
      <c r="J7" s="365">
        <f>SUMIF(58:58,YEAR(I7)&amp;"-"&amp;MONTH(I7),59:59)</f>
        <v>0</v>
      </c>
      <c r="K7" s="560"/>
      <c r="L7" s="2717"/>
      <c r="M7" s="2718"/>
      <c r="N7" s="2718"/>
      <c r="O7" s="2718"/>
      <c r="P7" s="3693" t="s">
        <v>1680</v>
      </c>
      <c r="Q7" s="3721"/>
      <c r="R7" s="701" t="s">
        <v>14</v>
      </c>
      <c r="S7" s="702">
        <f t="shared" ref="S7:S15" si="0">F7</f>
        <v>0</v>
      </c>
      <c r="T7" s="701" t="s">
        <v>14</v>
      </c>
      <c r="U7" s="702">
        <f t="shared" ref="U7:U15" si="1">H7</f>
        <v>0</v>
      </c>
      <c r="V7" s="701" t="s">
        <v>14</v>
      </c>
      <c r="W7" s="702">
        <f t="shared" ref="W7:W15" si="2">J7</f>
        <v>0</v>
      </c>
      <c r="X7" s="703"/>
      <c r="Y7" s="3693" t="s">
        <v>1680</v>
      </c>
      <c r="Z7" s="3694"/>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693" t="s">
        <v>1683</v>
      </c>
      <c r="Q8" s="3694"/>
      <c r="R8" s="701" t="s">
        <v>14</v>
      </c>
      <c r="S8" s="702">
        <f t="shared" si="0"/>
        <v>100</v>
      </c>
      <c r="T8" s="701" t="s">
        <v>14</v>
      </c>
      <c r="U8" s="702">
        <f t="shared" si="1"/>
        <v>100</v>
      </c>
      <c r="V8" s="701" t="s">
        <v>14</v>
      </c>
      <c r="W8" s="702">
        <f t="shared" si="2"/>
        <v>100</v>
      </c>
      <c r="X8" s="703"/>
      <c r="Y8" s="3693" t="s">
        <v>1683</v>
      </c>
      <c r="Z8" s="3694"/>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707" t="s">
        <v>1686</v>
      </c>
      <c r="Q9" s="1343" t="str">
        <f t="shared" ref="Q9:Q15" si="6">B9</f>
        <v>用途</v>
      </c>
      <c r="R9" s="701" t="s">
        <v>14</v>
      </c>
      <c r="S9" s="702">
        <f t="shared" si="0"/>
        <v>100</v>
      </c>
      <c r="T9" s="701" t="s">
        <v>14</v>
      </c>
      <c r="U9" s="702">
        <f t="shared" si="1"/>
        <v>100</v>
      </c>
      <c r="V9" s="701" t="s">
        <v>14</v>
      </c>
      <c r="W9" s="702">
        <f t="shared" si="2"/>
        <v>100</v>
      </c>
      <c r="X9" s="703"/>
      <c r="Y9" s="3637"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707"/>
      <c r="Q10" s="1343" t="str">
        <f t="shared" si="6"/>
        <v>土地使用年限（年）</v>
      </c>
      <c r="R10" s="701" t="s">
        <v>14</v>
      </c>
      <c r="S10" s="702">
        <f t="shared" si="0"/>
        <v>100</v>
      </c>
      <c r="T10" s="701" t="s">
        <v>14</v>
      </c>
      <c r="U10" s="702">
        <f t="shared" si="1"/>
        <v>100</v>
      </c>
      <c r="V10" s="701" t="s">
        <v>14</v>
      </c>
      <c r="W10" s="702">
        <f t="shared" si="2"/>
        <v>100</v>
      </c>
      <c r="X10" s="703"/>
      <c r="Y10" s="3637"/>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707"/>
      <c r="Q11" s="1343" t="str">
        <f t="shared" si="6"/>
        <v>容积率</v>
      </c>
      <c r="R11" s="701" t="s">
        <v>14</v>
      </c>
      <c r="S11" s="702" t="e">
        <f t="shared" si="0"/>
        <v>#N/A</v>
      </c>
      <c r="T11" s="701" t="s">
        <v>14</v>
      </c>
      <c r="U11" s="702" t="e">
        <f t="shared" si="1"/>
        <v>#N/A</v>
      </c>
      <c r="V11" s="701" t="s">
        <v>14</v>
      </c>
      <c r="W11" s="702" t="e">
        <f t="shared" si="2"/>
        <v>#N/A</v>
      </c>
      <c r="X11" s="703"/>
      <c r="Y11" s="3637"/>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707"/>
      <c r="Q12" s="1343">
        <f t="shared" si="6"/>
        <v>111</v>
      </c>
      <c r="R12" s="701" t="s">
        <v>14</v>
      </c>
      <c r="S12" s="702">
        <f t="shared" si="0"/>
        <v>100</v>
      </c>
      <c r="T12" s="701" t="s">
        <v>14</v>
      </c>
      <c r="U12" s="702">
        <f t="shared" si="1"/>
        <v>100</v>
      </c>
      <c r="V12" s="701" t="s">
        <v>14</v>
      </c>
      <c r="W12" s="702">
        <f t="shared" si="2"/>
        <v>100</v>
      </c>
      <c r="X12" s="703"/>
      <c r="Y12" s="3637"/>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707"/>
      <c r="Q13" s="1343">
        <f t="shared" si="6"/>
        <v>111</v>
      </c>
      <c r="R13" s="701" t="s">
        <v>14</v>
      </c>
      <c r="S13" s="702">
        <f t="shared" si="0"/>
        <v>100</v>
      </c>
      <c r="T13" s="701" t="s">
        <v>14</v>
      </c>
      <c r="U13" s="702">
        <f t="shared" si="1"/>
        <v>100</v>
      </c>
      <c r="V13" s="701" t="s">
        <v>14</v>
      </c>
      <c r="W13" s="702">
        <f t="shared" si="2"/>
        <v>100</v>
      </c>
      <c r="X13" s="703"/>
      <c r="Y13" s="3637"/>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707"/>
      <c r="Q14" s="1343">
        <f t="shared" si="6"/>
        <v>111</v>
      </c>
      <c r="R14" s="701" t="s">
        <v>14</v>
      </c>
      <c r="S14" s="702">
        <f t="shared" si="0"/>
        <v>100</v>
      </c>
      <c r="T14" s="701" t="s">
        <v>14</v>
      </c>
      <c r="U14" s="702">
        <f t="shared" si="1"/>
        <v>100</v>
      </c>
      <c r="V14" s="701" t="s">
        <v>14</v>
      </c>
      <c r="W14" s="702">
        <f t="shared" si="2"/>
        <v>100</v>
      </c>
      <c r="X14" s="703"/>
      <c r="Y14" s="3637"/>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734" t="s">
        <v>1691</v>
      </c>
      <c r="Q15" s="1352" t="str">
        <f t="shared" si="6"/>
        <v>商业繁华度</v>
      </c>
      <c r="R15" s="705" t="s">
        <v>14</v>
      </c>
      <c r="S15" s="706">
        <f t="shared" si="0"/>
        <v>100</v>
      </c>
      <c r="T15" s="705" t="s">
        <v>14</v>
      </c>
      <c r="U15" s="706">
        <f t="shared" si="1"/>
        <v>100</v>
      </c>
      <c r="V15" s="705" t="s">
        <v>14</v>
      </c>
      <c r="W15" s="706">
        <f t="shared" si="2"/>
        <v>100</v>
      </c>
      <c r="X15" s="1355"/>
      <c r="Y15" s="3727"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735"/>
      <c r="Q16" s="1352"/>
      <c r="R16" s="705"/>
      <c r="S16" s="706"/>
      <c r="T16" s="705"/>
      <c r="U16" s="706"/>
      <c r="V16" s="705"/>
      <c r="W16" s="706"/>
      <c r="X16" s="1355"/>
      <c r="Y16" s="3728"/>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735"/>
      <c r="Q17" s="1352" t="str">
        <f>B17</f>
        <v>交通便捷度</v>
      </c>
      <c r="R17" s="705" t="s">
        <v>14</v>
      </c>
      <c r="S17" s="706">
        <f>F17</f>
        <v>100</v>
      </c>
      <c r="T17" s="705" t="s">
        <v>14</v>
      </c>
      <c r="U17" s="706">
        <f>H17</f>
        <v>100</v>
      </c>
      <c r="V17" s="705" t="s">
        <v>14</v>
      </c>
      <c r="W17" s="706">
        <f>J17</f>
        <v>100</v>
      </c>
      <c r="X17" s="1355"/>
      <c r="Y17" s="3728"/>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735"/>
      <c r="Q18" s="1352"/>
      <c r="R18" s="705"/>
      <c r="S18" s="706"/>
      <c r="T18" s="705"/>
      <c r="U18" s="706"/>
      <c r="V18" s="705"/>
      <c r="W18" s="706"/>
      <c r="X18" s="1355"/>
      <c r="Y18" s="3728"/>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735"/>
      <c r="Q19" s="1352" t="str">
        <f>B19</f>
        <v>公共配套设施</v>
      </c>
      <c r="R19" s="705" t="s">
        <v>14</v>
      </c>
      <c r="S19" s="706">
        <f>F19</f>
        <v>100</v>
      </c>
      <c r="T19" s="705" t="s">
        <v>14</v>
      </c>
      <c r="U19" s="706">
        <f>H19</f>
        <v>100</v>
      </c>
      <c r="V19" s="705" t="s">
        <v>14</v>
      </c>
      <c r="W19" s="706">
        <f>J19</f>
        <v>100</v>
      </c>
      <c r="X19" s="1355"/>
      <c r="Y19" s="3728"/>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735"/>
      <c r="Q20" s="1352"/>
      <c r="R20" s="705"/>
      <c r="S20" s="706"/>
      <c r="T20" s="705"/>
      <c r="U20" s="706"/>
      <c r="V20" s="705"/>
      <c r="W20" s="706"/>
      <c r="X20" s="1355"/>
      <c r="Y20" s="3728"/>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735"/>
      <c r="Q21" s="1352" t="str">
        <f>B21</f>
        <v>基础设施水平</v>
      </c>
      <c r="R21" s="705" t="s">
        <v>14</v>
      </c>
      <c r="S21" s="706">
        <f>F21</f>
        <v>100</v>
      </c>
      <c r="T21" s="705" t="s">
        <v>14</v>
      </c>
      <c r="U21" s="706">
        <f>H21</f>
        <v>100</v>
      </c>
      <c r="V21" s="705" t="s">
        <v>14</v>
      </c>
      <c r="W21" s="706">
        <f>J21</f>
        <v>100</v>
      </c>
      <c r="X21" s="1355"/>
      <c r="Y21" s="3728"/>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735"/>
      <c r="Q22" s="1352"/>
      <c r="R22" s="705"/>
      <c r="S22" s="706"/>
      <c r="T22" s="705"/>
      <c r="U22" s="706"/>
      <c r="V22" s="705"/>
      <c r="W22" s="706"/>
      <c r="X22" s="1355"/>
      <c r="Y22" s="3728"/>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735"/>
      <c r="Q23" s="1352" t="str">
        <f>B23</f>
        <v>自然及人文环境</v>
      </c>
      <c r="R23" s="705" t="s">
        <v>14</v>
      </c>
      <c r="S23" s="706">
        <f>F23</f>
        <v>100</v>
      </c>
      <c r="T23" s="705" t="s">
        <v>14</v>
      </c>
      <c r="U23" s="706">
        <f>H23</f>
        <v>100</v>
      </c>
      <c r="V23" s="705" t="s">
        <v>14</v>
      </c>
      <c r="W23" s="706">
        <f>J23</f>
        <v>100</v>
      </c>
      <c r="X23" s="1355"/>
      <c r="Y23" s="3728"/>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735"/>
      <c r="Q24" s="1352"/>
      <c r="R24" s="705"/>
      <c r="S24" s="706"/>
      <c r="T24" s="705"/>
      <c r="U24" s="706"/>
      <c r="V24" s="705"/>
      <c r="W24" s="706"/>
      <c r="X24" s="1355"/>
      <c r="Y24" s="3728"/>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735"/>
      <c r="Q25" s="1352" t="str">
        <f t="shared" ref="Q25:Q46" si="11">B25</f>
        <v>临街状况</v>
      </c>
      <c r="R25" s="705" t="s">
        <v>14</v>
      </c>
      <c r="S25" s="706">
        <f>F25</f>
        <v>100</v>
      </c>
      <c r="T25" s="705" t="s">
        <v>14</v>
      </c>
      <c r="U25" s="706">
        <f>H25</f>
        <v>100</v>
      </c>
      <c r="V25" s="705" t="s">
        <v>14</v>
      </c>
      <c r="W25" s="706">
        <f>J25</f>
        <v>100</v>
      </c>
      <c r="X25" s="1355"/>
      <c r="Y25" s="3728"/>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735"/>
      <c r="Q26" s="1352" t="str">
        <f t="shared" si="11"/>
        <v>平面位置/可视性</v>
      </c>
      <c r="R26" s="705" t="s">
        <v>14</v>
      </c>
      <c r="S26" s="706">
        <f>F26</f>
        <v>100</v>
      </c>
      <c r="T26" s="705" t="s">
        <v>14</v>
      </c>
      <c r="U26" s="706">
        <f>H26</f>
        <v>100</v>
      </c>
      <c r="V26" s="705" t="s">
        <v>14</v>
      </c>
      <c r="W26" s="706">
        <f>J26</f>
        <v>100</v>
      </c>
      <c r="X26" s="1355"/>
      <c r="Y26" s="3728"/>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735"/>
      <c r="Q27" s="1343" t="str">
        <f t="shared" si="11"/>
        <v>人流量</v>
      </c>
      <c r="R27" s="701" t="s">
        <v>14</v>
      </c>
      <c r="S27" s="702">
        <f>F27</f>
        <v>100</v>
      </c>
      <c r="T27" s="701" t="s">
        <v>14</v>
      </c>
      <c r="U27" s="702">
        <f>H27</f>
        <v>100</v>
      </c>
      <c r="V27" s="701" t="s">
        <v>14</v>
      </c>
      <c r="W27" s="702">
        <f>J27</f>
        <v>100</v>
      </c>
      <c r="X27" s="703"/>
      <c r="Y27" s="3728"/>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735"/>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728"/>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735"/>
      <c r="Q29" s="1352">
        <f t="shared" si="11"/>
        <v>111</v>
      </c>
      <c r="R29" s="705" t="s">
        <v>14</v>
      </c>
      <c r="S29" s="706">
        <f t="shared" si="12"/>
        <v>100</v>
      </c>
      <c r="T29" s="705" t="s">
        <v>14</v>
      </c>
      <c r="U29" s="706">
        <f t="shared" si="13"/>
        <v>100</v>
      </c>
      <c r="V29" s="705" t="s">
        <v>14</v>
      </c>
      <c r="W29" s="706">
        <f t="shared" si="14"/>
        <v>100</v>
      </c>
      <c r="X29" s="1355"/>
      <c r="Y29" s="3728"/>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735"/>
      <c r="Q30" s="1352">
        <f t="shared" si="11"/>
        <v>111</v>
      </c>
      <c r="R30" s="705" t="s">
        <v>14</v>
      </c>
      <c r="S30" s="706">
        <f t="shared" si="12"/>
        <v>100</v>
      </c>
      <c r="T30" s="705" t="s">
        <v>14</v>
      </c>
      <c r="U30" s="706">
        <f t="shared" si="13"/>
        <v>100</v>
      </c>
      <c r="V30" s="705" t="s">
        <v>14</v>
      </c>
      <c r="W30" s="706">
        <f t="shared" si="14"/>
        <v>100</v>
      </c>
      <c r="X30" s="1355"/>
      <c r="Y30" s="3728"/>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735"/>
      <c r="Q31" s="1352">
        <f t="shared" si="11"/>
        <v>111</v>
      </c>
      <c r="R31" s="705" t="s">
        <v>14</v>
      </c>
      <c r="S31" s="706">
        <f t="shared" si="12"/>
        <v>100</v>
      </c>
      <c r="T31" s="705" t="s">
        <v>14</v>
      </c>
      <c r="U31" s="706">
        <f t="shared" si="13"/>
        <v>100</v>
      </c>
      <c r="V31" s="705" t="s">
        <v>14</v>
      </c>
      <c r="W31" s="706">
        <f t="shared" si="14"/>
        <v>100</v>
      </c>
      <c r="X31" s="1355"/>
      <c r="Y31" s="3728"/>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729" t="s">
        <v>1696</v>
      </c>
      <c r="Q32" s="1352" t="str">
        <f t="shared" si="11"/>
        <v>商业类型</v>
      </c>
      <c r="R32" s="705" t="s">
        <v>14</v>
      </c>
      <c r="S32" s="706">
        <f t="shared" si="12"/>
        <v>100</v>
      </c>
      <c r="T32" s="705" t="s">
        <v>14</v>
      </c>
      <c r="U32" s="706">
        <f t="shared" si="13"/>
        <v>100</v>
      </c>
      <c r="V32" s="705" t="s">
        <v>14</v>
      </c>
      <c r="W32" s="706">
        <f t="shared" si="14"/>
        <v>100</v>
      </c>
      <c r="X32" s="1355"/>
      <c r="Y32" s="3732"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730"/>
      <c r="Q33" s="707" t="str">
        <f t="shared" si="11"/>
        <v>项目建筑规模</v>
      </c>
      <c r="R33" s="708" t="s">
        <v>14</v>
      </c>
      <c r="S33" s="709" t="e">
        <f t="shared" si="12"/>
        <v>#N/A</v>
      </c>
      <c r="T33" s="708" t="s">
        <v>14</v>
      </c>
      <c r="U33" s="709" t="e">
        <f t="shared" si="13"/>
        <v>#N/A</v>
      </c>
      <c r="V33" s="708" t="s">
        <v>14</v>
      </c>
      <c r="W33" s="709" t="e">
        <f t="shared" si="14"/>
        <v>#N/A</v>
      </c>
      <c r="X33" s="710"/>
      <c r="Y33" s="3732"/>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730"/>
      <c r="Q34" s="1352" t="str">
        <f t="shared" si="11"/>
        <v>建筑结构</v>
      </c>
      <c r="R34" s="705" t="s">
        <v>14</v>
      </c>
      <c r="S34" s="706">
        <f t="shared" si="12"/>
        <v>100</v>
      </c>
      <c r="T34" s="705" t="s">
        <v>14</v>
      </c>
      <c r="U34" s="706">
        <f t="shared" si="13"/>
        <v>100</v>
      </c>
      <c r="V34" s="705" t="s">
        <v>14</v>
      </c>
      <c r="W34" s="706">
        <f t="shared" si="14"/>
        <v>100</v>
      </c>
      <c r="X34" s="1355"/>
      <c r="Y34" s="3732"/>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730"/>
      <c r="Q35" s="1352" t="str">
        <f t="shared" si="11"/>
        <v>公共部分装修</v>
      </c>
      <c r="R35" s="705" t="s">
        <v>14</v>
      </c>
      <c r="S35" s="706">
        <f t="shared" si="12"/>
        <v>100</v>
      </c>
      <c r="T35" s="705" t="s">
        <v>14</v>
      </c>
      <c r="U35" s="706">
        <f t="shared" si="13"/>
        <v>100</v>
      </c>
      <c r="V35" s="705" t="s">
        <v>14</v>
      </c>
      <c r="W35" s="706">
        <f t="shared" si="14"/>
        <v>100</v>
      </c>
      <c r="X35" s="1355"/>
      <c r="Y35" s="3732"/>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730"/>
      <c r="Q36" s="1352" t="str">
        <f t="shared" si="11"/>
        <v>成新度</v>
      </c>
      <c r="R36" s="705" t="s">
        <v>14</v>
      </c>
      <c r="S36" s="706" t="e">
        <f t="shared" si="12"/>
        <v>#N/A</v>
      </c>
      <c r="T36" s="705" t="s">
        <v>14</v>
      </c>
      <c r="U36" s="706" t="e">
        <f t="shared" si="13"/>
        <v>#N/A</v>
      </c>
      <c r="V36" s="705" t="s">
        <v>14</v>
      </c>
      <c r="W36" s="706" t="e">
        <f t="shared" si="14"/>
        <v>#N/A</v>
      </c>
      <c r="X36" s="1355"/>
      <c r="Y36" s="3732"/>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730"/>
      <c r="Q37" s="1343" t="str">
        <f t="shared" si="11"/>
        <v>市政基础设施</v>
      </c>
      <c r="R37" s="701" t="s">
        <v>14</v>
      </c>
      <c r="S37" s="702">
        <f t="shared" si="12"/>
        <v>100</v>
      </c>
      <c r="T37" s="701" t="s">
        <v>14</v>
      </c>
      <c r="U37" s="702">
        <f t="shared" si="13"/>
        <v>100</v>
      </c>
      <c r="V37" s="701" t="s">
        <v>14</v>
      </c>
      <c r="W37" s="702">
        <f t="shared" si="14"/>
        <v>100</v>
      </c>
      <c r="X37" s="703"/>
      <c r="Y37" s="3732"/>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730" t="s">
        <v>1696</v>
      </c>
      <c r="Q38" s="1352" t="str">
        <f t="shared" si="11"/>
        <v>业态</v>
      </c>
      <c r="R38" s="705" t="s">
        <v>14</v>
      </c>
      <c r="S38" s="706">
        <f t="shared" si="12"/>
        <v>100</v>
      </c>
      <c r="T38" s="705" t="s">
        <v>14</v>
      </c>
      <c r="U38" s="706">
        <f t="shared" si="13"/>
        <v>100</v>
      </c>
      <c r="V38" s="705" t="s">
        <v>14</v>
      </c>
      <c r="W38" s="706">
        <f t="shared" si="14"/>
        <v>100</v>
      </c>
      <c r="X38" s="1355"/>
      <c r="Y38" s="3732"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730"/>
      <c r="Q39" s="1352" t="str">
        <f t="shared" si="11"/>
        <v>层高</v>
      </c>
      <c r="R39" s="705" t="s">
        <v>14</v>
      </c>
      <c r="S39" s="706">
        <f t="shared" si="12"/>
        <v>100</v>
      </c>
      <c r="T39" s="705" t="s">
        <v>14</v>
      </c>
      <c r="U39" s="706">
        <f t="shared" si="13"/>
        <v>100</v>
      </c>
      <c r="V39" s="705" t="s">
        <v>14</v>
      </c>
      <c r="W39" s="706">
        <f t="shared" si="14"/>
        <v>100</v>
      </c>
      <c r="X39" s="1355"/>
      <c r="Y39" s="3732"/>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730"/>
      <c r="Q40" s="1352" t="str">
        <f t="shared" si="11"/>
        <v>单套建筑面积</v>
      </c>
      <c r="R40" s="705" t="s">
        <v>14</v>
      </c>
      <c r="S40" s="706">
        <f t="shared" si="12"/>
        <v>100</v>
      </c>
      <c r="T40" s="705" t="s">
        <v>14</v>
      </c>
      <c r="U40" s="706">
        <f t="shared" si="13"/>
        <v>100</v>
      </c>
      <c r="V40" s="705" t="s">
        <v>14</v>
      </c>
      <c r="W40" s="706">
        <f t="shared" si="14"/>
        <v>100</v>
      </c>
      <c r="X40" s="1355"/>
      <c r="Y40" s="3732"/>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730"/>
      <c r="Q41" s="707" t="str">
        <f t="shared" si="11"/>
        <v>进深比</v>
      </c>
      <c r="R41" s="708" t="s">
        <v>14</v>
      </c>
      <c r="S41" s="709">
        <f t="shared" si="12"/>
        <v>100</v>
      </c>
      <c r="T41" s="708" t="s">
        <v>14</v>
      </c>
      <c r="U41" s="709">
        <f t="shared" si="13"/>
        <v>100</v>
      </c>
      <c r="V41" s="708" t="s">
        <v>14</v>
      </c>
      <c r="W41" s="709">
        <f t="shared" si="14"/>
        <v>100</v>
      </c>
      <c r="X41" s="710"/>
      <c r="Y41" s="3732"/>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730"/>
      <c r="Q42" s="1352" t="str">
        <f t="shared" si="11"/>
        <v>内部装修</v>
      </c>
      <c r="R42" s="705" t="s">
        <v>14</v>
      </c>
      <c r="S42" s="706">
        <f t="shared" si="12"/>
        <v>100</v>
      </c>
      <c r="T42" s="705" t="s">
        <v>14</v>
      </c>
      <c r="U42" s="706">
        <f t="shared" si="13"/>
        <v>100</v>
      </c>
      <c r="V42" s="705" t="s">
        <v>14</v>
      </c>
      <c r="W42" s="706">
        <f t="shared" si="14"/>
        <v>100</v>
      </c>
      <c r="X42" s="1355"/>
      <c r="Y42" s="3732"/>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730"/>
      <c r="Q43" s="1352" t="str">
        <f t="shared" si="11"/>
        <v>内部装修维护情况</v>
      </c>
      <c r="R43" s="705" t="s">
        <v>14</v>
      </c>
      <c r="S43" s="706">
        <f t="shared" si="12"/>
        <v>100</v>
      </c>
      <c r="T43" s="705" t="s">
        <v>14</v>
      </c>
      <c r="U43" s="706">
        <f t="shared" si="13"/>
        <v>100</v>
      </c>
      <c r="V43" s="705" t="s">
        <v>14</v>
      </c>
      <c r="W43" s="706">
        <f t="shared" si="14"/>
        <v>100</v>
      </c>
      <c r="X43" s="1355"/>
      <c r="Y43" s="3732"/>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730"/>
      <c r="Q44" s="1343">
        <f t="shared" si="11"/>
        <v>111</v>
      </c>
      <c r="R44" s="701" t="s">
        <v>14</v>
      </c>
      <c r="S44" s="702">
        <f t="shared" si="12"/>
        <v>100</v>
      </c>
      <c r="T44" s="701" t="s">
        <v>14</v>
      </c>
      <c r="U44" s="702">
        <f t="shared" si="13"/>
        <v>100</v>
      </c>
      <c r="V44" s="701" t="s">
        <v>14</v>
      </c>
      <c r="W44" s="702">
        <f t="shared" si="14"/>
        <v>100</v>
      </c>
      <c r="X44" s="703"/>
      <c r="Y44" s="3732"/>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730"/>
      <c r="Q45" s="1352">
        <f t="shared" si="11"/>
        <v>111</v>
      </c>
      <c r="R45" s="705" t="s">
        <v>14</v>
      </c>
      <c r="S45" s="706">
        <f t="shared" si="12"/>
        <v>100</v>
      </c>
      <c r="T45" s="705" t="s">
        <v>14</v>
      </c>
      <c r="U45" s="706">
        <f t="shared" si="13"/>
        <v>100</v>
      </c>
      <c r="V45" s="705" t="s">
        <v>14</v>
      </c>
      <c r="W45" s="706">
        <f t="shared" si="14"/>
        <v>100</v>
      </c>
      <c r="X45" s="1355"/>
      <c r="Y45" s="3732"/>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731"/>
      <c r="Q46" s="1352">
        <f t="shared" si="11"/>
        <v>111</v>
      </c>
      <c r="R46" s="705" t="s">
        <v>14</v>
      </c>
      <c r="S46" s="706">
        <f t="shared" si="12"/>
        <v>100</v>
      </c>
      <c r="T46" s="705" t="s">
        <v>14</v>
      </c>
      <c r="U46" s="706">
        <f t="shared" si="13"/>
        <v>100</v>
      </c>
      <c r="V46" s="705" t="s">
        <v>14</v>
      </c>
      <c r="W46" s="706">
        <f t="shared" si="14"/>
        <v>100</v>
      </c>
      <c r="X46" s="1355"/>
      <c r="Y46" s="3733"/>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725" t="str">
        <f>A47</f>
        <v>成交单价（元/平方米）</v>
      </c>
      <c r="Q47" s="3725"/>
      <c r="R47" s="3720">
        <f>E47</f>
        <v>0</v>
      </c>
      <c r="S47" s="3720"/>
      <c r="T47" s="3720">
        <f>G47</f>
        <v>0</v>
      </c>
      <c r="U47" s="3720"/>
      <c r="V47" s="3720">
        <f>I47</f>
        <v>0</v>
      </c>
      <c r="W47" s="3720"/>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725" t="str">
        <f>A48</f>
        <v>比较价值（元/平方米）</v>
      </c>
      <c r="Q48" s="3725"/>
      <c r="R48" s="3726" t="e">
        <f>IF(F1="售价",ROUND(PRODUCT(R47,AA7:AA46),0),ROUND(PRODUCT(R47,AA7:AA46),1))</f>
        <v>#DIV/0!</v>
      </c>
      <c r="S48" s="3726"/>
      <c r="T48" s="3726" t="e">
        <f>IF(F1="售价",ROUND(PRODUCT(T47,AB7:AB46),0),ROUND(PRODUCT(T47,AB7:AB46),1))</f>
        <v>#DIV/0!</v>
      </c>
      <c r="U48" s="3726"/>
      <c r="V48" s="3726" t="e">
        <f>IF(F1="售价",ROUND(PRODUCT(V47,AC7:AC46),0),ROUND(PRODUCT(V47,AC7:AC46),1))</f>
        <v>#DIV/0!</v>
      </c>
      <c r="W48" s="3726"/>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722" t="str">
        <f>A49</f>
        <v>估价对象XX用房的比较价值（楼面单价，元/平方米）</v>
      </c>
      <c r="Q49" s="3723"/>
      <c r="R49" s="3724" t="e">
        <f>IF(F1="售价",ROUND(IF(D48="简单平均",AVERAGE(R48:V48),R48*F48+T48*H48+V48*J48),0),ROUND(IF(D48="简单平均",AVERAGE(R48:V48),R48*F48+T48*H48+V48*J48),1))</f>
        <v>#DIV/0!</v>
      </c>
      <c r="S49" s="3724"/>
      <c r="T49" s="3724"/>
      <c r="U49" s="3724"/>
      <c r="V49" s="3724"/>
      <c r="W49" s="3724"/>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2025-7</v>
      </c>
      <c r="D58" s="1185">
        <f>EDATE(C58,-1)</f>
        <v>45809</v>
      </c>
      <c r="E58" s="1185">
        <f t="shared" ref="E58:N58" si="16">EDATE(D58,-1)</f>
        <v>45778</v>
      </c>
      <c r="F58" s="1185">
        <f t="shared" si="16"/>
        <v>45748</v>
      </c>
      <c r="G58" s="1185">
        <f t="shared" si="16"/>
        <v>45717</v>
      </c>
      <c r="H58" s="1185">
        <f t="shared" si="16"/>
        <v>45689</v>
      </c>
      <c r="I58" s="1185">
        <f t="shared" si="16"/>
        <v>45658</v>
      </c>
      <c r="J58" s="1185">
        <f t="shared" si="16"/>
        <v>45627</v>
      </c>
      <c r="K58" s="1185">
        <f t="shared" si="16"/>
        <v>45597</v>
      </c>
      <c r="L58" s="1185">
        <f t="shared" si="16"/>
        <v>45566</v>
      </c>
      <c r="M58" s="1185">
        <f t="shared" si="16"/>
        <v>45536</v>
      </c>
      <c r="N58" s="1185">
        <f t="shared" si="16"/>
        <v>45505</v>
      </c>
      <c r="O58" s="1185">
        <f>EDATE(N58,-1)</f>
        <v>45474</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I17" sqref="I17"/>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IF(C2="——",C50,ROUND(B2*10000/D3,0))</f>
        <v>#DIV/0!</v>
      </c>
      <c r="C3" s="354" t="s">
        <v>1768</v>
      </c>
      <c r="D3" s="353">
        <f>IF(D1="",'数据-汇总表'!E3,SUMIF('数据-汇总表'!$C19:$C33,D1,'数据-汇总表'!$E19:$E33))</f>
        <v>0</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708" t="s">
        <v>1770</v>
      </c>
      <c r="D4" s="3709"/>
      <c r="E4" s="3710" t="s">
        <v>1771</v>
      </c>
      <c r="F4" s="3711"/>
      <c r="G4" s="3708" t="s">
        <v>1772</v>
      </c>
      <c r="H4" s="3709"/>
      <c r="I4" s="3708" t="s">
        <v>1773</v>
      </c>
      <c r="J4" s="3709"/>
      <c r="K4" s="559" t="s">
        <v>1774</v>
      </c>
      <c r="L4" s="2715"/>
      <c r="M4" s="2716"/>
      <c r="N4" s="2716"/>
      <c r="O4" s="2716"/>
      <c r="P4" s="3742" t="s">
        <v>1775</v>
      </c>
      <c r="Q4" s="3743"/>
      <c r="R4" s="3737" t="s">
        <v>1771</v>
      </c>
      <c r="S4" s="3738"/>
      <c r="T4" s="3737" t="s">
        <v>1772</v>
      </c>
      <c r="U4" s="3738"/>
      <c r="V4" s="3746" t="s">
        <v>1773</v>
      </c>
      <c r="W4" s="3746"/>
      <c r="X4" s="1958"/>
      <c r="Y4" s="3737" t="s">
        <v>1775</v>
      </c>
      <c r="Z4" s="3738"/>
      <c r="AA4" s="3736" t="s">
        <v>1771</v>
      </c>
      <c r="AB4" s="3736" t="s">
        <v>1772</v>
      </c>
      <c r="AC4" s="3739" t="s">
        <v>1773</v>
      </c>
    </row>
    <row r="5" spans="1:29" ht="15">
      <c r="A5" s="358"/>
      <c r="B5" s="359"/>
      <c r="C5" s="3701" t="s">
        <v>1673</v>
      </c>
      <c r="D5" s="3702"/>
      <c r="E5" s="3699" t="s">
        <v>1674</v>
      </c>
      <c r="F5" s="3700"/>
      <c r="G5" s="3701" t="s">
        <v>1675</v>
      </c>
      <c r="H5" s="3702"/>
      <c r="I5" s="3701" t="s">
        <v>1676</v>
      </c>
      <c r="J5" s="3702"/>
      <c r="K5" s="559"/>
      <c r="L5" s="2715"/>
      <c r="M5" s="2716"/>
      <c r="N5" s="2716"/>
      <c r="O5" s="2716"/>
      <c r="P5" s="3744"/>
      <c r="Q5" s="3715"/>
      <c r="R5" s="3697"/>
      <c r="S5" s="3698"/>
      <c r="T5" s="3697"/>
      <c r="U5" s="3698"/>
      <c r="V5" s="3720"/>
      <c r="W5" s="3720"/>
      <c r="X5" s="1355"/>
      <c r="Y5" s="3697"/>
      <c r="Z5" s="3698"/>
      <c r="AA5" s="3691"/>
      <c r="AB5" s="3691"/>
      <c r="AC5" s="3740"/>
    </row>
    <row r="6" spans="1:29" ht="15.75" thickBot="1">
      <c r="A6" s="360"/>
      <c r="B6" s="361"/>
      <c r="C6" s="3703" t="s">
        <v>1677</v>
      </c>
      <c r="D6" s="3704"/>
      <c r="E6" s="3705" t="s">
        <v>1677</v>
      </c>
      <c r="F6" s="3706"/>
      <c r="G6" s="3703" t="s">
        <v>1677</v>
      </c>
      <c r="H6" s="3704"/>
      <c r="I6" s="3703" t="s">
        <v>1677</v>
      </c>
      <c r="J6" s="3704"/>
      <c r="K6" s="559" t="s">
        <v>1678</v>
      </c>
      <c r="L6" s="2715"/>
      <c r="M6" s="2716"/>
      <c r="N6" s="2716"/>
      <c r="O6" s="2716"/>
      <c r="P6" s="3745"/>
      <c r="Q6" s="3717"/>
      <c r="R6" s="3697"/>
      <c r="S6" s="3698"/>
      <c r="T6" s="3718"/>
      <c r="U6" s="3719"/>
      <c r="V6" s="3720"/>
      <c r="W6" s="3720"/>
      <c r="X6" s="1355"/>
      <c r="Y6" s="3718"/>
      <c r="Z6" s="3719"/>
      <c r="AA6" s="3692"/>
      <c r="AB6" s="3692"/>
      <c r="AC6" s="3741"/>
    </row>
    <row r="7" spans="1:29" s="108" customFormat="1" ht="15.75" thickBot="1">
      <c r="A7" s="362" t="s">
        <v>1679</v>
      </c>
      <c r="B7" s="363"/>
      <c r="C7" s="364">
        <f>'数据-取费表'!B2</f>
        <v>45861</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47" t="s">
        <v>1680</v>
      </c>
      <c r="Q7" s="3721"/>
      <c r="R7" s="701" t="s">
        <v>14</v>
      </c>
      <c r="S7" s="702">
        <f t="shared" ref="S7:S15" si="0">F7</f>
        <v>0</v>
      </c>
      <c r="T7" s="701" t="s">
        <v>14</v>
      </c>
      <c r="U7" s="702">
        <f t="shared" ref="U7:U15" si="1">H7</f>
        <v>0</v>
      </c>
      <c r="V7" s="701" t="s">
        <v>14</v>
      </c>
      <c r="W7" s="702">
        <f t="shared" ref="W7:W15" si="2">J7</f>
        <v>0</v>
      </c>
      <c r="X7" s="703"/>
      <c r="Y7" s="3693" t="s">
        <v>1680</v>
      </c>
      <c r="Z7" s="3694"/>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47" t="s">
        <v>1683</v>
      </c>
      <c r="Q8" s="3694"/>
      <c r="R8" s="701" t="s">
        <v>14</v>
      </c>
      <c r="S8" s="702">
        <f t="shared" si="0"/>
        <v>100</v>
      </c>
      <c r="T8" s="701" t="s">
        <v>14</v>
      </c>
      <c r="U8" s="702">
        <f t="shared" si="1"/>
        <v>100</v>
      </c>
      <c r="V8" s="701" t="s">
        <v>14</v>
      </c>
      <c r="W8" s="702">
        <f t="shared" si="2"/>
        <v>100</v>
      </c>
      <c r="X8" s="703"/>
      <c r="Y8" s="3693" t="s">
        <v>1683</v>
      </c>
      <c r="Z8" s="3694"/>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707" t="s">
        <v>1686</v>
      </c>
      <c r="Q9" s="1343" t="str">
        <f t="shared" ref="Q9:Q15" si="6">B9</f>
        <v>用途</v>
      </c>
      <c r="R9" s="701" t="s">
        <v>14</v>
      </c>
      <c r="S9" s="702">
        <f t="shared" si="0"/>
        <v>100</v>
      </c>
      <c r="T9" s="701" t="s">
        <v>14</v>
      </c>
      <c r="U9" s="702">
        <f t="shared" si="1"/>
        <v>100</v>
      </c>
      <c r="V9" s="701" t="s">
        <v>14</v>
      </c>
      <c r="W9" s="702">
        <f t="shared" si="2"/>
        <v>100</v>
      </c>
      <c r="X9" s="703"/>
      <c r="Y9" s="3637"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707"/>
      <c r="Q10" s="1343" t="str">
        <f t="shared" si="6"/>
        <v>土地使用年限（年）</v>
      </c>
      <c r="R10" s="701" t="s">
        <v>14</v>
      </c>
      <c r="S10" s="702">
        <f t="shared" si="0"/>
        <v>100</v>
      </c>
      <c r="T10" s="701" t="s">
        <v>14</v>
      </c>
      <c r="U10" s="702">
        <f t="shared" si="1"/>
        <v>100</v>
      </c>
      <c r="V10" s="701" t="s">
        <v>14</v>
      </c>
      <c r="W10" s="702">
        <f t="shared" si="2"/>
        <v>100</v>
      </c>
      <c r="X10" s="703"/>
      <c r="Y10" s="3637"/>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707"/>
      <c r="Q11" s="1343" t="str">
        <f t="shared" si="6"/>
        <v>容积率</v>
      </c>
      <c r="R11" s="701" t="s">
        <v>14</v>
      </c>
      <c r="S11" s="702">
        <f t="shared" si="0"/>
        <v>100</v>
      </c>
      <c r="T11" s="701" t="s">
        <v>14</v>
      </c>
      <c r="U11" s="702">
        <f t="shared" si="1"/>
        <v>100</v>
      </c>
      <c r="V11" s="701" t="s">
        <v>14</v>
      </c>
      <c r="W11" s="702">
        <f t="shared" si="2"/>
        <v>100</v>
      </c>
      <c r="X11" s="703"/>
      <c r="Y11" s="3637"/>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707"/>
      <c r="Q12" s="1343">
        <f t="shared" si="6"/>
        <v>111</v>
      </c>
      <c r="R12" s="701" t="s">
        <v>14</v>
      </c>
      <c r="S12" s="702">
        <f t="shared" si="0"/>
        <v>100</v>
      </c>
      <c r="T12" s="701" t="s">
        <v>14</v>
      </c>
      <c r="U12" s="702">
        <f t="shared" si="1"/>
        <v>100</v>
      </c>
      <c r="V12" s="701" t="s">
        <v>14</v>
      </c>
      <c r="W12" s="702">
        <f t="shared" si="2"/>
        <v>100</v>
      </c>
      <c r="X12" s="703"/>
      <c r="Y12" s="3637"/>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707"/>
      <c r="Q13" s="1343">
        <f t="shared" si="6"/>
        <v>111</v>
      </c>
      <c r="R13" s="701" t="s">
        <v>14</v>
      </c>
      <c r="S13" s="702">
        <f t="shared" si="0"/>
        <v>100</v>
      </c>
      <c r="T13" s="701" t="s">
        <v>14</v>
      </c>
      <c r="U13" s="702">
        <f t="shared" si="1"/>
        <v>100</v>
      </c>
      <c r="V13" s="701" t="s">
        <v>14</v>
      </c>
      <c r="W13" s="702">
        <f t="shared" si="2"/>
        <v>100</v>
      </c>
      <c r="X13" s="703"/>
      <c r="Y13" s="3637"/>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707"/>
      <c r="Q14" s="1343">
        <f t="shared" si="6"/>
        <v>111</v>
      </c>
      <c r="R14" s="701" t="s">
        <v>14</v>
      </c>
      <c r="S14" s="702">
        <f t="shared" si="0"/>
        <v>100</v>
      </c>
      <c r="T14" s="701" t="s">
        <v>14</v>
      </c>
      <c r="U14" s="702">
        <f t="shared" si="1"/>
        <v>100</v>
      </c>
      <c r="V14" s="701" t="s">
        <v>14</v>
      </c>
      <c r="W14" s="702">
        <f t="shared" si="2"/>
        <v>100</v>
      </c>
      <c r="X14" s="703"/>
      <c r="Y14" s="3637"/>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734" t="s">
        <v>1691</v>
      </c>
      <c r="Q15" s="1352" t="str">
        <f t="shared" si="6"/>
        <v>办公集聚程度</v>
      </c>
      <c r="R15" s="705" t="s">
        <v>14</v>
      </c>
      <c r="S15" s="706">
        <f t="shared" si="0"/>
        <v>100</v>
      </c>
      <c r="T15" s="705" t="s">
        <v>14</v>
      </c>
      <c r="U15" s="706">
        <f t="shared" si="1"/>
        <v>100</v>
      </c>
      <c r="V15" s="705" t="s">
        <v>14</v>
      </c>
      <c r="W15" s="706">
        <f t="shared" si="2"/>
        <v>100</v>
      </c>
      <c r="X15" s="1355"/>
      <c r="Y15" s="3727"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735"/>
      <c r="Q16" s="1352"/>
      <c r="R16" s="705"/>
      <c r="S16" s="706"/>
      <c r="T16" s="705"/>
      <c r="U16" s="706"/>
      <c r="V16" s="705"/>
      <c r="W16" s="706"/>
      <c r="X16" s="1355"/>
      <c r="Y16" s="3728"/>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735"/>
      <c r="Q17" s="1352" t="str">
        <f>B17</f>
        <v>交通便捷度</v>
      </c>
      <c r="R17" s="705" t="s">
        <v>14</v>
      </c>
      <c r="S17" s="706">
        <f>F17</f>
        <v>100</v>
      </c>
      <c r="T17" s="705" t="s">
        <v>14</v>
      </c>
      <c r="U17" s="706">
        <f>H17</f>
        <v>100</v>
      </c>
      <c r="V17" s="705" t="s">
        <v>14</v>
      </c>
      <c r="W17" s="706">
        <f>J17</f>
        <v>100</v>
      </c>
      <c r="X17" s="1355"/>
      <c r="Y17" s="3728"/>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735"/>
      <c r="Q18" s="1352"/>
      <c r="R18" s="705"/>
      <c r="S18" s="706"/>
      <c r="T18" s="705"/>
      <c r="U18" s="706"/>
      <c r="V18" s="705"/>
      <c r="W18" s="706"/>
      <c r="X18" s="1355"/>
      <c r="Y18" s="3728"/>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735"/>
      <c r="Q19" s="1352" t="str">
        <f>B19</f>
        <v>公共配套设施</v>
      </c>
      <c r="R19" s="705" t="s">
        <v>14</v>
      </c>
      <c r="S19" s="706">
        <f>F19</f>
        <v>100</v>
      </c>
      <c r="T19" s="705" t="s">
        <v>14</v>
      </c>
      <c r="U19" s="706">
        <f>H19</f>
        <v>100</v>
      </c>
      <c r="V19" s="705" t="s">
        <v>14</v>
      </c>
      <c r="W19" s="706">
        <f>J19</f>
        <v>100</v>
      </c>
      <c r="X19" s="1355"/>
      <c r="Y19" s="3728"/>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735"/>
      <c r="Q20" s="1352"/>
      <c r="R20" s="705"/>
      <c r="S20" s="706"/>
      <c r="T20" s="705"/>
      <c r="U20" s="706"/>
      <c r="V20" s="705"/>
      <c r="W20" s="706"/>
      <c r="X20" s="1355"/>
      <c r="Y20" s="3728"/>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735"/>
      <c r="Q21" s="1352" t="str">
        <f>B21</f>
        <v>基础设施水平</v>
      </c>
      <c r="R21" s="705" t="s">
        <v>14</v>
      </c>
      <c r="S21" s="706">
        <f>F21</f>
        <v>100</v>
      </c>
      <c r="T21" s="705" t="s">
        <v>14</v>
      </c>
      <c r="U21" s="706">
        <f>H21</f>
        <v>100</v>
      </c>
      <c r="V21" s="705" t="s">
        <v>14</v>
      </c>
      <c r="W21" s="706">
        <f>J21</f>
        <v>100</v>
      </c>
      <c r="X21" s="1355"/>
      <c r="Y21" s="3728"/>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735"/>
      <c r="Q22" s="1352"/>
      <c r="R22" s="705"/>
      <c r="S22" s="706"/>
      <c r="T22" s="705"/>
      <c r="U22" s="706"/>
      <c r="V22" s="705"/>
      <c r="W22" s="706"/>
      <c r="X22" s="1355"/>
      <c r="Y22" s="3728"/>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735"/>
      <c r="Q23" s="1352" t="str">
        <f>B23</f>
        <v>环境质量</v>
      </c>
      <c r="R23" s="705" t="s">
        <v>14</v>
      </c>
      <c r="S23" s="706">
        <f>F23</f>
        <v>100</v>
      </c>
      <c r="T23" s="705" t="s">
        <v>14</v>
      </c>
      <c r="U23" s="706">
        <f>H23</f>
        <v>100</v>
      </c>
      <c r="V23" s="705" t="s">
        <v>14</v>
      </c>
      <c r="W23" s="706">
        <f>J23</f>
        <v>100</v>
      </c>
      <c r="X23" s="1355"/>
      <c r="Y23" s="3728"/>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735"/>
      <c r="Q24" s="1352"/>
      <c r="R24" s="705"/>
      <c r="S24" s="706"/>
      <c r="T24" s="705"/>
      <c r="U24" s="706"/>
      <c r="V24" s="705"/>
      <c r="W24" s="706"/>
      <c r="X24" s="1355"/>
      <c r="Y24" s="3728"/>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735"/>
      <c r="Q25" s="1352" t="str">
        <f>B25</f>
        <v>毗邻道路的类型与等级</v>
      </c>
      <c r="R25" s="705" t="s">
        <v>14</v>
      </c>
      <c r="S25" s="706">
        <f>F25</f>
        <v>100</v>
      </c>
      <c r="T25" s="705" t="s">
        <v>14</v>
      </c>
      <c r="U25" s="706">
        <f>H25</f>
        <v>100</v>
      </c>
      <c r="V25" s="705" t="s">
        <v>14</v>
      </c>
      <c r="W25" s="706">
        <f>J25</f>
        <v>100</v>
      </c>
      <c r="X25" s="1355"/>
      <c r="Y25" s="3728"/>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735"/>
      <c r="Q26" s="1352"/>
      <c r="R26" s="705"/>
      <c r="S26" s="706"/>
      <c r="T26" s="705"/>
      <c r="U26" s="706"/>
      <c r="V26" s="705"/>
      <c r="W26" s="706"/>
      <c r="X26" s="1355"/>
      <c r="Y26" s="3728"/>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735"/>
      <c r="Q27" s="1352" t="str">
        <f t="shared" ref="Q27:Q47" si="11">B27</f>
        <v>楼层</v>
      </c>
      <c r="R27" s="705" t="s">
        <v>14</v>
      </c>
      <c r="S27" s="706">
        <f>F27</f>
        <v>100</v>
      </c>
      <c r="T27" s="705" t="s">
        <v>14</v>
      </c>
      <c r="U27" s="706">
        <f>H27</f>
        <v>100</v>
      </c>
      <c r="V27" s="705" t="s">
        <v>14</v>
      </c>
      <c r="W27" s="706">
        <f>J27</f>
        <v>100</v>
      </c>
      <c r="X27" s="1355"/>
      <c r="Y27" s="3728"/>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735"/>
      <c r="Q28" s="1343" t="str">
        <f t="shared" si="11"/>
        <v>朝向</v>
      </c>
      <c r="R28" s="701" t="s">
        <v>14</v>
      </c>
      <c r="S28" s="702">
        <f>F28</f>
        <v>100</v>
      </c>
      <c r="T28" s="701" t="s">
        <v>14</v>
      </c>
      <c r="U28" s="702">
        <f>H28</f>
        <v>100</v>
      </c>
      <c r="V28" s="701" t="s">
        <v>14</v>
      </c>
      <c r="W28" s="702">
        <f>J28</f>
        <v>100</v>
      </c>
      <c r="X28" s="703"/>
      <c r="Y28" s="3728"/>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735"/>
      <c r="Q29" s="1352">
        <f t="shared" si="11"/>
        <v>111</v>
      </c>
      <c r="R29" s="705" t="s">
        <v>14</v>
      </c>
      <c r="S29" s="706">
        <f t="shared" ref="S29:S47" si="12">F29</f>
        <v>100</v>
      </c>
      <c r="T29" s="705" t="s">
        <v>14</v>
      </c>
      <c r="U29" s="706">
        <f t="shared" ref="U29:U47" si="13">H29</f>
        <v>100</v>
      </c>
      <c r="V29" s="705" t="s">
        <v>14</v>
      </c>
      <c r="W29" s="706">
        <f t="shared" ref="W29:W47" si="14">J29</f>
        <v>100</v>
      </c>
      <c r="X29" s="1355"/>
      <c r="Y29" s="3728"/>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735"/>
      <c r="Q30" s="1352">
        <f t="shared" si="11"/>
        <v>111</v>
      </c>
      <c r="R30" s="705" t="s">
        <v>14</v>
      </c>
      <c r="S30" s="706">
        <f t="shared" si="12"/>
        <v>100</v>
      </c>
      <c r="T30" s="705" t="s">
        <v>14</v>
      </c>
      <c r="U30" s="706">
        <f t="shared" si="13"/>
        <v>100</v>
      </c>
      <c r="V30" s="705" t="s">
        <v>14</v>
      </c>
      <c r="W30" s="706">
        <f t="shared" si="14"/>
        <v>100</v>
      </c>
      <c r="X30" s="1355"/>
      <c r="Y30" s="3728"/>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735"/>
      <c r="Q31" s="1352">
        <f t="shared" si="11"/>
        <v>111</v>
      </c>
      <c r="R31" s="705" t="s">
        <v>14</v>
      </c>
      <c r="S31" s="706">
        <f t="shared" si="12"/>
        <v>100</v>
      </c>
      <c r="T31" s="705" t="s">
        <v>14</v>
      </c>
      <c r="U31" s="706">
        <f t="shared" si="13"/>
        <v>100</v>
      </c>
      <c r="V31" s="705" t="s">
        <v>14</v>
      </c>
      <c r="W31" s="706">
        <f t="shared" si="14"/>
        <v>100</v>
      </c>
      <c r="X31" s="1355"/>
      <c r="Y31" s="3728"/>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735"/>
      <c r="Q32" s="1352">
        <f t="shared" si="11"/>
        <v>111</v>
      </c>
      <c r="R32" s="705" t="s">
        <v>14</v>
      </c>
      <c r="S32" s="706">
        <f t="shared" si="12"/>
        <v>100</v>
      </c>
      <c r="T32" s="705" t="s">
        <v>14</v>
      </c>
      <c r="U32" s="706">
        <f t="shared" si="13"/>
        <v>100</v>
      </c>
      <c r="V32" s="705" t="s">
        <v>14</v>
      </c>
      <c r="W32" s="706">
        <f t="shared" si="14"/>
        <v>100</v>
      </c>
      <c r="X32" s="1355"/>
      <c r="Y32" s="3728"/>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729" t="s">
        <v>1696</v>
      </c>
      <c r="Q33" s="1352" t="str">
        <f t="shared" si="11"/>
        <v>建筑类型</v>
      </c>
      <c r="R33" s="705" t="s">
        <v>14</v>
      </c>
      <c r="S33" s="706">
        <f t="shared" si="12"/>
        <v>100</v>
      </c>
      <c r="T33" s="705" t="s">
        <v>14</v>
      </c>
      <c r="U33" s="706">
        <f t="shared" si="13"/>
        <v>100</v>
      </c>
      <c r="V33" s="705" t="s">
        <v>14</v>
      </c>
      <c r="W33" s="706">
        <f t="shared" si="14"/>
        <v>100</v>
      </c>
      <c r="X33" s="1355"/>
      <c r="Y33" s="3732"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730"/>
      <c r="Q34" s="707" t="str">
        <f t="shared" si="11"/>
        <v>项目建筑规模</v>
      </c>
      <c r="R34" s="708" t="s">
        <v>14</v>
      </c>
      <c r="S34" s="709" t="e">
        <f t="shared" si="12"/>
        <v>#N/A</v>
      </c>
      <c r="T34" s="708" t="s">
        <v>14</v>
      </c>
      <c r="U34" s="709" t="e">
        <f t="shared" si="13"/>
        <v>#N/A</v>
      </c>
      <c r="V34" s="708" t="s">
        <v>14</v>
      </c>
      <c r="W34" s="709" t="e">
        <f t="shared" si="14"/>
        <v>#N/A</v>
      </c>
      <c r="X34" s="710"/>
      <c r="Y34" s="3732"/>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730"/>
      <c r="Q35" s="1352" t="str">
        <f t="shared" si="11"/>
        <v>建筑结构</v>
      </c>
      <c r="R35" s="705" t="s">
        <v>14</v>
      </c>
      <c r="S35" s="706">
        <f t="shared" si="12"/>
        <v>100</v>
      </c>
      <c r="T35" s="705" t="s">
        <v>14</v>
      </c>
      <c r="U35" s="706">
        <f t="shared" si="13"/>
        <v>100</v>
      </c>
      <c r="V35" s="705" t="s">
        <v>14</v>
      </c>
      <c r="W35" s="706">
        <f t="shared" si="14"/>
        <v>100</v>
      </c>
      <c r="X35" s="1355"/>
      <c r="Y35" s="3732"/>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730"/>
      <c r="Q36" s="1352" t="str">
        <f t="shared" si="11"/>
        <v>公共部分装修</v>
      </c>
      <c r="R36" s="705" t="s">
        <v>14</v>
      </c>
      <c r="S36" s="706">
        <f t="shared" si="12"/>
        <v>100</v>
      </c>
      <c r="T36" s="705" t="s">
        <v>14</v>
      </c>
      <c r="U36" s="706">
        <f t="shared" si="13"/>
        <v>100</v>
      </c>
      <c r="V36" s="705" t="s">
        <v>14</v>
      </c>
      <c r="W36" s="706">
        <f t="shared" si="14"/>
        <v>100</v>
      </c>
      <c r="X36" s="1355"/>
      <c r="Y36" s="3732"/>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730"/>
      <c r="Q37" s="1352" t="str">
        <f t="shared" si="11"/>
        <v>成新度</v>
      </c>
      <c r="R37" s="705" t="s">
        <v>14</v>
      </c>
      <c r="S37" s="706" t="e">
        <f t="shared" si="12"/>
        <v>#N/A</v>
      </c>
      <c r="T37" s="705" t="s">
        <v>14</v>
      </c>
      <c r="U37" s="706" t="e">
        <f t="shared" si="13"/>
        <v>#N/A</v>
      </c>
      <c r="V37" s="705" t="s">
        <v>14</v>
      </c>
      <c r="W37" s="706" t="e">
        <f t="shared" si="14"/>
        <v>#N/A</v>
      </c>
      <c r="X37" s="1355"/>
      <c r="Y37" s="3732"/>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730"/>
      <c r="Q38" s="1343" t="str">
        <f t="shared" si="11"/>
        <v>写字楼等级</v>
      </c>
      <c r="R38" s="701" t="s">
        <v>14</v>
      </c>
      <c r="S38" s="702">
        <f t="shared" si="12"/>
        <v>100</v>
      </c>
      <c r="T38" s="701" t="s">
        <v>14</v>
      </c>
      <c r="U38" s="702">
        <f t="shared" si="13"/>
        <v>100</v>
      </c>
      <c r="V38" s="701" t="s">
        <v>14</v>
      </c>
      <c r="W38" s="702">
        <f t="shared" si="14"/>
        <v>100</v>
      </c>
      <c r="X38" s="703"/>
      <c r="Y38" s="3732"/>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730" t="s">
        <v>1696</v>
      </c>
      <c r="Q39" s="1352" t="str">
        <f t="shared" si="11"/>
        <v>物业管理</v>
      </c>
      <c r="R39" s="705" t="s">
        <v>14</v>
      </c>
      <c r="S39" s="706">
        <f t="shared" si="12"/>
        <v>100</v>
      </c>
      <c r="T39" s="705" t="s">
        <v>14</v>
      </c>
      <c r="U39" s="706">
        <f t="shared" si="13"/>
        <v>100</v>
      </c>
      <c r="V39" s="705" t="s">
        <v>14</v>
      </c>
      <c r="W39" s="706">
        <f t="shared" si="14"/>
        <v>100</v>
      </c>
      <c r="X39" s="1355"/>
      <c r="Y39" s="3732"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730"/>
      <c r="Q40" s="1352" t="str">
        <f t="shared" si="11"/>
        <v>市政基础设施</v>
      </c>
      <c r="R40" s="705" t="s">
        <v>14</v>
      </c>
      <c r="S40" s="706">
        <f t="shared" si="12"/>
        <v>100</v>
      </c>
      <c r="T40" s="705" t="s">
        <v>14</v>
      </c>
      <c r="U40" s="706">
        <f t="shared" si="13"/>
        <v>100</v>
      </c>
      <c r="V40" s="705" t="s">
        <v>14</v>
      </c>
      <c r="W40" s="706">
        <f t="shared" si="14"/>
        <v>100</v>
      </c>
      <c r="X40" s="1355"/>
      <c r="Y40" s="3732"/>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730"/>
      <c r="Q41" s="1352" t="str">
        <f t="shared" si="11"/>
        <v>层高</v>
      </c>
      <c r="R41" s="705" t="s">
        <v>14</v>
      </c>
      <c r="S41" s="706">
        <f t="shared" si="12"/>
        <v>100</v>
      </c>
      <c r="T41" s="705" t="s">
        <v>14</v>
      </c>
      <c r="U41" s="706">
        <f t="shared" si="13"/>
        <v>100</v>
      </c>
      <c r="V41" s="705" t="s">
        <v>14</v>
      </c>
      <c r="W41" s="706">
        <f t="shared" si="14"/>
        <v>100</v>
      </c>
      <c r="X41" s="1355"/>
      <c r="Y41" s="3732"/>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730"/>
      <c r="Q42" s="707" t="str">
        <f t="shared" si="11"/>
        <v>单套建筑面积</v>
      </c>
      <c r="R42" s="708" t="s">
        <v>14</v>
      </c>
      <c r="S42" s="709">
        <f t="shared" si="12"/>
        <v>100</v>
      </c>
      <c r="T42" s="708" t="s">
        <v>14</v>
      </c>
      <c r="U42" s="709">
        <f t="shared" si="13"/>
        <v>100</v>
      </c>
      <c r="V42" s="708" t="s">
        <v>14</v>
      </c>
      <c r="W42" s="709">
        <f t="shared" si="14"/>
        <v>100</v>
      </c>
      <c r="X42" s="710"/>
      <c r="Y42" s="3732"/>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730"/>
      <c r="Q43" s="1352" t="str">
        <f t="shared" si="11"/>
        <v>内部装修</v>
      </c>
      <c r="R43" s="705" t="s">
        <v>14</v>
      </c>
      <c r="S43" s="706">
        <f t="shared" si="12"/>
        <v>100</v>
      </c>
      <c r="T43" s="705" t="s">
        <v>14</v>
      </c>
      <c r="U43" s="706">
        <f t="shared" si="13"/>
        <v>100</v>
      </c>
      <c r="V43" s="705" t="s">
        <v>14</v>
      </c>
      <c r="W43" s="706">
        <f t="shared" si="14"/>
        <v>100</v>
      </c>
      <c r="X43" s="1355"/>
      <c r="Y43" s="3732"/>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730"/>
      <c r="Q44" s="1352" t="str">
        <f t="shared" si="11"/>
        <v>内部装修维护情况</v>
      </c>
      <c r="R44" s="705" t="s">
        <v>14</v>
      </c>
      <c r="S44" s="706">
        <f t="shared" si="12"/>
        <v>100</v>
      </c>
      <c r="T44" s="705" t="s">
        <v>14</v>
      </c>
      <c r="U44" s="706">
        <f t="shared" si="13"/>
        <v>100</v>
      </c>
      <c r="V44" s="705" t="s">
        <v>14</v>
      </c>
      <c r="W44" s="706">
        <f t="shared" si="14"/>
        <v>100</v>
      </c>
      <c r="X44" s="1355"/>
      <c r="Y44" s="3732"/>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730"/>
      <c r="Q45" s="1343">
        <f t="shared" si="11"/>
        <v>111</v>
      </c>
      <c r="R45" s="701" t="s">
        <v>14</v>
      </c>
      <c r="S45" s="702">
        <f t="shared" si="12"/>
        <v>100</v>
      </c>
      <c r="T45" s="701" t="s">
        <v>14</v>
      </c>
      <c r="U45" s="702">
        <f t="shared" si="13"/>
        <v>100</v>
      </c>
      <c r="V45" s="701" t="s">
        <v>14</v>
      </c>
      <c r="W45" s="702">
        <f t="shared" si="14"/>
        <v>100</v>
      </c>
      <c r="X45" s="703"/>
      <c r="Y45" s="3732"/>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730"/>
      <c r="Q46" s="1352">
        <f t="shared" si="11"/>
        <v>111</v>
      </c>
      <c r="R46" s="705" t="s">
        <v>14</v>
      </c>
      <c r="S46" s="706">
        <f t="shared" si="12"/>
        <v>100</v>
      </c>
      <c r="T46" s="705" t="s">
        <v>14</v>
      </c>
      <c r="U46" s="706">
        <f t="shared" si="13"/>
        <v>100</v>
      </c>
      <c r="V46" s="705" t="s">
        <v>14</v>
      </c>
      <c r="W46" s="706">
        <f t="shared" si="14"/>
        <v>100</v>
      </c>
      <c r="X46" s="1355"/>
      <c r="Y46" s="3732"/>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731"/>
      <c r="Q47" s="1352">
        <f t="shared" si="11"/>
        <v>111</v>
      </c>
      <c r="R47" s="705" t="s">
        <v>14</v>
      </c>
      <c r="S47" s="706">
        <f t="shared" si="12"/>
        <v>100</v>
      </c>
      <c r="T47" s="705" t="s">
        <v>14</v>
      </c>
      <c r="U47" s="706">
        <f t="shared" si="13"/>
        <v>100</v>
      </c>
      <c r="V47" s="705" t="s">
        <v>14</v>
      </c>
      <c r="W47" s="706">
        <f t="shared" si="14"/>
        <v>100</v>
      </c>
      <c r="X47" s="1355"/>
      <c r="Y47" s="3733"/>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4"/>
      <c r="M48" s="2716"/>
      <c r="N48" s="2716"/>
      <c r="O48" s="2716"/>
      <c r="P48" s="3707" t="str">
        <f>A48</f>
        <v>成交单价（元/平方米）</v>
      </c>
      <c r="Q48" s="3725"/>
      <c r="R48" s="3726">
        <f>E48</f>
        <v>0</v>
      </c>
      <c r="S48" s="3726"/>
      <c r="T48" s="3726">
        <f>G48</f>
        <v>0</v>
      </c>
      <c r="U48" s="3726"/>
      <c r="V48" s="3726">
        <f>I48</f>
        <v>0</v>
      </c>
      <c r="W48" s="3726"/>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4"/>
      <c r="M49" s="2716"/>
      <c r="N49" s="2716"/>
      <c r="O49" s="2716"/>
      <c r="P49" s="3707" t="str">
        <f>A49</f>
        <v>比较价值（元/平方米）</v>
      </c>
      <c r="Q49" s="3725"/>
      <c r="R49" s="3726" t="e">
        <f>IF(F1="售价",ROUND(PRODUCT(R48,AA7:AA47),0),ROUND(PRODUCT(R48,AA7:AA47),1))</f>
        <v>#DIV/0!</v>
      </c>
      <c r="S49" s="3726"/>
      <c r="T49" s="3726" t="e">
        <f>IF(F1="售价",ROUND(PRODUCT(T48,AB7:AB47),0),ROUND(PRODUCT(T48,AB7:AB47),1))</f>
        <v>#DIV/0!</v>
      </c>
      <c r="U49" s="3726"/>
      <c r="V49" s="3726" t="e">
        <f>IF(F1="售价",ROUND(PRODUCT(V48,AC7:AC47),0),ROUND(PRODUCT(V48,AC7:AC47),1))</f>
        <v>#DIV/0!</v>
      </c>
      <c r="W49" s="3726"/>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4"/>
      <c r="M50" s="2716"/>
      <c r="N50" s="2716"/>
      <c r="O50" s="2716"/>
      <c r="P50" s="3748" t="str">
        <f>A50</f>
        <v>估价对象XX用房的比较价值（楼面单价，元/平方米）</v>
      </c>
      <c r="Q50" s="3749"/>
      <c r="R50" s="3750" t="e">
        <f>IF(F1="售价",ROUND(IF(D49="简单平均",AVERAGE(R49:V49),R49*F49+T49*H49+V49*J49),0),ROUND(IF(D49="简单平均",AVERAGE(R49:V49),R49*F49+T49*H49+V49*J49),1))</f>
        <v>#DIV/0!</v>
      </c>
      <c r="S50" s="3750"/>
      <c r="T50" s="3750"/>
      <c r="U50" s="3750"/>
      <c r="V50" s="3750"/>
      <c r="W50" s="3750"/>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2025-7</v>
      </c>
      <c r="D59" s="1185">
        <f>EDATE(C59,-1)</f>
        <v>45809</v>
      </c>
      <c r="E59" s="1185">
        <f>EDATE(D59,-1)</f>
        <v>45778</v>
      </c>
      <c r="F59" s="1185">
        <f t="shared" ref="F59:O59" si="16">EDATE(E59,-1)</f>
        <v>45748</v>
      </c>
      <c r="G59" s="1185">
        <f t="shared" si="16"/>
        <v>45717</v>
      </c>
      <c r="H59" s="1185">
        <f t="shared" si="16"/>
        <v>45689</v>
      </c>
      <c r="I59" s="1185">
        <f t="shared" si="16"/>
        <v>45658</v>
      </c>
      <c r="J59" s="1185">
        <f t="shared" si="16"/>
        <v>45627</v>
      </c>
      <c r="K59" s="1185">
        <f t="shared" si="16"/>
        <v>45597</v>
      </c>
      <c r="L59" s="1185">
        <f t="shared" si="16"/>
        <v>45566</v>
      </c>
      <c r="M59" s="1185">
        <f t="shared" si="16"/>
        <v>45536</v>
      </c>
      <c r="N59" s="1185">
        <f t="shared" si="16"/>
        <v>45505</v>
      </c>
      <c r="O59" s="1185">
        <f t="shared" si="16"/>
        <v>45474</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I17" sqref="I17"/>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t="e">
        <f>IF(C2="——",C43,ROUND(B2*10000/D3,0))</f>
        <v>#DIV/0!</v>
      </c>
      <c r="C3" s="354" t="s">
        <v>1768</v>
      </c>
      <c r="D3" s="353">
        <f>IF(D1="",'数据-汇总表'!E3,SUMIF('数据-汇总表'!$C19:$C33,D1,'数据-汇总表'!$E19:$E33))</f>
        <v>0</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708" t="s">
        <v>1770</v>
      </c>
      <c r="D4" s="3709"/>
      <c r="E4" s="3710" t="s">
        <v>1771</v>
      </c>
      <c r="F4" s="3711"/>
      <c r="G4" s="3708" t="s">
        <v>1772</v>
      </c>
      <c r="H4" s="3709"/>
      <c r="I4" s="3708" t="s">
        <v>1773</v>
      </c>
      <c r="J4" s="3709"/>
      <c r="K4" s="559" t="s">
        <v>1774</v>
      </c>
      <c r="L4" s="913"/>
      <c r="M4" s="914"/>
      <c r="N4" s="914"/>
      <c r="O4" s="914"/>
      <c r="P4" s="3712" t="s">
        <v>1775</v>
      </c>
      <c r="Q4" s="3713"/>
      <c r="R4" s="3695" t="s">
        <v>1771</v>
      </c>
      <c r="S4" s="3696"/>
      <c r="T4" s="3695" t="s">
        <v>1772</v>
      </c>
      <c r="U4" s="3696"/>
      <c r="V4" s="3720" t="s">
        <v>1773</v>
      </c>
      <c r="W4" s="3720"/>
      <c r="X4" s="1355"/>
      <c r="Y4" s="3695" t="s">
        <v>1775</v>
      </c>
      <c r="Z4" s="3696"/>
      <c r="AA4" s="3690" t="s">
        <v>1771</v>
      </c>
      <c r="AB4" s="3691" t="s">
        <v>1772</v>
      </c>
      <c r="AC4" s="3690" t="s">
        <v>1773</v>
      </c>
    </row>
    <row r="5" spans="1:29" ht="15">
      <c r="A5" s="358"/>
      <c r="B5" s="359"/>
      <c r="C5" s="3701" t="s">
        <v>1673</v>
      </c>
      <c r="D5" s="3702"/>
      <c r="E5" s="3699" t="s">
        <v>1674</v>
      </c>
      <c r="F5" s="3700"/>
      <c r="G5" s="3701" t="s">
        <v>1675</v>
      </c>
      <c r="H5" s="3702"/>
      <c r="I5" s="3701" t="s">
        <v>1676</v>
      </c>
      <c r="J5" s="3702"/>
      <c r="K5" s="559"/>
      <c r="L5" s="913"/>
      <c r="M5" s="914"/>
      <c r="N5" s="914"/>
      <c r="O5" s="914"/>
      <c r="P5" s="3714"/>
      <c r="Q5" s="3715"/>
      <c r="R5" s="3697"/>
      <c r="S5" s="3698"/>
      <c r="T5" s="3697"/>
      <c r="U5" s="3698"/>
      <c r="V5" s="3720"/>
      <c r="W5" s="3720"/>
      <c r="X5" s="1355"/>
      <c r="Y5" s="3697"/>
      <c r="Z5" s="3698"/>
      <c r="AA5" s="3691"/>
      <c r="AB5" s="3691"/>
      <c r="AC5" s="3691"/>
    </row>
    <row r="6" spans="1:29" ht="15.75" thickBot="1">
      <c r="A6" s="360"/>
      <c r="B6" s="361"/>
      <c r="C6" s="3703" t="s">
        <v>1677</v>
      </c>
      <c r="D6" s="3704"/>
      <c r="E6" s="3705" t="s">
        <v>1677</v>
      </c>
      <c r="F6" s="3706"/>
      <c r="G6" s="3703" t="s">
        <v>1677</v>
      </c>
      <c r="H6" s="3704"/>
      <c r="I6" s="3703" t="s">
        <v>1677</v>
      </c>
      <c r="J6" s="3704"/>
      <c r="K6" s="559" t="s">
        <v>1678</v>
      </c>
      <c r="L6" s="913"/>
      <c r="M6" s="914"/>
      <c r="N6" s="914"/>
      <c r="O6" s="914"/>
      <c r="P6" s="3716"/>
      <c r="Q6" s="3717"/>
      <c r="R6" s="3697"/>
      <c r="S6" s="3698"/>
      <c r="T6" s="3718"/>
      <c r="U6" s="3719"/>
      <c r="V6" s="3720"/>
      <c r="W6" s="3720"/>
      <c r="X6" s="1355"/>
      <c r="Y6" s="3718"/>
      <c r="Z6" s="3719"/>
      <c r="AA6" s="3692"/>
      <c r="AB6" s="3692"/>
      <c r="AC6" s="3692"/>
    </row>
    <row r="7" spans="1:29" s="108" customFormat="1" ht="15.75" thickBot="1">
      <c r="A7" s="362" t="s">
        <v>1679</v>
      </c>
      <c r="B7" s="363"/>
      <c r="C7" s="364">
        <f>'数据-取费表'!B2</f>
        <v>45861</v>
      </c>
      <c r="D7" s="365">
        <v>100</v>
      </c>
      <c r="E7" s="366"/>
      <c r="F7" s="367">
        <f>SUMIF(52:52,YEAR(E7)&amp;"-"&amp;MONTH(E7),53:53)</f>
        <v>0</v>
      </c>
      <c r="G7" s="366"/>
      <c r="H7" s="365">
        <f>SUMIF(52:52,YEAR(G7)&amp;"-"&amp;MONTH(G7),53:53)</f>
        <v>0</v>
      </c>
      <c r="I7" s="366"/>
      <c r="J7" s="365">
        <f>SUMIF(52:52,YEAR(I7)&amp;"-"&amp;MONTH(I7),53:53)</f>
        <v>0</v>
      </c>
      <c r="K7" s="560"/>
      <c r="L7" s="915"/>
      <c r="M7" s="916"/>
      <c r="N7" s="916"/>
      <c r="O7" s="916"/>
      <c r="P7" s="3693" t="s">
        <v>1680</v>
      </c>
      <c r="Q7" s="3721"/>
      <c r="R7" s="701" t="s">
        <v>14</v>
      </c>
      <c r="S7" s="702">
        <f t="shared" ref="S7:S15" si="0">F7</f>
        <v>0</v>
      </c>
      <c r="T7" s="701" t="s">
        <v>14</v>
      </c>
      <c r="U7" s="702">
        <f t="shared" ref="U7:U15" si="1">H7</f>
        <v>0</v>
      </c>
      <c r="V7" s="701" t="s">
        <v>14</v>
      </c>
      <c r="W7" s="702">
        <f t="shared" ref="W7:W15" si="2">J7</f>
        <v>0</v>
      </c>
      <c r="X7" s="703"/>
      <c r="Y7" s="3693" t="s">
        <v>1680</v>
      </c>
      <c r="Z7" s="3694"/>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93" t="s">
        <v>1683</v>
      </c>
      <c r="Q8" s="3694"/>
      <c r="R8" s="701" t="s">
        <v>14</v>
      </c>
      <c r="S8" s="702">
        <f t="shared" si="0"/>
        <v>100</v>
      </c>
      <c r="T8" s="701" t="s">
        <v>14</v>
      </c>
      <c r="U8" s="702">
        <f t="shared" si="1"/>
        <v>100</v>
      </c>
      <c r="V8" s="701" t="s">
        <v>14</v>
      </c>
      <c r="W8" s="702">
        <f t="shared" si="2"/>
        <v>100</v>
      </c>
      <c r="X8" s="703"/>
      <c r="Y8" s="3693" t="s">
        <v>1683</v>
      </c>
      <c r="Z8" s="3694"/>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725" t="s">
        <v>1686</v>
      </c>
      <c r="Q9" s="1343" t="str">
        <f t="shared" ref="Q9:Q15" si="6">B9</f>
        <v>用途</v>
      </c>
      <c r="R9" s="701" t="s">
        <v>14</v>
      </c>
      <c r="S9" s="702">
        <f t="shared" si="0"/>
        <v>100</v>
      </c>
      <c r="T9" s="701" t="s">
        <v>14</v>
      </c>
      <c r="U9" s="702">
        <f t="shared" si="1"/>
        <v>100</v>
      </c>
      <c r="V9" s="701" t="s">
        <v>14</v>
      </c>
      <c r="W9" s="702">
        <f t="shared" si="2"/>
        <v>100</v>
      </c>
      <c r="X9" s="703"/>
      <c r="Y9" s="3637"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725"/>
      <c r="Q10" s="1343" t="str">
        <f t="shared" si="6"/>
        <v>土地使用年限（年）</v>
      </c>
      <c r="R10" s="701" t="s">
        <v>14</v>
      </c>
      <c r="S10" s="702">
        <f t="shared" si="0"/>
        <v>100</v>
      </c>
      <c r="T10" s="701" t="s">
        <v>14</v>
      </c>
      <c r="U10" s="702">
        <f t="shared" si="1"/>
        <v>100</v>
      </c>
      <c r="V10" s="701" t="s">
        <v>14</v>
      </c>
      <c r="W10" s="702">
        <f t="shared" si="2"/>
        <v>100</v>
      </c>
      <c r="X10" s="703"/>
      <c r="Y10" s="3637"/>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725"/>
      <c r="Q11" s="1343" t="str">
        <f t="shared" si="6"/>
        <v>容积率</v>
      </c>
      <c r="R11" s="701" t="s">
        <v>14</v>
      </c>
      <c r="S11" s="702">
        <f t="shared" si="0"/>
        <v>100</v>
      </c>
      <c r="T11" s="701" t="s">
        <v>14</v>
      </c>
      <c r="U11" s="702">
        <f t="shared" si="1"/>
        <v>100</v>
      </c>
      <c r="V11" s="701" t="s">
        <v>14</v>
      </c>
      <c r="W11" s="702">
        <f t="shared" si="2"/>
        <v>100</v>
      </c>
      <c r="X11" s="703"/>
      <c r="Y11" s="3637"/>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725"/>
      <c r="Q12" s="1343">
        <f t="shared" si="6"/>
        <v>111</v>
      </c>
      <c r="R12" s="701" t="s">
        <v>14</v>
      </c>
      <c r="S12" s="702">
        <f t="shared" si="0"/>
        <v>100</v>
      </c>
      <c r="T12" s="701" t="s">
        <v>14</v>
      </c>
      <c r="U12" s="702">
        <f t="shared" si="1"/>
        <v>100</v>
      </c>
      <c r="V12" s="701" t="s">
        <v>14</v>
      </c>
      <c r="W12" s="702">
        <f t="shared" si="2"/>
        <v>100</v>
      </c>
      <c r="X12" s="703"/>
      <c r="Y12" s="3637"/>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725"/>
      <c r="Q13" s="1343">
        <f t="shared" si="6"/>
        <v>111</v>
      </c>
      <c r="R13" s="701" t="s">
        <v>14</v>
      </c>
      <c r="S13" s="702">
        <f t="shared" si="0"/>
        <v>100</v>
      </c>
      <c r="T13" s="701" t="s">
        <v>14</v>
      </c>
      <c r="U13" s="702">
        <f t="shared" si="1"/>
        <v>100</v>
      </c>
      <c r="V13" s="701" t="s">
        <v>14</v>
      </c>
      <c r="W13" s="702">
        <f t="shared" si="2"/>
        <v>100</v>
      </c>
      <c r="X13" s="703"/>
      <c r="Y13" s="3637"/>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725"/>
      <c r="Q14" s="1343">
        <f t="shared" si="6"/>
        <v>111</v>
      </c>
      <c r="R14" s="701" t="s">
        <v>14</v>
      </c>
      <c r="S14" s="702">
        <f t="shared" si="0"/>
        <v>100</v>
      </c>
      <c r="T14" s="701" t="s">
        <v>14</v>
      </c>
      <c r="U14" s="702">
        <f t="shared" si="1"/>
        <v>100</v>
      </c>
      <c r="V14" s="701" t="s">
        <v>14</v>
      </c>
      <c r="W14" s="702">
        <f t="shared" si="2"/>
        <v>100</v>
      </c>
      <c r="X14" s="703"/>
      <c r="Y14" s="3637"/>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727" t="s">
        <v>1691</v>
      </c>
      <c r="Q15" s="1352" t="str">
        <f t="shared" si="6"/>
        <v>产业集聚程度</v>
      </c>
      <c r="R15" s="705" t="s">
        <v>14</v>
      </c>
      <c r="S15" s="706">
        <f t="shared" si="0"/>
        <v>100</v>
      </c>
      <c r="T15" s="705" t="s">
        <v>14</v>
      </c>
      <c r="U15" s="706">
        <f t="shared" si="1"/>
        <v>100</v>
      </c>
      <c r="V15" s="705" t="s">
        <v>14</v>
      </c>
      <c r="W15" s="706">
        <f t="shared" si="2"/>
        <v>100</v>
      </c>
      <c r="X15" s="1355"/>
      <c r="Y15" s="3727"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728"/>
      <c r="Q16" s="1352"/>
      <c r="R16" s="705"/>
      <c r="S16" s="706"/>
      <c r="T16" s="705"/>
      <c r="U16" s="706"/>
      <c r="V16" s="705"/>
      <c r="W16" s="706"/>
      <c r="X16" s="1355"/>
      <c r="Y16" s="3728"/>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728"/>
      <c r="Q17" s="1352" t="str">
        <f>B17</f>
        <v>交通便捷度</v>
      </c>
      <c r="R17" s="705" t="s">
        <v>14</v>
      </c>
      <c r="S17" s="706">
        <f>F17</f>
        <v>100</v>
      </c>
      <c r="T17" s="705" t="s">
        <v>14</v>
      </c>
      <c r="U17" s="706">
        <f>H17</f>
        <v>100</v>
      </c>
      <c r="V17" s="705" t="s">
        <v>14</v>
      </c>
      <c r="W17" s="706">
        <f>J17</f>
        <v>100</v>
      </c>
      <c r="X17" s="1355"/>
      <c r="Y17" s="3728"/>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728"/>
      <c r="Q18" s="1352"/>
      <c r="R18" s="705"/>
      <c r="S18" s="706"/>
      <c r="T18" s="705"/>
      <c r="U18" s="706"/>
      <c r="V18" s="705"/>
      <c r="W18" s="706"/>
      <c r="X18" s="1355"/>
      <c r="Y18" s="3728"/>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728"/>
      <c r="Q19" s="1352" t="str">
        <f>B19</f>
        <v>公共配套设施</v>
      </c>
      <c r="R19" s="705" t="s">
        <v>14</v>
      </c>
      <c r="S19" s="706">
        <f>F19</f>
        <v>100</v>
      </c>
      <c r="T19" s="705" t="s">
        <v>14</v>
      </c>
      <c r="U19" s="706">
        <f>H19</f>
        <v>100</v>
      </c>
      <c r="V19" s="705" t="s">
        <v>14</v>
      </c>
      <c r="W19" s="706">
        <f>J19</f>
        <v>100</v>
      </c>
      <c r="X19" s="1355"/>
      <c r="Y19" s="3728"/>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728"/>
      <c r="Q20" s="1352"/>
      <c r="R20" s="705"/>
      <c r="S20" s="706"/>
      <c r="T20" s="705"/>
      <c r="U20" s="706"/>
      <c r="V20" s="705"/>
      <c r="W20" s="706"/>
      <c r="X20" s="1355"/>
      <c r="Y20" s="3728"/>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728"/>
      <c r="Q21" s="1352" t="str">
        <f>B21</f>
        <v>基础设施水平</v>
      </c>
      <c r="R21" s="705" t="s">
        <v>14</v>
      </c>
      <c r="S21" s="706">
        <f>F21</f>
        <v>100</v>
      </c>
      <c r="T21" s="705" t="s">
        <v>14</v>
      </c>
      <c r="U21" s="706">
        <f>H21</f>
        <v>100</v>
      </c>
      <c r="V21" s="705" t="s">
        <v>14</v>
      </c>
      <c r="W21" s="706">
        <f>J21</f>
        <v>100</v>
      </c>
      <c r="X21" s="1355"/>
      <c r="Y21" s="3728"/>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728"/>
      <c r="Q22" s="1352"/>
      <c r="R22" s="705"/>
      <c r="S22" s="706"/>
      <c r="T22" s="705"/>
      <c r="U22" s="706"/>
      <c r="V22" s="705"/>
      <c r="W22" s="706"/>
      <c r="X22" s="1355"/>
      <c r="Y22" s="3728"/>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728"/>
      <c r="Q23" s="1352" t="str">
        <f>B23</f>
        <v>环境质量</v>
      </c>
      <c r="R23" s="705" t="s">
        <v>14</v>
      </c>
      <c r="S23" s="706">
        <f>F23</f>
        <v>100</v>
      </c>
      <c r="T23" s="705" t="s">
        <v>14</v>
      </c>
      <c r="U23" s="706">
        <f>H23</f>
        <v>100</v>
      </c>
      <c r="V23" s="705" t="s">
        <v>14</v>
      </c>
      <c r="W23" s="706">
        <f>J23</f>
        <v>100</v>
      </c>
      <c r="X23" s="1355"/>
      <c r="Y23" s="3728"/>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728"/>
      <c r="Q24" s="1352"/>
      <c r="R24" s="705"/>
      <c r="S24" s="706"/>
      <c r="T24" s="705"/>
      <c r="U24" s="706"/>
      <c r="V24" s="705"/>
      <c r="W24" s="706"/>
      <c r="X24" s="1355"/>
      <c r="Y24" s="3728"/>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728"/>
      <c r="Q25" s="1352">
        <f>B25</f>
        <v>111</v>
      </c>
      <c r="R25" s="705" t="s">
        <v>14</v>
      </c>
      <c r="S25" s="706">
        <f>F25</f>
        <v>100</v>
      </c>
      <c r="T25" s="705" t="s">
        <v>14</v>
      </c>
      <c r="U25" s="706">
        <f>H25</f>
        <v>100</v>
      </c>
      <c r="V25" s="705" t="s">
        <v>14</v>
      </c>
      <c r="W25" s="706">
        <f>J25</f>
        <v>100</v>
      </c>
      <c r="X25" s="1355"/>
      <c r="Y25" s="3728"/>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728"/>
      <c r="Q26" s="1352">
        <f t="shared" ref="Q26:Q40" si="11">B26</f>
        <v>111</v>
      </c>
      <c r="R26" s="705" t="s">
        <v>14</v>
      </c>
      <c r="S26" s="706">
        <f>F26</f>
        <v>100</v>
      </c>
      <c r="T26" s="705" t="s">
        <v>14</v>
      </c>
      <c r="U26" s="706">
        <f>H26</f>
        <v>100</v>
      </c>
      <c r="V26" s="705" t="s">
        <v>14</v>
      </c>
      <c r="W26" s="706">
        <f>J26</f>
        <v>100</v>
      </c>
      <c r="X26" s="1355"/>
      <c r="Y26" s="3728"/>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728"/>
      <c r="Q27" s="1343">
        <f t="shared" si="11"/>
        <v>111</v>
      </c>
      <c r="R27" s="701" t="s">
        <v>14</v>
      </c>
      <c r="S27" s="702">
        <f>F27</f>
        <v>100</v>
      </c>
      <c r="T27" s="701" t="s">
        <v>14</v>
      </c>
      <c r="U27" s="702">
        <f>H27</f>
        <v>100</v>
      </c>
      <c r="V27" s="701" t="s">
        <v>14</v>
      </c>
      <c r="W27" s="702">
        <f>J27</f>
        <v>100</v>
      </c>
      <c r="X27" s="703"/>
      <c r="Y27" s="3728"/>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728"/>
      <c r="Q28" s="1352">
        <f t="shared" si="11"/>
        <v>111</v>
      </c>
      <c r="R28" s="705" t="s">
        <v>14</v>
      </c>
      <c r="S28" s="706">
        <f t="shared" ref="S28:S40" si="12">F28</f>
        <v>100</v>
      </c>
      <c r="T28" s="705" t="s">
        <v>14</v>
      </c>
      <c r="U28" s="706">
        <f t="shared" ref="U28:U40" si="13">H28</f>
        <v>100</v>
      </c>
      <c r="V28" s="705" t="s">
        <v>14</v>
      </c>
      <c r="W28" s="706">
        <f t="shared" ref="W28:W40" si="14">J28</f>
        <v>100</v>
      </c>
      <c r="X28" s="1355"/>
      <c r="Y28" s="3728"/>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51" t="s">
        <v>1696</v>
      </c>
      <c r="Q29" s="1352" t="str">
        <f t="shared" si="11"/>
        <v>建筑类型</v>
      </c>
      <c r="R29" s="705" t="s">
        <v>14</v>
      </c>
      <c r="S29" s="706">
        <f t="shared" si="12"/>
        <v>100</v>
      </c>
      <c r="T29" s="705" t="s">
        <v>14</v>
      </c>
      <c r="U29" s="706">
        <f t="shared" si="13"/>
        <v>100</v>
      </c>
      <c r="V29" s="705" t="s">
        <v>14</v>
      </c>
      <c r="W29" s="706">
        <f t="shared" si="14"/>
        <v>100</v>
      </c>
      <c r="X29" s="1355"/>
      <c r="Y29" s="3732"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32"/>
      <c r="Q30" s="707" t="str">
        <f t="shared" si="11"/>
        <v>项目建筑规模</v>
      </c>
      <c r="R30" s="708" t="s">
        <v>14</v>
      </c>
      <c r="S30" s="709" t="e">
        <f t="shared" si="12"/>
        <v>#N/A</v>
      </c>
      <c r="T30" s="708" t="s">
        <v>14</v>
      </c>
      <c r="U30" s="709" t="e">
        <f t="shared" si="13"/>
        <v>#N/A</v>
      </c>
      <c r="V30" s="708" t="s">
        <v>14</v>
      </c>
      <c r="W30" s="709" t="e">
        <f t="shared" si="14"/>
        <v>#N/A</v>
      </c>
      <c r="X30" s="710"/>
      <c r="Y30" s="3732"/>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32"/>
      <c r="Q31" s="1352" t="str">
        <f t="shared" si="11"/>
        <v>建筑结构</v>
      </c>
      <c r="R31" s="705" t="s">
        <v>14</v>
      </c>
      <c r="S31" s="706">
        <f t="shared" si="12"/>
        <v>100</v>
      </c>
      <c r="T31" s="705" t="s">
        <v>14</v>
      </c>
      <c r="U31" s="706">
        <f t="shared" si="13"/>
        <v>100</v>
      </c>
      <c r="V31" s="705" t="s">
        <v>14</v>
      </c>
      <c r="W31" s="706">
        <f t="shared" si="14"/>
        <v>100</v>
      </c>
      <c r="X31" s="1355"/>
      <c r="Y31" s="3732"/>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32"/>
      <c r="Q32" s="1352" t="str">
        <f t="shared" si="11"/>
        <v>公共部分装修</v>
      </c>
      <c r="R32" s="705" t="s">
        <v>14</v>
      </c>
      <c r="S32" s="706">
        <f t="shared" si="12"/>
        <v>100</v>
      </c>
      <c r="T32" s="705" t="s">
        <v>14</v>
      </c>
      <c r="U32" s="706">
        <f t="shared" si="13"/>
        <v>100</v>
      </c>
      <c r="V32" s="705" t="s">
        <v>14</v>
      </c>
      <c r="W32" s="706">
        <f t="shared" si="14"/>
        <v>100</v>
      </c>
      <c r="X32" s="1355"/>
      <c r="Y32" s="3732"/>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32"/>
      <c r="Q33" s="1352" t="str">
        <f t="shared" si="11"/>
        <v>成新度</v>
      </c>
      <c r="R33" s="705" t="s">
        <v>14</v>
      </c>
      <c r="S33" s="706" t="e">
        <f t="shared" si="12"/>
        <v>#N/A</v>
      </c>
      <c r="T33" s="705" t="s">
        <v>14</v>
      </c>
      <c r="U33" s="706" t="e">
        <f t="shared" si="13"/>
        <v>#N/A</v>
      </c>
      <c r="V33" s="705" t="s">
        <v>14</v>
      </c>
      <c r="W33" s="706" t="e">
        <f t="shared" si="14"/>
        <v>#N/A</v>
      </c>
      <c r="X33" s="1355"/>
      <c r="Y33" s="3732"/>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32"/>
      <c r="Q34" s="1343" t="str">
        <f t="shared" si="11"/>
        <v>物业管理</v>
      </c>
      <c r="R34" s="701" t="s">
        <v>14</v>
      </c>
      <c r="S34" s="702">
        <f t="shared" si="12"/>
        <v>100</v>
      </c>
      <c r="T34" s="701" t="s">
        <v>14</v>
      </c>
      <c r="U34" s="702">
        <f t="shared" si="13"/>
        <v>100</v>
      </c>
      <c r="V34" s="701" t="s">
        <v>14</v>
      </c>
      <c r="W34" s="702">
        <f t="shared" si="14"/>
        <v>100</v>
      </c>
      <c r="X34" s="703"/>
      <c r="Y34" s="3732"/>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32" t="s">
        <v>1696</v>
      </c>
      <c r="Q35" s="1352" t="str">
        <f t="shared" si="11"/>
        <v>市政基础设施</v>
      </c>
      <c r="R35" s="705" t="s">
        <v>14</v>
      </c>
      <c r="S35" s="706">
        <f t="shared" si="12"/>
        <v>100</v>
      </c>
      <c r="T35" s="705" t="s">
        <v>14</v>
      </c>
      <c r="U35" s="706">
        <f t="shared" si="13"/>
        <v>100</v>
      </c>
      <c r="V35" s="705" t="s">
        <v>14</v>
      </c>
      <c r="W35" s="706">
        <f t="shared" si="14"/>
        <v>100</v>
      </c>
      <c r="X35" s="1355"/>
      <c r="Y35" s="3732"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32"/>
      <c r="Q36" s="1352" t="str">
        <f t="shared" si="11"/>
        <v>内部装修</v>
      </c>
      <c r="R36" s="705" t="s">
        <v>14</v>
      </c>
      <c r="S36" s="706">
        <f t="shared" si="12"/>
        <v>100</v>
      </c>
      <c r="T36" s="705" t="s">
        <v>14</v>
      </c>
      <c r="U36" s="706">
        <f t="shared" si="13"/>
        <v>100</v>
      </c>
      <c r="V36" s="705" t="s">
        <v>14</v>
      </c>
      <c r="W36" s="706">
        <f t="shared" si="14"/>
        <v>100</v>
      </c>
      <c r="X36" s="1355"/>
      <c r="Y36" s="3732"/>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32"/>
      <c r="Q37" s="1352" t="str">
        <f t="shared" si="11"/>
        <v>内部装修状况</v>
      </c>
      <c r="R37" s="705" t="s">
        <v>14</v>
      </c>
      <c r="S37" s="706">
        <f t="shared" si="12"/>
        <v>100</v>
      </c>
      <c r="T37" s="705" t="s">
        <v>14</v>
      </c>
      <c r="U37" s="706">
        <f t="shared" si="13"/>
        <v>100</v>
      </c>
      <c r="V37" s="705" t="s">
        <v>14</v>
      </c>
      <c r="W37" s="706">
        <f t="shared" si="14"/>
        <v>100</v>
      </c>
      <c r="X37" s="1355"/>
      <c r="Y37" s="3732"/>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32"/>
      <c r="Q38" s="707">
        <f t="shared" si="11"/>
        <v>111</v>
      </c>
      <c r="R38" s="708" t="s">
        <v>14</v>
      </c>
      <c r="S38" s="709">
        <f t="shared" si="12"/>
        <v>100</v>
      </c>
      <c r="T38" s="708" t="s">
        <v>14</v>
      </c>
      <c r="U38" s="709">
        <f t="shared" si="13"/>
        <v>100</v>
      </c>
      <c r="V38" s="708" t="s">
        <v>14</v>
      </c>
      <c r="W38" s="709">
        <f t="shared" si="14"/>
        <v>100</v>
      </c>
      <c r="X38" s="710"/>
      <c r="Y38" s="3732"/>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32"/>
      <c r="Q39" s="1352">
        <f t="shared" si="11"/>
        <v>111</v>
      </c>
      <c r="R39" s="705" t="s">
        <v>14</v>
      </c>
      <c r="S39" s="706">
        <f t="shared" si="12"/>
        <v>100</v>
      </c>
      <c r="T39" s="705" t="s">
        <v>14</v>
      </c>
      <c r="U39" s="706">
        <f t="shared" si="13"/>
        <v>100</v>
      </c>
      <c r="V39" s="705" t="s">
        <v>14</v>
      </c>
      <c r="W39" s="706">
        <f t="shared" si="14"/>
        <v>100</v>
      </c>
      <c r="X39" s="1355"/>
      <c r="Y39" s="3732"/>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33"/>
      <c r="Q40" s="1352">
        <f t="shared" si="11"/>
        <v>111</v>
      </c>
      <c r="R40" s="705" t="s">
        <v>14</v>
      </c>
      <c r="S40" s="706">
        <f t="shared" si="12"/>
        <v>100</v>
      </c>
      <c r="T40" s="705" t="s">
        <v>14</v>
      </c>
      <c r="U40" s="706">
        <f t="shared" si="13"/>
        <v>100</v>
      </c>
      <c r="V40" s="705" t="s">
        <v>14</v>
      </c>
      <c r="W40" s="706">
        <f t="shared" si="14"/>
        <v>100</v>
      </c>
      <c r="X40" s="1355"/>
      <c r="Y40" s="3733"/>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725" t="str">
        <f>A41</f>
        <v>成交单价（元/平方米）</v>
      </c>
      <c r="Q41" s="3725"/>
      <c r="R41" s="3726">
        <f>E41</f>
        <v>0</v>
      </c>
      <c r="S41" s="3726"/>
      <c r="T41" s="3726">
        <f>G41</f>
        <v>0</v>
      </c>
      <c r="U41" s="3726"/>
      <c r="V41" s="3726">
        <f>I41</f>
        <v>0</v>
      </c>
      <c r="W41" s="3726"/>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725" t="str">
        <f>A42</f>
        <v>比较价值（元/平方米）</v>
      </c>
      <c r="Q42" s="3725"/>
      <c r="R42" s="3726" t="e">
        <f>IF(F1="售价",ROUND(PRODUCT(R41,AA7:AA40),0),ROUND(PRODUCT(R41,AA7:AA40),1))</f>
        <v>#DIV/0!</v>
      </c>
      <c r="S42" s="3726"/>
      <c r="T42" s="3726" t="e">
        <f>IF(F1="售价",ROUND(PRODUCT(T41,AB7:AB40),0),ROUND(PRODUCT(T41,AB7:AB40),1))</f>
        <v>#DIV/0!</v>
      </c>
      <c r="U42" s="3726"/>
      <c r="V42" s="3726" t="e">
        <f>IF(F1="售价",ROUND(PRODUCT(V41,AC7:AC40),0),ROUND(PRODUCT(V41,AC7:AC40),1))</f>
        <v>#DIV/0!</v>
      </c>
      <c r="W42" s="3726"/>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722" t="str">
        <f>A43</f>
        <v>估价对象XX用房的比较价值（楼面单价，元/平方米）</v>
      </c>
      <c r="Q43" s="3723"/>
      <c r="R43" s="3724" t="e">
        <f>IF(F1="售价",ROUND(IF(D42="简单平均",AVERAGE(R42:V42),R42*F42+T42*H42+V42*J42),0),ROUND(IF(D42="简单平均",AVERAGE(R42:V42),R42*F42+T42*H42+V42*J42),1))</f>
        <v>#DIV/0!</v>
      </c>
      <c r="S43" s="3724"/>
      <c r="T43" s="3724"/>
      <c r="U43" s="3724"/>
      <c r="V43" s="3724"/>
      <c r="W43" s="3724"/>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2025-7</v>
      </c>
      <c r="D52" s="1185">
        <f>EDATE(C52,-1)</f>
        <v>45809</v>
      </c>
      <c r="E52" s="1185">
        <f t="shared" ref="E52:O52" si="16">EDATE(D52,-1)</f>
        <v>45778</v>
      </c>
      <c r="F52" s="1185">
        <f t="shared" si="16"/>
        <v>45748</v>
      </c>
      <c r="G52" s="1185">
        <f t="shared" si="16"/>
        <v>45717</v>
      </c>
      <c r="H52" s="1185">
        <f t="shared" si="16"/>
        <v>45689</v>
      </c>
      <c r="I52" s="1185">
        <f t="shared" si="16"/>
        <v>45658</v>
      </c>
      <c r="J52" s="1185">
        <f t="shared" si="16"/>
        <v>45627</v>
      </c>
      <c r="K52" s="1185">
        <f t="shared" si="16"/>
        <v>45597</v>
      </c>
      <c r="L52" s="1185">
        <f t="shared" si="16"/>
        <v>45566</v>
      </c>
      <c r="M52" s="1185">
        <f t="shared" si="16"/>
        <v>45536</v>
      </c>
      <c r="N52" s="1185">
        <f t="shared" si="16"/>
        <v>45505</v>
      </c>
      <c r="O52" s="1185">
        <f t="shared" si="16"/>
        <v>45474</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受贵公司委托，我公司对进行了预评估。</v>
      </c>
    </row>
    <row r="5" spans="1:1" ht="18.75">
      <c r="A5" s="1481" t="s">
        <v>899</v>
      </c>
    </row>
    <row r="6" spans="1:1" ht="18.75">
      <c r="A6" s="1482" t="s">
        <v>900</v>
      </c>
    </row>
    <row r="7" spans="1:1" ht="18">
      <c r="A7" s="1480"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spans="1:1" ht="57.75">
      <c r="A8" s="1483" t="s">
        <v>901</v>
      </c>
    </row>
    <row r="9" spans="1:1" ht="18.75">
      <c r="A9" s="1482" t="s">
        <v>902</v>
      </c>
    </row>
    <row r="10" spans="1:1" ht="18">
      <c r="A10" s="1480"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spans="1:1" ht="76.5">
      <c r="A11" s="1483" t="s">
        <v>903</v>
      </c>
    </row>
    <row r="12" spans="1:1" ht="18.75">
      <c r="A12" s="1481" t="s">
        <v>904</v>
      </c>
    </row>
    <row r="13" spans="1:1" ht="38.25" customHeight="1">
      <c r="A13" s="1484" t="str">
        <f>IF(项目基本情况!B8="抵押",IF(项目基本情况!B5=项目基本情况!B6,定义!C51,定义!B51),定义!D51)</f>
        <v>为估价委托人了解估价对象房地产市场价值提供参考依据。</v>
      </c>
    </row>
    <row r="14" spans="1:1" ht="18.75">
      <c r="A14" s="1485" t="s">
        <v>905</v>
      </c>
    </row>
    <row r="15" spans="1:1" ht="18">
      <c r="A15" s="1486" t="str">
        <f>TEXT(项目基本情况!D3,"yyyy年m月d日;;")&amp;IF(项目基本情况!D3=项目基本情况!B3,"（评估专业人员实地查勘之日）","")</f>
        <v>2025年7月23日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7月23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本次评估采用的主估价方法为基准地价系数修正法和基准地价系数修正法。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I17" sqref="I17"/>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3333</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708" t="s">
        <v>1770</v>
      </c>
      <c r="D4" s="3709"/>
      <c r="E4" s="3710" t="s">
        <v>1771</v>
      </c>
      <c r="F4" s="3711"/>
      <c r="G4" s="3708" t="s">
        <v>1772</v>
      </c>
      <c r="H4" s="3709"/>
      <c r="I4" s="3708" t="s">
        <v>1773</v>
      </c>
      <c r="J4" s="3709"/>
      <c r="K4" s="559" t="s">
        <v>1774</v>
      </c>
      <c r="L4" s="2715"/>
      <c r="M4" s="2716"/>
      <c r="N4" s="2716"/>
      <c r="O4" s="2716"/>
      <c r="P4" s="3712" t="s">
        <v>1775</v>
      </c>
      <c r="Q4" s="3713"/>
      <c r="R4" s="3695" t="s">
        <v>1771</v>
      </c>
      <c r="S4" s="3696"/>
      <c r="T4" s="3695" t="s">
        <v>1772</v>
      </c>
      <c r="U4" s="3696"/>
      <c r="V4" s="3720" t="s">
        <v>1773</v>
      </c>
      <c r="W4" s="3720"/>
      <c r="X4" s="1355"/>
      <c r="Y4" s="3695" t="s">
        <v>1775</v>
      </c>
      <c r="Z4" s="3696"/>
      <c r="AA4" s="3690" t="s">
        <v>1771</v>
      </c>
      <c r="AB4" s="3691" t="s">
        <v>1772</v>
      </c>
      <c r="AC4" s="3690" t="s">
        <v>1773</v>
      </c>
    </row>
    <row r="5" spans="1:29" ht="15">
      <c r="A5" s="358"/>
      <c r="B5" s="359"/>
      <c r="C5" s="3701" t="s">
        <v>1673</v>
      </c>
      <c r="D5" s="3702"/>
      <c r="E5" s="3699" t="s">
        <v>1674</v>
      </c>
      <c r="F5" s="3700"/>
      <c r="G5" s="3701" t="s">
        <v>1675</v>
      </c>
      <c r="H5" s="3702"/>
      <c r="I5" s="3701" t="s">
        <v>1676</v>
      </c>
      <c r="J5" s="3702"/>
      <c r="K5" s="559"/>
      <c r="L5" s="2715"/>
      <c r="M5" s="2716"/>
      <c r="N5" s="2716"/>
      <c r="O5" s="2716"/>
      <c r="P5" s="3714"/>
      <c r="Q5" s="3715"/>
      <c r="R5" s="3697"/>
      <c r="S5" s="3698"/>
      <c r="T5" s="3697"/>
      <c r="U5" s="3698"/>
      <c r="V5" s="3720"/>
      <c r="W5" s="3720"/>
      <c r="X5" s="1355"/>
      <c r="Y5" s="3697"/>
      <c r="Z5" s="3698"/>
      <c r="AA5" s="3691"/>
      <c r="AB5" s="3691"/>
      <c r="AC5" s="3691"/>
    </row>
    <row r="6" spans="1:29" ht="15.75" thickBot="1">
      <c r="A6" s="360"/>
      <c r="B6" s="361"/>
      <c r="C6" s="3703" t="s">
        <v>1677</v>
      </c>
      <c r="D6" s="3704"/>
      <c r="E6" s="3705" t="s">
        <v>1677</v>
      </c>
      <c r="F6" s="3706"/>
      <c r="G6" s="3703" t="s">
        <v>1677</v>
      </c>
      <c r="H6" s="3704"/>
      <c r="I6" s="3703" t="s">
        <v>1677</v>
      </c>
      <c r="J6" s="3704"/>
      <c r="K6" s="559" t="s">
        <v>1678</v>
      </c>
      <c r="L6" s="2715"/>
      <c r="M6" s="2716"/>
      <c r="N6" s="2716"/>
      <c r="O6" s="2716"/>
      <c r="P6" s="3716"/>
      <c r="Q6" s="3717"/>
      <c r="R6" s="3697"/>
      <c r="S6" s="3698"/>
      <c r="T6" s="3718"/>
      <c r="U6" s="3719"/>
      <c r="V6" s="3720"/>
      <c r="W6" s="3720"/>
      <c r="X6" s="1355"/>
      <c r="Y6" s="3718"/>
      <c r="Z6" s="3719"/>
      <c r="AA6" s="3692"/>
      <c r="AB6" s="3692"/>
      <c r="AC6" s="3692"/>
    </row>
    <row r="7" spans="1:29" s="108" customFormat="1" ht="15.75" thickBot="1">
      <c r="A7" s="362" t="s">
        <v>1679</v>
      </c>
      <c r="B7" s="363"/>
      <c r="C7" s="364">
        <f>'数据-取费表'!B2</f>
        <v>45861</v>
      </c>
      <c r="D7" s="365">
        <v>100</v>
      </c>
      <c r="E7" s="366"/>
      <c r="F7" s="367">
        <f>SUMIF(48:48,YEAR(E7)&amp;"-"&amp;MONTH(E7),49:49)</f>
        <v>0</v>
      </c>
      <c r="G7" s="366"/>
      <c r="H7" s="365">
        <f>SUMIF(48:48,YEAR(G7)&amp;"-"&amp;MONTH(G7),49:49)</f>
        <v>0</v>
      </c>
      <c r="I7" s="366"/>
      <c r="J7" s="365">
        <f>SUMIF(48:48,YEAR(I7)&amp;"-"&amp;MONTH(I7),49:49)</f>
        <v>0</v>
      </c>
      <c r="K7" s="560"/>
      <c r="L7" s="2717"/>
      <c r="M7" s="2718"/>
      <c r="N7" s="2718"/>
      <c r="O7" s="2718"/>
      <c r="P7" s="3693" t="s">
        <v>1680</v>
      </c>
      <c r="Q7" s="3721"/>
      <c r="R7" s="701" t="s">
        <v>14</v>
      </c>
      <c r="S7" s="702">
        <f t="shared" ref="S7:S14" si="0">F7</f>
        <v>0</v>
      </c>
      <c r="T7" s="701" t="s">
        <v>14</v>
      </c>
      <c r="U7" s="702">
        <f t="shared" ref="U7:U14" si="1">H7</f>
        <v>0</v>
      </c>
      <c r="V7" s="701" t="s">
        <v>14</v>
      </c>
      <c r="W7" s="702">
        <f t="shared" ref="W7:W14" si="2">J7</f>
        <v>0</v>
      </c>
      <c r="X7" s="703"/>
      <c r="Y7" s="3693" t="s">
        <v>1680</v>
      </c>
      <c r="Z7" s="3694"/>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693" t="s">
        <v>1683</v>
      </c>
      <c r="Q8" s="3694"/>
      <c r="R8" s="701" t="s">
        <v>14</v>
      </c>
      <c r="S8" s="702">
        <f t="shared" si="0"/>
        <v>100</v>
      </c>
      <c r="T8" s="701" t="s">
        <v>14</v>
      </c>
      <c r="U8" s="702">
        <f t="shared" si="1"/>
        <v>100</v>
      </c>
      <c r="V8" s="701" t="s">
        <v>14</v>
      </c>
      <c r="W8" s="702">
        <f t="shared" si="2"/>
        <v>100</v>
      </c>
      <c r="X8" s="703"/>
      <c r="Y8" s="3693" t="s">
        <v>1683</v>
      </c>
      <c r="Z8" s="3694"/>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725" t="s">
        <v>1686</v>
      </c>
      <c r="Q9" s="1343" t="str">
        <f t="shared" ref="Q9:Q14" si="6">B9</f>
        <v>用途</v>
      </c>
      <c r="R9" s="701" t="s">
        <v>14</v>
      </c>
      <c r="S9" s="702">
        <f t="shared" si="0"/>
        <v>100</v>
      </c>
      <c r="T9" s="701" t="s">
        <v>14</v>
      </c>
      <c r="U9" s="702">
        <f t="shared" si="1"/>
        <v>100</v>
      </c>
      <c r="V9" s="701" t="s">
        <v>14</v>
      </c>
      <c r="W9" s="702">
        <f t="shared" si="2"/>
        <v>100</v>
      </c>
      <c r="X9" s="703"/>
      <c r="Y9" s="3637"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725"/>
      <c r="Q10" s="1343" t="str">
        <f t="shared" si="6"/>
        <v>土地使用年限（年）</v>
      </c>
      <c r="R10" s="701" t="s">
        <v>14</v>
      </c>
      <c r="S10" s="702">
        <f t="shared" si="0"/>
        <v>100</v>
      </c>
      <c r="T10" s="701" t="s">
        <v>14</v>
      </c>
      <c r="U10" s="702">
        <f t="shared" si="1"/>
        <v>100</v>
      </c>
      <c r="V10" s="701" t="s">
        <v>14</v>
      </c>
      <c r="W10" s="702">
        <f t="shared" si="2"/>
        <v>100</v>
      </c>
      <c r="X10" s="703"/>
      <c r="Y10" s="3637"/>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725"/>
      <c r="Q11" s="1343">
        <f t="shared" si="6"/>
        <v>111</v>
      </c>
      <c r="R11" s="701" t="s">
        <v>14</v>
      </c>
      <c r="S11" s="702">
        <f t="shared" si="0"/>
        <v>100</v>
      </c>
      <c r="T11" s="701" t="s">
        <v>14</v>
      </c>
      <c r="U11" s="702">
        <f t="shared" si="1"/>
        <v>100</v>
      </c>
      <c r="V11" s="701" t="s">
        <v>14</v>
      </c>
      <c r="W11" s="702">
        <f t="shared" si="2"/>
        <v>100</v>
      </c>
      <c r="X11" s="703"/>
      <c r="Y11" s="3637"/>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725"/>
      <c r="Q12" s="1343">
        <f t="shared" si="6"/>
        <v>111</v>
      </c>
      <c r="R12" s="701" t="s">
        <v>14</v>
      </c>
      <c r="S12" s="702">
        <f t="shared" si="0"/>
        <v>100</v>
      </c>
      <c r="T12" s="701" t="s">
        <v>14</v>
      </c>
      <c r="U12" s="702">
        <f t="shared" si="1"/>
        <v>100</v>
      </c>
      <c r="V12" s="701" t="s">
        <v>14</v>
      </c>
      <c r="W12" s="702">
        <f t="shared" si="2"/>
        <v>100</v>
      </c>
      <c r="X12" s="703"/>
      <c r="Y12" s="3637"/>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725"/>
      <c r="Q13" s="1343">
        <f t="shared" si="6"/>
        <v>111</v>
      </c>
      <c r="R13" s="701" t="s">
        <v>14</v>
      </c>
      <c r="S13" s="702">
        <f t="shared" si="0"/>
        <v>100</v>
      </c>
      <c r="T13" s="701" t="s">
        <v>14</v>
      </c>
      <c r="U13" s="702">
        <f t="shared" si="1"/>
        <v>100</v>
      </c>
      <c r="V13" s="701" t="s">
        <v>14</v>
      </c>
      <c r="W13" s="702">
        <f t="shared" si="2"/>
        <v>100</v>
      </c>
      <c r="X13" s="703"/>
      <c r="Y13" s="3637"/>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727" t="s">
        <v>1691</v>
      </c>
      <c r="Q14" s="1352" t="str">
        <f t="shared" si="6"/>
        <v>交通便捷度</v>
      </c>
      <c r="R14" s="705" t="s">
        <v>14</v>
      </c>
      <c r="S14" s="706">
        <f t="shared" si="0"/>
        <v>100</v>
      </c>
      <c r="T14" s="705" t="s">
        <v>14</v>
      </c>
      <c r="U14" s="706">
        <f t="shared" si="1"/>
        <v>100</v>
      </c>
      <c r="V14" s="705" t="s">
        <v>14</v>
      </c>
      <c r="W14" s="706">
        <f t="shared" si="2"/>
        <v>100</v>
      </c>
      <c r="X14" s="1355"/>
      <c r="Y14" s="3727"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728"/>
      <c r="Q15" s="1352"/>
      <c r="R15" s="705"/>
      <c r="S15" s="706"/>
      <c r="T15" s="705"/>
      <c r="U15" s="706"/>
      <c r="V15" s="705"/>
      <c r="W15" s="706"/>
      <c r="X15" s="1355"/>
      <c r="Y15" s="3728"/>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728"/>
      <c r="Q16" s="1352" t="str">
        <f>B16</f>
        <v>公共配套设施</v>
      </c>
      <c r="R16" s="705" t="s">
        <v>14</v>
      </c>
      <c r="S16" s="706">
        <f>F16</f>
        <v>100</v>
      </c>
      <c r="T16" s="705" t="s">
        <v>14</v>
      </c>
      <c r="U16" s="706">
        <f>H16</f>
        <v>100</v>
      </c>
      <c r="V16" s="705" t="s">
        <v>14</v>
      </c>
      <c r="W16" s="706">
        <f>J16</f>
        <v>100</v>
      </c>
      <c r="X16" s="1355"/>
      <c r="Y16" s="3728"/>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728"/>
      <c r="Q17" s="1352"/>
      <c r="R17" s="705"/>
      <c r="S17" s="706"/>
      <c r="T17" s="705"/>
      <c r="U17" s="706"/>
      <c r="V17" s="705"/>
      <c r="W17" s="706"/>
      <c r="X17" s="1355"/>
      <c r="Y17" s="3728"/>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728"/>
      <c r="Q18" s="1352" t="str">
        <f>B18</f>
        <v>基础设施水平</v>
      </c>
      <c r="R18" s="705" t="s">
        <v>14</v>
      </c>
      <c r="S18" s="706">
        <f>F18</f>
        <v>100</v>
      </c>
      <c r="T18" s="705" t="s">
        <v>14</v>
      </c>
      <c r="U18" s="706">
        <f>H18</f>
        <v>100</v>
      </c>
      <c r="V18" s="705" t="s">
        <v>14</v>
      </c>
      <c r="W18" s="706">
        <f>J18</f>
        <v>100</v>
      </c>
      <c r="X18" s="1355"/>
      <c r="Y18" s="3728"/>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728"/>
      <c r="Q19" s="1352"/>
      <c r="R19" s="705"/>
      <c r="S19" s="706"/>
      <c r="T19" s="705"/>
      <c r="U19" s="706"/>
      <c r="V19" s="705"/>
      <c r="W19" s="706"/>
      <c r="X19" s="1355"/>
      <c r="Y19" s="3728"/>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728"/>
      <c r="Q20" s="1352" t="str">
        <f>B20</f>
        <v>自然及人文环境</v>
      </c>
      <c r="R20" s="705" t="s">
        <v>14</v>
      </c>
      <c r="S20" s="706">
        <f>F20</f>
        <v>100</v>
      </c>
      <c r="T20" s="705" t="s">
        <v>14</v>
      </c>
      <c r="U20" s="706">
        <f>H20</f>
        <v>100</v>
      </c>
      <c r="V20" s="705" t="s">
        <v>14</v>
      </c>
      <c r="W20" s="706">
        <f>J20</f>
        <v>100</v>
      </c>
      <c r="X20" s="1355"/>
      <c r="Y20" s="3728"/>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728"/>
      <c r="Q21" s="1352"/>
      <c r="R21" s="705"/>
      <c r="S21" s="706"/>
      <c r="T21" s="705"/>
      <c r="U21" s="706"/>
      <c r="V21" s="705"/>
      <c r="W21" s="706"/>
      <c r="X21" s="1355"/>
      <c r="Y21" s="3728"/>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728"/>
      <c r="Q22" s="1352" t="str">
        <f>B22</f>
        <v>楼层</v>
      </c>
      <c r="R22" s="705" t="s">
        <v>14</v>
      </c>
      <c r="S22" s="706">
        <f>F22</f>
        <v>100</v>
      </c>
      <c r="T22" s="705" t="s">
        <v>14</v>
      </c>
      <c r="U22" s="706">
        <f>H22</f>
        <v>100</v>
      </c>
      <c r="V22" s="705" t="s">
        <v>14</v>
      </c>
      <c r="W22" s="706">
        <f>J22</f>
        <v>100</v>
      </c>
      <c r="X22" s="1355"/>
      <c r="Y22" s="3728"/>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728"/>
      <c r="Q23" s="1352">
        <f>B23</f>
        <v>111</v>
      </c>
      <c r="R23" s="705" t="s">
        <v>14</v>
      </c>
      <c r="S23" s="706">
        <f>F23</f>
        <v>100</v>
      </c>
      <c r="T23" s="705" t="s">
        <v>14</v>
      </c>
      <c r="U23" s="706">
        <f>H23</f>
        <v>100</v>
      </c>
      <c r="V23" s="705" t="s">
        <v>14</v>
      </c>
      <c r="W23" s="706">
        <f>J23</f>
        <v>100</v>
      </c>
      <c r="X23" s="1355"/>
      <c r="Y23" s="3728"/>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728"/>
      <c r="Q24" s="1352">
        <f t="shared" ref="Q24:Q36" si="11">B24</f>
        <v>111</v>
      </c>
      <c r="R24" s="705" t="s">
        <v>14</v>
      </c>
      <c r="S24" s="706">
        <f>F24</f>
        <v>100</v>
      </c>
      <c r="T24" s="705" t="s">
        <v>14</v>
      </c>
      <c r="U24" s="706">
        <f>H24</f>
        <v>100</v>
      </c>
      <c r="V24" s="705" t="s">
        <v>14</v>
      </c>
      <c r="W24" s="706">
        <f>J24</f>
        <v>100</v>
      </c>
      <c r="X24" s="1355"/>
      <c r="Y24" s="3728"/>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728"/>
      <c r="Q25" s="1343">
        <f t="shared" si="11"/>
        <v>111</v>
      </c>
      <c r="R25" s="701" t="s">
        <v>14</v>
      </c>
      <c r="S25" s="702">
        <f>F25</f>
        <v>100</v>
      </c>
      <c r="T25" s="701" t="s">
        <v>14</v>
      </c>
      <c r="U25" s="702">
        <f>H25</f>
        <v>100</v>
      </c>
      <c r="V25" s="701" t="s">
        <v>14</v>
      </c>
      <c r="W25" s="702">
        <f>J25</f>
        <v>100</v>
      </c>
      <c r="X25" s="703"/>
      <c r="Y25" s="3728"/>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51"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32"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732"/>
      <c r="Q27" s="707" t="str">
        <f t="shared" si="11"/>
        <v>项目停车位配比</v>
      </c>
      <c r="R27" s="708" t="s">
        <v>14</v>
      </c>
      <c r="S27" s="709">
        <f t="shared" si="12"/>
        <v>100</v>
      </c>
      <c r="T27" s="708" t="s">
        <v>14</v>
      </c>
      <c r="U27" s="709">
        <f t="shared" si="13"/>
        <v>100</v>
      </c>
      <c r="V27" s="708" t="s">
        <v>14</v>
      </c>
      <c r="W27" s="709">
        <f t="shared" si="14"/>
        <v>100</v>
      </c>
      <c r="X27" s="710"/>
      <c r="Y27" s="3732"/>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732"/>
      <c r="Q28" s="1352" t="str">
        <f t="shared" si="11"/>
        <v>公共部分装修</v>
      </c>
      <c r="R28" s="705" t="s">
        <v>14</v>
      </c>
      <c r="S28" s="706">
        <f t="shared" si="12"/>
        <v>100</v>
      </c>
      <c r="T28" s="705" t="s">
        <v>14</v>
      </c>
      <c r="U28" s="706">
        <f t="shared" si="13"/>
        <v>100</v>
      </c>
      <c r="V28" s="705" t="s">
        <v>14</v>
      </c>
      <c r="W28" s="706">
        <f t="shared" si="14"/>
        <v>100</v>
      </c>
      <c r="X28" s="1355"/>
      <c r="Y28" s="3732"/>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732"/>
      <c r="Q29" s="1352" t="str">
        <f t="shared" si="11"/>
        <v>成新率</v>
      </c>
      <c r="R29" s="705" t="s">
        <v>14</v>
      </c>
      <c r="S29" s="706" t="e">
        <f t="shared" si="12"/>
        <v>#N/A</v>
      </c>
      <c r="T29" s="705" t="s">
        <v>14</v>
      </c>
      <c r="U29" s="706" t="e">
        <f t="shared" si="13"/>
        <v>#N/A</v>
      </c>
      <c r="V29" s="705" t="s">
        <v>14</v>
      </c>
      <c r="W29" s="706" t="e">
        <f t="shared" si="14"/>
        <v>#N/A</v>
      </c>
      <c r="X29" s="1355"/>
      <c r="Y29" s="3732"/>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732"/>
      <c r="Q30" s="1352" t="str">
        <f t="shared" si="11"/>
        <v>物业等级</v>
      </c>
      <c r="R30" s="705" t="s">
        <v>14</v>
      </c>
      <c r="S30" s="706">
        <f t="shared" si="12"/>
        <v>100</v>
      </c>
      <c r="T30" s="705" t="s">
        <v>14</v>
      </c>
      <c r="U30" s="706">
        <f t="shared" si="13"/>
        <v>100</v>
      </c>
      <c r="V30" s="705" t="s">
        <v>14</v>
      </c>
      <c r="W30" s="706">
        <f t="shared" si="14"/>
        <v>100</v>
      </c>
      <c r="X30" s="1355"/>
      <c r="Y30" s="3732"/>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732"/>
      <c r="Q31" s="1343" t="str">
        <f t="shared" si="11"/>
        <v>停车位面积</v>
      </c>
      <c r="R31" s="701" t="s">
        <v>14</v>
      </c>
      <c r="S31" s="702" t="e">
        <f t="shared" si="12"/>
        <v>#N/A</v>
      </c>
      <c r="T31" s="701" t="s">
        <v>14</v>
      </c>
      <c r="U31" s="702" t="e">
        <f t="shared" si="13"/>
        <v>#N/A</v>
      </c>
      <c r="V31" s="701" t="s">
        <v>14</v>
      </c>
      <c r="W31" s="702" t="e">
        <f t="shared" si="14"/>
        <v>#N/A</v>
      </c>
      <c r="X31" s="703"/>
      <c r="Y31" s="3732"/>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732" t="s">
        <v>1696</v>
      </c>
      <c r="Q32" s="1352" t="str">
        <f t="shared" si="11"/>
        <v>车位类型</v>
      </c>
      <c r="R32" s="705" t="s">
        <v>14</v>
      </c>
      <c r="S32" s="706">
        <f t="shared" si="12"/>
        <v>100</v>
      </c>
      <c r="T32" s="705" t="s">
        <v>14</v>
      </c>
      <c r="U32" s="706">
        <f t="shared" si="13"/>
        <v>100</v>
      </c>
      <c r="V32" s="705" t="s">
        <v>14</v>
      </c>
      <c r="W32" s="706">
        <f t="shared" si="14"/>
        <v>100</v>
      </c>
      <c r="X32" s="1355"/>
      <c r="Y32" s="3732"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732"/>
      <c r="Q33" s="1352" t="str">
        <f t="shared" si="11"/>
        <v>是否直接入户</v>
      </c>
      <c r="R33" s="705" t="s">
        <v>14</v>
      </c>
      <c r="S33" s="706">
        <f t="shared" si="12"/>
        <v>100</v>
      </c>
      <c r="T33" s="705" t="s">
        <v>14</v>
      </c>
      <c r="U33" s="706">
        <f t="shared" si="13"/>
        <v>100</v>
      </c>
      <c r="V33" s="705" t="s">
        <v>14</v>
      </c>
      <c r="W33" s="706">
        <f t="shared" si="14"/>
        <v>100</v>
      </c>
      <c r="X33" s="1355"/>
      <c r="Y33" s="3732"/>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732"/>
      <c r="Q34" s="1352">
        <f t="shared" si="11"/>
        <v>111</v>
      </c>
      <c r="R34" s="705" t="s">
        <v>14</v>
      </c>
      <c r="S34" s="706">
        <f t="shared" si="12"/>
        <v>100</v>
      </c>
      <c r="T34" s="705" t="s">
        <v>14</v>
      </c>
      <c r="U34" s="706">
        <f t="shared" si="13"/>
        <v>100</v>
      </c>
      <c r="V34" s="705" t="s">
        <v>14</v>
      </c>
      <c r="W34" s="706">
        <f t="shared" si="14"/>
        <v>100</v>
      </c>
      <c r="X34" s="1355"/>
      <c r="Y34" s="3732"/>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732"/>
      <c r="Q35" s="707">
        <f t="shared" si="11"/>
        <v>111</v>
      </c>
      <c r="R35" s="708" t="s">
        <v>14</v>
      </c>
      <c r="S35" s="709">
        <f t="shared" si="12"/>
        <v>100</v>
      </c>
      <c r="T35" s="708" t="s">
        <v>14</v>
      </c>
      <c r="U35" s="709">
        <f t="shared" si="13"/>
        <v>100</v>
      </c>
      <c r="V35" s="708" t="s">
        <v>14</v>
      </c>
      <c r="W35" s="709">
        <f t="shared" si="14"/>
        <v>100</v>
      </c>
      <c r="X35" s="710"/>
      <c r="Y35" s="3732"/>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732"/>
      <c r="Q36" s="1352">
        <f t="shared" si="11"/>
        <v>111</v>
      </c>
      <c r="R36" s="705" t="s">
        <v>14</v>
      </c>
      <c r="S36" s="706">
        <f t="shared" si="12"/>
        <v>100</v>
      </c>
      <c r="T36" s="705" t="s">
        <v>14</v>
      </c>
      <c r="U36" s="706">
        <f t="shared" si="13"/>
        <v>100</v>
      </c>
      <c r="V36" s="705" t="s">
        <v>14</v>
      </c>
      <c r="W36" s="706">
        <f t="shared" si="14"/>
        <v>100</v>
      </c>
      <c r="X36" s="1355"/>
      <c r="Y36" s="3732"/>
      <c r="Z36" s="1356">
        <f t="shared" si="15"/>
        <v>111</v>
      </c>
      <c r="AA36" s="1353">
        <f t="shared" si="3"/>
        <v>1</v>
      </c>
      <c r="AB36" s="1353">
        <f t="shared" si="4"/>
        <v>1</v>
      </c>
      <c r="AC36" s="1353">
        <f t="shared" si="5"/>
        <v>1</v>
      </c>
    </row>
    <row r="37" spans="1:29" ht="15">
      <c r="A37" s="430" t="s">
        <v>1844</v>
      </c>
      <c r="B37" s="1973" t="s">
        <v>3354</v>
      </c>
      <c r="C37" s="1154" t="s">
        <v>0</v>
      </c>
      <c r="D37" s="1155"/>
      <c r="E37" s="1156"/>
      <c r="F37" s="1157"/>
      <c r="G37" s="1158"/>
      <c r="H37" s="1159"/>
      <c r="I37" s="1156"/>
      <c r="J37" s="1159"/>
      <c r="K37" s="568"/>
      <c r="L37" s="2724"/>
      <c r="M37" s="2725"/>
      <c r="N37" s="2716"/>
      <c r="O37" s="2725"/>
      <c r="P37" s="3725" t="str">
        <f>A37</f>
        <v>成交单价</v>
      </c>
      <c r="Q37" s="3725"/>
      <c r="R37" s="3726">
        <f>E37</f>
        <v>0</v>
      </c>
      <c r="S37" s="3726"/>
      <c r="T37" s="3726">
        <f>G37</f>
        <v>0</v>
      </c>
      <c r="U37" s="3726"/>
      <c r="V37" s="3726">
        <f>I37</f>
        <v>0</v>
      </c>
      <c r="W37" s="3726"/>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725" t="str">
        <f>A38</f>
        <v>比较价值（元/平方米）</v>
      </c>
      <c r="Q38" s="3725"/>
      <c r="R38" s="3726" t="e">
        <f>IF(F1="售价",ROUND(PRODUCT(R37,AA7:AA36),0),ROUND(PRODUCT(R37,AA7:AA36),1))</f>
        <v>#DIV/0!</v>
      </c>
      <c r="S38" s="3726"/>
      <c r="T38" s="3726" t="e">
        <f>IF(F1="售价",ROUND(PRODUCT(T37,AB7:AB36),0),ROUND(PRODUCT(T37,AB7:AB36),1))</f>
        <v>#DIV/0!</v>
      </c>
      <c r="U38" s="3726"/>
      <c r="V38" s="3726" t="e">
        <f>IF(F1="售价",ROUND(PRODUCT(V37,AC7:AC36),0),ROUND(PRODUCT(V37,AC7:AC36),1))</f>
        <v>#DIV/0!</v>
      </c>
      <c r="W38" s="3726"/>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722" t="str">
        <f>A39</f>
        <v>估价对象XX用房的比较价值（楼面单价，元/平方米）</v>
      </c>
      <c r="Q39" s="3723"/>
      <c r="R39" s="3752" t="e">
        <f>IF(F1="售价",ROUND(IF(D38="简单平均",AVERAGE(R38:W38),R38*F38+T38*H38+V38*J38),0),ROUND(IF(D38="简单平均",AVERAGE(R38:V38),R38*F38+T38*H38+V38*J38),1))</f>
        <v>#DIV/0!</v>
      </c>
      <c r="S39" s="3752"/>
      <c r="T39" s="3752"/>
      <c r="U39" s="3752"/>
      <c r="V39" s="3752"/>
      <c r="W39" s="3752"/>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2025-7</v>
      </c>
      <c r="D48" s="1185">
        <f>EDATE(C48,-1)</f>
        <v>45809</v>
      </c>
      <c r="E48" s="1185">
        <f t="shared" ref="E48:O48" si="16">EDATE(D48,-1)</f>
        <v>45778</v>
      </c>
      <c r="F48" s="1185">
        <f t="shared" si="16"/>
        <v>45748</v>
      </c>
      <c r="G48" s="1185">
        <f t="shared" si="16"/>
        <v>45717</v>
      </c>
      <c r="H48" s="1185">
        <f t="shared" si="16"/>
        <v>45689</v>
      </c>
      <c r="I48" s="1185">
        <f t="shared" si="16"/>
        <v>45658</v>
      </c>
      <c r="J48" s="1185">
        <f t="shared" si="16"/>
        <v>45627</v>
      </c>
      <c r="K48" s="1185">
        <f t="shared" si="16"/>
        <v>45597</v>
      </c>
      <c r="L48" s="1185">
        <f t="shared" si="16"/>
        <v>45566</v>
      </c>
      <c r="M48" s="1185">
        <f t="shared" si="16"/>
        <v>45536</v>
      </c>
      <c r="N48" s="1185">
        <f t="shared" si="16"/>
        <v>45505</v>
      </c>
      <c r="O48" s="1185">
        <f t="shared" si="16"/>
        <v>45474</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I17" sqref="I17"/>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3334</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708" t="s">
        <v>1770</v>
      </c>
      <c r="D4" s="3709"/>
      <c r="E4" s="3710" t="s">
        <v>1771</v>
      </c>
      <c r="F4" s="3711"/>
      <c r="G4" s="3708" t="s">
        <v>1772</v>
      </c>
      <c r="H4" s="3709"/>
      <c r="I4" s="3708" t="s">
        <v>1773</v>
      </c>
      <c r="J4" s="3709"/>
      <c r="K4" s="559" t="s">
        <v>1774</v>
      </c>
      <c r="L4" s="2715"/>
      <c r="M4" s="2716"/>
      <c r="N4" s="2716"/>
      <c r="O4" s="2716"/>
      <c r="P4" s="3712" t="s">
        <v>1775</v>
      </c>
      <c r="Q4" s="3713"/>
      <c r="R4" s="3695" t="s">
        <v>1771</v>
      </c>
      <c r="S4" s="3696"/>
      <c r="T4" s="3695" t="s">
        <v>1772</v>
      </c>
      <c r="U4" s="3696"/>
      <c r="V4" s="3720" t="s">
        <v>1773</v>
      </c>
      <c r="W4" s="3720"/>
      <c r="X4" s="1355"/>
      <c r="Y4" s="3695" t="s">
        <v>1775</v>
      </c>
      <c r="Z4" s="3696"/>
      <c r="AA4" s="3690" t="s">
        <v>1771</v>
      </c>
      <c r="AB4" s="3691" t="s">
        <v>1772</v>
      </c>
      <c r="AC4" s="3690" t="s">
        <v>1773</v>
      </c>
    </row>
    <row r="5" spans="1:29" ht="15">
      <c r="A5" s="358"/>
      <c r="B5" s="359"/>
      <c r="C5" s="3701" t="s">
        <v>1673</v>
      </c>
      <c r="D5" s="3702"/>
      <c r="E5" s="3699" t="s">
        <v>1674</v>
      </c>
      <c r="F5" s="3700"/>
      <c r="G5" s="3701" t="s">
        <v>1675</v>
      </c>
      <c r="H5" s="3702"/>
      <c r="I5" s="3701" t="s">
        <v>1676</v>
      </c>
      <c r="J5" s="3702"/>
      <c r="K5" s="559"/>
      <c r="L5" s="2715"/>
      <c r="M5" s="2716"/>
      <c r="N5" s="2716"/>
      <c r="O5" s="2716"/>
      <c r="P5" s="3714"/>
      <c r="Q5" s="3715"/>
      <c r="R5" s="3697"/>
      <c r="S5" s="3698"/>
      <c r="T5" s="3697"/>
      <c r="U5" s="3698"/>
      <c r="V5" s="3720"/>
      <c r="W5" s="3720"/>
      <c r="X5" s="1355"/>
      <c r="Y5" s="3697"/>
      <c r="Z5" s="3698"/>
      <c r="AA5" s="3691"/>
      <c r="AB5" s="3691"/>
      <c r="AC5" s="3691"/>
    </row>
    <row r="6" spans="1:29" ht="15.75" thickBot="1">
      <c r="A6" s="360"/>
      <c r="B6" s="361"/>
      <c r="C6" s="3703" t="s">
        <v>1677</v>
      </c>
      <c r="D6" s="3704"/>
      <c r="E6" s="3705" t="s">
        <v>1677</v>
      </c>
      <c r="F6" s="3706"/>
      <c r="G6" s="3703" t="s">
        <v>1677</v>
      </c>
      <c r="H6" s="3704"/>
      <c r="I6" s="3703" t="s">
        <v>1677</v>
      </c>
      <c r="J6" s="3704"/>
      <c r="K6" s="559" t="s">
        <v>1678</v>
      </c>
      <c r="L6" s="2715"/>
      <c r="M6" s="2716"/>
      <c r="N6" s="2716"/>
      <c r="O6" s="2716"/>
      <c r="P6" s="3716"/>
      <c r="Q6" s="3717"/>
      <c r="R6" s="3697"/>
      <c r="S6" s="3698"/>
      <c r="T6" s="3718"/>
      <c r="U6" s="3719"/>
      <c r="V6" s="3720"/>
      <c r="W6" s="3720"/>
      <c r="X6" s="1355"/>
      <c r="Y6" s="3718"/>
      <c r="Z6" s="3719"/>
      <c r="AA6" s="3692"/>
      <c r="AB6" s="3692"/>
      <c r="AC6" s="3692"/>
    </row>
    <row r="7" spans="1:29" s="108" customFormat="1" ht="15.75" thickBot="1">
      <c r="A7" s="362" t="s">
        <v>1679</v>
      </c>
      <c r="B7" s="363"/>
      <c r="C7" s="364">
        <f>'数据-取费表'!B2</f>
        <v>45861</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693" t="s">
        <v>1680</v>
      </c>
      <c r="Q7" s="3721"/>
      <c r="R7" s="701" t="s">
        <v>14</v>
      </c>
      <c r="S7" s="702">
        <f t="shared" ref="S7:S14" si="0">F7</f>
        <v>0</v>
      </c>
      <c r="T7" s="701" t="s">
        <v>14</v>
      </c>
      <c r="U7" s="702">
        <f t="shared" ref="U7:U14" si="1">H7</f>
        <v>0</v>
      </c>
      <c r="V7" s="701" t="s">
        <v>14</v>
      </c>
      <c r="W7" s="702">
        <f t="shared" ref="W7:W14" si="2">J7</f>
        <v>0</v>
      </c>
      <c r="X7" s="703"/>
      <c r="Y7" s="3693" t="s">
        <v>1680</v>
      </c>
      <c r="Z7" s="3694"/>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693" t="s">
        <v>1683</v>
      </c>
      <c r="Q8" s="3694"/>
      <c r="R8" s="701" t="s">
        <v>14</v>
      </c>
      <c r="S8" s="702">
        <f t="shared" si="0"/>
        <v>100</v>
      </c>
      <c r="T8" s="701" t="s">
        <v>14</v>
      </c>
      <c r="U8" s="702">
        <f t="shared" si="1"/>
        <v>100</v>
      </c>
      <c r="V8" s="701" t="s">
        <v>14</v>
      </c>
      <c r="W8" s="702">
        <f t="shared" si="2"/>
        <v>100</v>
      </c>
      <c r="X8" s="703"/>
      <c r="Y8" s="3693" t="s">
        <v>1683</v>
      </c>
      <c r="Z8" s="3694"/>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725" t="s">
        <v>1686</v>
      </c>
      <c r="Q9" s="1343" t="str">
        <f t="shared" ref="Q9:Q14" si="6">B9</f>
        <v>用途</v>
      </c>
      <c r="R9" s="701" t="s">
        <v>14</v>
      </c>
      <c r="S9" s="702">
        <f t="shared" si="0"/>
        <v>100</v>
      </c>
      <c r="T9" s="701" t="s">
        <v>14</v>
      </c>
      <c r="U9" s="702">
        <f t="shared" si="1"/>
        <v>100</v>
      </c>
      <c r="V9" s="701" t="s">
        <v>14</v>
      </c>
      <c r="W9" s="702">
        <f t="shared" si="2"/>
        <v>100</v>
      </c>
      <c r="X9" s="703"/>
      <c r="Y9" s="3637"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725"/>
      <c r="Q10" s="1343" t="str">
        <f t="shared" si="6"/>
        <v>土地使用年限（年）</v>
      </c>
      <c r="R10" s="701" t="s">
        <v>14</v>
      </c>
      <c r="S10" s="702">
        <f t="shared" si="0"/>
        <v>100</v>
      </c>
      <c r="T10" s="701" t="s">
        <v>14</v>
      </c>
      <c r="U10" s="702">
        <f t="shared" si="1"/>
        <v>100</v>
      </c>
      <c r="V10" s="701" t="s">
        <v>14</v>
      </c>
      <c r="W10" s="702">
        <f t="shared" si="2"/>
        <v>100</v>
      </c>
      <c r="X10" s="703"/>
      <c r="Y10" s="3637"/>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725"/>
      <c r="Q11" s="1343">
        <f t="shared" si="6"/>
        <v>111</v>
      </c>
      <c r="R11" s="701" t="s">
        <v>14</v>
      </c>
      <c r="S11" s="702">
        <f t="shared" si="0"/>
        <v>100</v>
      </c>
      <c r="T11" s="701" t="s">
        <v>14</v>
      </c>
      <c r="U11" s="702">
        <f t="shared" si="1"/>
        <v>100</v>
      </c>
      <c r="V11" s="701" t="s">
        <v>14</v>
      </c>
      <c r="W11" s="702">
        <f t="shared" si="2"/>
        <v>100</v>
      </c>
      <c r="X11" s="703"/>
      <c r="Y11" s="3637"/>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725"/>
      <c r="Q12" s="1343">
        <f t="shared" si="6"/>
        <v>111</v>
      </c>
      <c r="R12" s="701" t="s">
        <v>14</v>
      </c>
      <c r="S12" s="702">
        <f t="shared" si="0"/>
        <v>100</v>
      </c>
      <c r="T12" s="701" t="s">
        <v>14</v>
      </c>
      <c r="U12" s="702">
        <f t="shared" si="1"/>
        <v>100</v>
      </c>
      <c r="V12" s="701" t="s">
        <v>14</v>
      </c>
      <c r="W12" s="702">
        <f t="shared" si="2"/>
        <v>100</v>
      </c>
      <c r="X12" s="703"/>
      <c r="Y12" s="3637"/>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725"/>
      <c r="Q13" s="1343">
        <f t="shared" si="6"/>
        <v>111</v>
      </c>
      <c r="R13" s="701" t="s">
        <v>14</v>
      </c>
      <c r="S13" s="702">
        <f t="shared" si="0"/>
        <v>100</v>
      </c>
      <c r="T13" s="701" t="s">
        <v>14</v>
      </c>
      <c r="U13" s="702">
        <f t="shared" si="1"/>
        <v>100</v>
      </c>
      <c r="V13" s="701" t="s">
        <v>14</v>
      </c>
      <c r="W13" s="702">
        <f t="shared" si="2"/>
        <v>100</v>
      </c>
      <c r="X13" s="703"/>
      <c r="Y13" s="3637"/>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727" t="s">
        <v>1691</v>
      </c>
      <c r="Q14" s="1352" t="str">
        <f t="shared" si="6"/>
        <v>交通便捷度</v>
      </c>
      <c r="R14" s="705" t="s">
        <v>14</v>
      </c>
      <c r="S14" s="706">
        <f t="shared" si="0"/>
        <v>100</v>
      </c>
      <c r="T14" s="705" t="s">
        <v>14</v>
      </c>
      <c r="U14" s="706">
        <f t="shared" si="1"/>
        <v>100</v>
      </c>
      <c r="V14" s="705" t="s">
        <v>14</v>
      </c>
      <c r="W14" s="706">
        <f t="shared" si="2"/>
        <v>100</v>
      </c>
      <c r="X14" s="1355"/>
      <c r="Y14" s="3727"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728"/>
      <c r="Q15" s="1352"/>
      <c r="R15" s="705"/>
      <c r="S15" s="706"/>
      <c r="T15" s="705"/>
      <c r="U15" s="706"/>
      <c r="V15" s="705"/>
      <c r="W15" s="706"/>
      <c r="X15" s="1355"/>
      <c r="Y15" s="3728"/>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728"/>
      <c r="Q16" s="1352" t="str">
        <f>B16</f>
        <v>公共配套设施</v>
      </c>
      <c r="R16" s="705" t="s">
        <v>14</v>
      </c>
      <c r="S16" s="706">
        <f>F16</f>
        <v>100</v>
      </c>
      <c r="T16" s="705" t="s">
        <v>14</v>
      </c>
      <c r="U16" s="706">
        <f>H16</f>
        <v>100</v>
      </c>
      <c r="V16" s="705" t="s">
        <v>14</v>
      </c>
      <c r="W16" s="706">
        <f>J16</f>
        <v>100</v>
      </c>
      <c r="X16" s="1355"/>
      <c r="Y16" s="3728"/>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728"/>
      <c r="Q17" s="1352"/>
      <c r="R17" s="705"/>
      <c r="S17" s="706"/>
      <c r="T17" s="705"/>
      <c r="U17" s="706"/>
      <c r="V17" s="705"/>
      <c r="W17" s="706"/>
      <c r="X17" s="1355"/>
      <c r="Y17" s="3728"/>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728"/>
      <c r="Q18" s="1352" t="str">
        <f>B18</f>
        <v>基础设施水平</v>
      </c>
      <c r="R18" s="705" t="s">
        <v>14</v>
      </c>
      <c r="S18" s="706">
        <f>F18</f>
        <v>100</v>
      </c>
      <c r="T18" s="705" t="s">
        <v>14</v>
      </c>
      <c r="U18" s="706">
        <f>H18</f>
        <v>100</v>
      </c>
      <c r="V18" s="705" t="s">
        <v>14</v>
      </c>
      <c r="W18" s="706">
        <f>J18</f>
        <v>100</v>
      </c>
      <c r="X18" s="1355"/>
      <c r="Y18" s="3728"/>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728"/>
      <c r="Q19" s="1352"/>
      <c r="R19" s="705"/>
      <c r="S19" s="706"/>
      <c r="T19" s="705"/>
      <c r="U19" s="706"/>
      <c r="V19" s="705"/>
      <c r="W19" s="706"/>
      <c r="X19" s="1355"/>
      <c r="Y19" s="3728"/>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728"/>
      <c r="Q20" s="1352" t="str">
        <f>B20</f>
        <v>自然及人文环境</v>
      </c>
      <c r="R20" s="705" t="s">
        <v>14</v>
      </c>
      <c r="S20" s="706">
        <f>F20</f>
        <v>100</v>
      </c>
      <c r="T20" s="705" t="s">
        <v>14</v>
      </c>
      <c r="U20" s="706">
        <f>H20</f>
        <v>100</v>
      </c>
      <c r="V20" s="705" t="s">
        <v>14</v>
      </c>
      <c r="W20" s="706">
        <f>J20</f>
        <v>100</v>
      </c>
      <c r="X20" s="1355"/>
      <c r="Y20" s="3728"/>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728"/>
      <c r="Q21" s="1352"/>
      <c r="R21" s="705"/>
      <c r="S21" s="706"/>
      <c r="T21" s="705"/>
      <c r="U21" s="706"/>
      <c r="V21" s="705"/>
      <c r="W21" s="706"/>
      <c r="X21" s="1355"/>
      <c r="Y21" s="3728"/>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728"/>
      <c r="Q22" s="1352" t="str">
        <f>B22</f>
        <v>楼层</v>
      </c>
      <c r="R22" s="705" t="s">
        <v>14</v>
      </c>
      <c r="S22" s="706">
        <f>F22</f>
        <v>100</v>
      </c>
      <c r="T22" s="705" t="s">
        <v>14</v>
      </c>
      <c r="U22" s="706">
        <f>H22</f>
        <v>100</v>
      </c>
      <c r="V22" s="705" t="s">
        <v>14</v>
      </c>
      <c r="W22" s="706">
        <f>J22</f>
        <v>100</v>
      </c>
      <c r="X22" s="1355"/>
      <c r="Y22" s="3728"/>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728"/>
      <c r="Q23" s="1352">
        <f>B23</f>
        <v>111</v>
      </c>
      <c r="R23" s="705" t="s">
        <v>14</v>
      </c>
      <c r="S23" s="706">
        <f>F23</f>
        <v>100</v>
      </c>
      <c r="T23" s="705" t="s">
        <v>14</v>
      </c>
      <c r="U23" s="706">
        <f>H23</f>
        <v>100</v>
      </c>
      <c r="V23" s="705" t="s">
        <v>14</v>
      </c>
      <c r="W23" s="706">
        <f>J23</f>
        <v>100</v>
      </c>
      <c r="X23" s="1355"/>
      <c r="Y23" s="3728"/>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728"/>
      <c r="Q24" s="1352">
        <f t="shared" ref="Q24:Q34" si="11">B24</f>
        <v>111</v>
      </c>
      <c r="R24" s="705" t="s">
        <v>14</v>
      </c>
      <c r="S24" s="706">
        <f>F24</f>
        <v>100</v>
      </c>
      <c r="T24" s="705" t="s">
        <v>14</v>
      </c>
      <c r="U24" s="706">
        <f>H24</f>
        <v>100</v>
      </c>
      <c r="V24" s="705" t="s">
        <v>14</v>
      </c>
      <c r="W24" s="706">
        <f>J24</f>
        <v>100</v>
      </c>
      <c r="X24" s="1355"/>
      <c r="Y24" s="3728"/>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728"/>
      <c r="Q25" s="1343">
        <f t="shared" si="11"/>
        <v>111</v>
      </c>
      <c r="R25" s="701" t="s">
        <v>14</v>
      </c>
      <c r="S25" s="702">
        <f>F25</f>
        <v>100</v>
      </c>
      <c r="T25" s="701" t="s">
        <v>14</v>
      </c>
      <c r="U25" s="702">
        <f>H25</f>
        <v>100</v>
      </c>
      <c r="V25" s="701" t="s">
        <v>14</v>
      </c>
      <c r="W25" s="702">
        <f>J25</f>
        <v>100</v>
      </c>
      <c r="X25" s="703"/>
      <c r="Y25" s="3728"/>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51"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32"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732"/>
      <c r="Q27" s="707" t="str">
        <f t="shared" si="11"/>
        <v>成新率</v>
      </c>
      <c r="R27" s="708" t="s">
        <v>14</v>
      </c>
      <c r="S27" s="709" t="e">
        <f t="shared" si="12"/>
        <v>#N/A</v>
      </c>
      <c r="T27" s="708" t="s">
        <v>14</v>
      </c>
      <c r="U27" s="709" t="e">
        <f t="shared" si="13"/>
        <v>#N/A</v>
      </c>
      <c r="V27" s="708" t="s">
        <v>14</v>
      </c>
      <c r="W27" s="709" t="e">
        <f t="shared" si="14"/>
        <v>#N/A</v>
      </c>
      <c r="X27" s="710"/>
      <c r="Y27" s="3732"/>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732"/>
      <c r="Q28" s="1352" t="str">
        <f t="shared" si="11"/>
        <v>物业等级</v>
      </c>
      <c r="R28" s="705" t="s">
        <v>14</v>
      </c>
      <c r="S28" s="706">
        <f t="shared" si="12"/>
        <v>100</v>
      </c>
      <c r="T28" s="705" t="s">
        <v>14</v>
      </c>
      <c r="U28" s="706">
        <f t="shared" si="13"/>
        <v>100</v>
      </c>
      <c r="V28" s="705" t="s">
        <v>14</v>
      </c>
      <c r="W28" s="706">
        <f t="shared" si="14"/>
        <v>100</v>
      </c>
      <c r="X28" s="1355"/>
      <c r="Y28" s="3732"/>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732"/>
      <c r="Q29" s="1352" t="str">
        <f t="shared" si="11"/>
        <v>有无电梯</v>
      </c>
      <c r="R29" s="705" t="s">
        <v>14</v>
      </c>
      <c r="S29" s="706">
        <f t="shared" si="12"/>
        <v>100</v>
      </c>
      <c r="T29" s="705" t="s">
        <v>14</v>
      </c>
      <c r="U29" s="706">
        <f t="shared" si="13"/>
        <v>100</v>
      </c>
      <c r="V29" s="705" t="s">
        <v>14</v>
      </c>
      <c r="W29" s="706">
        <f t="shared" si="14"/>
        <v>100</v>
      </c>
      <c r="X29" s="1355"/>
      <c r="Y29" s="3732"/>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732"/>
      <c r="Q30" s="1352" t="str">
        <f t="shared" si="11"/>
        <v>建筑面积</v>
      </c>
      <c r="R30" s="705" t="s">
        <v>14</v>
      </c>
      <c r="S30" s="706" t="e">
        <f t="shared" si="12"/>
        <v>#N/A</v>
      </c>
      <c r="T30" s="705" t="s">
        <v>14</v>
      </c>
      <c r="U30" s="706" t="e">
        <f t="shared" si="13"/>
        <v>#N/A</v>
      </c>
      <c r="V30" s="705" t="s">
        <v>14</v>
      </c>
      <c r="W30" s="706" t="e">
        <f t="shared" si="14"/>
        <v>#N/A</v>
      </c>
      <c r="X30" s="1355"/>
      <c r="Y30" s="3732"/>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732"/>
      <c r="Q31" s="1343" t="str">
        <f t="shared" si="11"/>
        <v>是否封闭</v>
      </c>
      <c r="R31" s="701" t="s">
        <v>14</v>
      </c>
      <c r="S31" s="702">
        <f t="shared" si="12"/>
        <v>100</v>
      </c>
      <c r="T31" s="701" t="s">
        <v>14</v>
      </c>
      <c r="U31" s="702">
        <f t="shared" si="13"/>
        <v>100</v>
      </c>
      <c r="V31" s="701" t="s">
        <v>14</v>
      </c>
      <c r="W31" s="702">
        <f t="shared" si="14"/>
        <v>100</v>
      </c>
      <c r="X31" s="703"/>
      <c r="Y31" s="3732"/>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732" t="s">
        <v>1696</v>
      </c>
      <c r="Q32" s="1352">
        <f t="shared" si="11"/>
        <v>111</v>
      </c>
      <c r="R32" s="705" t="s">
        <v>14</v>
      </c>
      <c r="S32" s="706">
        <f t="shared" si="12"/>
        <v>100</v>
      </c>
      <c r="T32" s="705" t="s">
        <v>14</v>
      </c>
      <c r="U32" s="706">
        <f t="shared" si="13"/>
        <v>100</v>
      </c>
      <c r="V32" s="705" t="s">
        <v>14</v>
      </c>
      <c r="W32" s="706">
        <f t="shared" si="14"/>
        <v>100</v>
      </c>
      <c r="X32" s="1355"/>
      <c r="Y32" s="3732"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732"/>
      <c r="Q33" s="1352">
        <f t="shared" si="11"/>
        <v>111</v>
      </c>
      <c r="R33" s="705" t="s">
        <v>14</v>
      </c>
      <c r="S33" s="706">
        <f t="shared" si="12"/>
        <v>100</v>
      </c>
      <c r="T33" s="705" t="s">
        <v>14</v>
      </c>
      <c r="U33" s="706">
        <f t="shared" si="13"/>
        <v>100</v>
      </c>
      <c r="V33" s="705" t="s">
        <v>14</v>
      </c>
      <c r="W33" s="706">
        <f t="shared" si="14"/>
        <v>100</v>
      </c>
      <c r="X33" s="1355"/>
      <c r="Y33" s="3732"/>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732"/>
      <c r="Q34" s="1352">
        <f t="shared" si="11"/>
        <v>111</v>
      </c>
      <c r="R34" s="705" t="s">
        <v>14</v>
      </c>
      <c r="S34" s="706">
        <f t="shared" si="12"/>
        <v>100</v>
      </c>
      <c r="T34" s="705" t="s">
        <v>14</v>
      </c>
      <c r="U34" s="706">
        <f t="shared" si="13"/>
        <v>100</v>
      </c>
      <c r="V34" s="705" t="s">
        <v>14</v>
      </c>
      <c r="W34" s="706">
        <f t="shared" si="14"/>
        <v>100</v>
      </c>
      <c r="X34" s="1355"/>
      <c r="Y34" s="3732"/>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725" t="str">
        <f>A35</f>
        <v>成交单价（元/平方米）</v>
      </c>
      <c r="Q35" s="3725"/>
      <c r="R35" s="3726">
        <f>E35</f>
        <v>0</v>
      </c>
      <c r="S35" s="3726"/>
      <c r="T35" s="3726">
        <f>G35</f>
        <v>0</v>
      </c>
      <c r="U35" s="3726"/>
      <c r="V35" s="3726">
        <f>I35</f>
        <v>0</v>
      </c>
      <c r="W35" s="3726"/>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725" t="str">
        <f>A36</f>
        <v>比较价值（元/平方米）</v>
      </c>
      <c r="Q36" s="3725"/>
      <c r="R36" s="3726" t="e">
        <f>IF(F1="售价",ROUND(PRODUCT(R35,AA7:AA34),0),ROUND(PRODUCT(R35,AA7:AA34),1))</f>
        <v>#DIV/0!</v>
      </c>
      <c r="S36" s="3726"/>
      <c r="T36" s="3726" t="e">
        <f>IF(F1="售价",ROUND(PRODUCT(T35,AB7:AB34),0),ROUND(PRODUCT(T35,AB7:AB34),1))</f>
        <v>#DIV/0!</v>
      </c>
      <c r="U36" s="3726"/>
      <c r="V36" s="3726" t="e">
        <f>IF(F1="售价",ROUND(PRODUCT(V35,AC7:AC34),0),ROUND(PRODUCT(V35,AC7:AC34),1))</f>
        <v>#DIV/0!</v>
      </c>
      <c r="W36" s="3726"/>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722" t="str">
        <f>A37</f>
        <v>估价对象XX用房的比较价值（楼面单价，元/平方米）</v>
      </c>
      <c r="Q37" s="3723"/>
      <c r="R37" s="3752" t="e">
        <f>IF(F1="售价",ROUND(IF(D36="简单平均",AVERAGE(R36:W36),R36*F36+T36*H36+V36*J36),0),ROUND(IF(D36="简单平均",AVERAGE(R36:V36),R36*F36+T36*H36+V36*J36),1))</f>
        <v>#DIV/0!</v>
      </c>
      <c r="S37" s="3752"/>
      <c r="T37" s="3752"/>
      <c r="U37" s="3752"/>
      <c r="V37" s="3752"/>
      <c r="W37" s="3752"/>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2025-7</v>
      </c>
      <c r="D46" s="1185">
        <f>EDATE(C46,-1)</f>
        <v>45809</v>
      </c>
      <c r="E46" s="1185">
        <f t="shared" ref="E46:O46" si="16">EDATE(D46,-1)</f>
        <v>45778</v>
      </c>
      <c r="F46" s="1185">
        <f t="shared" si="16"/>
        <v>45748</v>
      </c>
      <c r="G46" s="1185">
        <f t="shared" si="16"/>
        <v>45717</v>
      </c>
      <c r="H46" s="1185">
        <f t="shared" si="16"/>
        <v>45689</v>
      </c>
      <c r="I46" s="1185">
        <f t="shared" si="16"/>
        <v>45658</v>
      </c>
      <c r="J46" s="1185">
        <f t="shared" si="16"/>
        <v>45627</v>
      </c>
      <c r="K46" s="1185">
        <f t="shared" si="16"/>
        <v>45597</v>
      </c>
      <c r="L46" s="1185">
        <f t="shared" si="16"/>
        <v>45566</v>
      </c>
      <c r="M46" s="1185">
        <f t="shared" si="16"/>
        <v>45536</v>
      </c>
      <c r="N46" s="1185">
        <f t="shared" si="16"/>
        <v>45505</v>
      </c>
      <c r="O46" s="1185">
        <f t="shared" si="16"/>
        <v>45474</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I17" sqref="I17"/>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708" t="s">
        <v>1770</v>
      </c>
      <c r="D4" s="3709"/>
      <c r="E4" s="3710" t="s">
        <v>1771</v>
      </c>
      <c r="F4" s="3711"/>
      <c r="G4" s="3708" t="s">
        <v>1772</v>
      </c>
      <c r="H4" s="3709"/>
      <c r="I4" s="3708" t="s">
        <v>1773</v>
      </c>
      <c r="J4" s="3709"/>
      <c r="K4" s="559" t="s">
        <v>1774</v>
      </c>
      <c r="L4" s="2715"/>
      <c r="M4" s="2716"/>
      <c r="N4" s="2716"/>
      <c r="O4" s="2716"/>
      <c r="P4" s="3712" t="s">
        <v>1775</v>
      </c>
      <c r="Q4" s="3713"/>
      <c r="R4" s="3695" t="s">
        <v>1771</v>
      </c>
      <c r="S4" s="3696"/>
      <c r="T4" s="3695" t="s">
        <v>1772</v>
      </c>
      <c r="U4" s="3696"/>
      <c r="V4" s="3720" t="s">
        <v>1773</v>
      </c>
      <c r="W4" s="3720"/>
      <c r="X4" s="1355"/>
      <c r="Y4" s="3695" t="s">
        <v>1775</v>
      </c>
      <c r="Z4" s="3696"/>
      <c r="AA4" s="3690" t="s">
        <v>1771</v>
      </c>
      <c r="AB4" s="3691" t="s">
        <v>1772</v>
      </c>
      <c r="AC4" s="3690" t="s">
        <v>1773</v>
      </c>
    </row>
    <row r="5" spans="1:30" ht="15">
      <c r="A5" s="358"/>
      <c r="B5" s="359"/>
      <c r="C5" s="3701" t="s">
        <v>1673</v>
      </c>
      <c r="D5" s="3702"/>
      <c r="E5" s="3699" t="s">
        <v>1674</v>
      </c>
      <c r="F5" s="3700"/>
      <c r="G5" s="3701" t="s">
        <v>1675</v>
      </c>
      <c r="H5" s="3702"/>
      <c r="I5" s="3701" t="s">
        <v>1676</v>
      </c>
      <c r="J5" s="3702"/>
      <c r="K5" s="559"/>
      <c r="L5" s="2715"/>
      <c r="M5" s="2716"/>
      <c r="N5" s="2716"/>
      <c r="O5" s="2716"/>
      <c r="P5" s="3714"/>
      <c r="Q5" s="3715"/>
      <c r="R5" s="3697"/>
      <c r="S5" s="3698"/>
      <c r="T5" s="3697"/>
      <c r="U5" s="3698"/>
      <c r="V5" s="3720"/>
      <c r="W5" s="3720"/>
      <c r="X5" s="1355"/>
      <c r="Y5" s="3697"/>
      <c r="Z5" s="3698"/>
      <c r="AA5" s="3691"/>
      <c r="AB5" s="3691"/>
      <c r="AC5" s="3691"/>
    </row>
    <row r="6" spans="1:30" ht="15.75" thickBot="1">
      <c r="A6" s="360"/>
      <c r="B6" s="361"/>
      <c r="C6" s="3703" t="s">
        <v>1677</v>
      </c>
      <c r="D6" s="3704"/>
      <c r="E6" s="3705" t="s">
        <v>1677</v>
      </c>
      <c r="F6" s="3706"/>
      <c r="G6" s="3703" t="s">
        <v>1677</v>
      </c>
      <c r="H6" s="3704"/>
      <c r="I6" s="3703" t="s">
        <v>1677</v>
      </c>
      <c r="J6" s="3704"/>
      <c r="K6" s="559" t="s">
        <v>1678</v>
      </c>
      <c r="L6" s="2715"/>
      <c r="M6" s="2716"/>
      <c r="N6" s="2716"/>
      <c r="O6" s="2716"/>
      <c r="P6" s="3716"/>
      <c r="Q6" s="3717"/>
      <c r="R6" s="3697"/>
      <c r="S6" s="3698"/>
      <c r="T6" s="3718"/>
      <c r="U6" s="3719"/>
      <c r="V6" s="3720"/>
      <c r="W6" s="3720"/>
      <c r="X6" s="1355"/>
      <c r="Y6" s="3718"/>
      <c r="Z6" s="3719"/>
      <c r="AA6" s="3692"/>
      <c r="AB6" s="3692"/>
      <c r="AC6" s="3692"/>
    </row>
    <row r="7" spans="1:30" s="108" customFormat="1" ht="15.75" thickBot="1">
      <c r="A7" s="362" t="s">
        <v>1679</v>
      </c>
      <c r="B7" s="363"/>
      <c r="C7" s="364">
        <f>'数据-取费表'!B2</f>
        <v>45861</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693" t="s">
        <v>1680</v>
      </c>
      <c r="Q7" s="3721"/>
      <c r="R7" s="701" t="s">
        <v>14</v>
      </c>
      <c r="S7" s="702">
        <f t="shared" ref="S7:S15" si="0">F7</f>
        <v>0</v>
      </c>
      <c r="T7" s="701" t="s">
        <v>14</v>
      </c>
      <c r="U7" s="702">
        <f t="shared" ref="U7:U15" si="1">H7</f>
        <v>0</v>
      </c>
      <c r="V7" s="701" t="s">
        <v>14</v>
      </c>
      <c r="W7" s="702">
        <f t="shared" ref="W7:W15" si="2">J7</f>
        <v>0</v>
      </c>
      <c r="X7" s="703"/>
      <c r="Y7" s="3693" t="s">
        <v>1680</v>
      </c>
      <c r="Z7" s="3694"/>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693" t="s">
        <v>1683</v>
      </c>
      <c r="Q8" s="3694"/>
      <c r="R8" s="701" t="s">
        <v>14</v>
      </c>
      <c r="S8" s="702">
        <f t="shared" si="0"/>
        <v>0</v>
      </c>
      <c r="T8" s="701" t="s">
        <v>14</v>
      </c>
      <c r="U8" s="702">
        <f t="shared" si="1"/>
        <v>0</v>
      </c>
      <c r="V8" s="701" t="s">
        <v>14</v>
      </c>
      <c r="W8" s="702">
        <f t="shared" si="2"/>
        <v>0</v>
      </c>
      <c r="X8" s="703"/>
      <c r="Y8" s="3693" t="s">
        <v>1683</v>
      </c>
      <c r="Z8" s="3694"/>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725" t="s">
        <v>1686</v>
      </c>
      <c r="Q9" s="1343" t="str">
        <f t="shared" ref="Q9:Q15" si="6">B9</f>
        <v>用途</v>
      </c>
      <c r="R9" s="701" t="s">
        <v>14</v>
      </c>
      <c r="S9" s="702">
        <f t="shared" si="0"/>
        <v>100</v>
      </c>
      <c r="T9" s="701" t="s">
        <v>14</v>
      </c>
      <c r="U9" s="702">
        <f t="shared" si="1"/>
        <v>100</v>
      </c>
      <c r="V9" s="701" t="s">
        <v>14</v>
      </c>
      <c r="W9" s="702">
        <f t="shared" si="2"/>
        <v>100</v>
      </c>
      <c r="X9" s="703"/>
      <c r="Y9" s="3637"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t="e">
        <f>ROUND(100/'数据-取费表'!G16,0)</f>
        <v>#DIV/0!</v>
      </c>
      <c r="G10" s="414"/>
      <c r="H10" s="127" t="e">
        <f>ROUND(100/'数据-取费表'!G16,0)</f>
        <v>#DIV/0!</v>
      </c>
      <c r="I10" s="414"/>
      <c r="J10" s="127" t="e">
        <f>ROUND(100/'数据-取费表'!G16,0)</f>
        <v>#DIV/0!</v>
      </c>
      <c r="K10" s="620"/>
      <c r="L10" s="2719"/>
      <c r="M10" s="2720"/>
      <c r="N10" s="2720"/>
      <c r="O10" s="2773"/>
      <c r="P10" s="3725"/>
      <c r="Q10" s="1343" t="str">
        <f t="shared" si="6"/>
        <v>土地使用年限（年）</v>
      </c>
      <c r="R10" s="701" t="s">
        <v>14</v>
      </c>
      <c r="S10" s="702" t="e">
        <f t="shared" si="0"/>
        <v>#DIV/0!</v>
      </c>
      <c r="T10" s="701" t="s">
        <v>14</v>
      </c>
      <c r="U10" s="702" t="e">
        <f t="shared" si="1"/>
        <v>#DIV/0!</v>
      </c>
      <c r="V10" s="701" t="s">
        <v>14</v>
      </c>
      <c r="W10" s="702" t="e">
        <f t="shared" si="2"/>
        <v>#DIV/0!</v>
      </c>
      <c r="X10" s="703"/>
      <c r="Y10" s="3637"/>
      <c r="Z10" s="52" t="str">
        <f t="shared" si="7"/>
        <v>土地使用年限（年）</v>
      </c>
      <c r="AA10" s="704" t="e">
        <f t="shared" si="3"/>
        <v>#DIV/0!</v>
      </c>
      <c r="AB10" s="704" t="e">
        <f t="shared" si="4"/>
        <v>#DIV/0!</v>
      </c>
      <c r="AC10" s="704" t="e">
        <f t="shared" si="5"/>
        <v>#DIV/0!</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725"/>
      <c r="Q11" s="1343" t="str">
        <f t="shared" si="6"/>
        <v>容积率</v>
      </c>
      <c r="R11" s="701" t="s">
        <v>14</v>
      </c>
      <c r="S11" s="702" t="e">
        <f t="shared" si="0"/>
        <v>#N/A</v>
      </c>
      <c r="T11" s="701" t="s">
        <v>14</v>
      </c>
      <c r="U11" s="702" t="e">
        <f t="shared" si="1"/>
        <v>#N/A</v>
      </c>
      <c r="V11" s="701" t="s">
        <v>14</v>
      </c>
      <c r="W11" s="702" t="e">
        <f t="shared" si="2"/>
        <v>#N/A</v>
      </c>
      <c r="X11" s="703"/>
      <c r="Y11" s="3637"/>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725"/>
      <c r="Q12" s="1343" t="str">
        <f t="shared" si="6"/>
        <v>配建</v>
      </c>
      <c r="R12" s="701" t="s">
        <v>14</v>
      </c>
      <c r="S12" s="702">
        <f t="shared" si="0"/>
        <v>100</v>
      </c>
      <c r="T12" s="701" t="s">
        <v>14</v>
      </c>
      <c r="U12" s="702">
        <f t="shared" si="1"/>
        <v>100</v>
      </c>
      <c r="V12" s="701" t="s">
        <v>14</v>
      </c>
      <c r="W12" s="702">
        <f t="shared" si="2"/>
        <v>100</v>
      </c>
      <c r="X12" s="703"/>
      <c r="Y12" s="3637"/>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725"/>
      <c r="Q13" s="1343">
        <f t="shared" si="6"/>
        <v>111</v>
      </c>
      <c r="R13" s="701" t="s">
        <v>14</v>
      </c>
      <c r="S13" s="702">
        <f t="shared" si="0"/>
        <v>100</v>
      </c>
      <c r="T13" s="701" t="s">
        <v>14</v>
      </c>
      <c r="U13" s="702">
        <f t="shared" si="1"/>
        <v>100</v>
      </c>
      <c r="V13" s="701" t="s">
        <v>14</v>
      </c>
      <c r="W13" s="702">
        <f t="shared" si="2"/>
        <v>100</v>
      </c>
      <c r="X13" s="703"/>
      <c r="Y13" s="3637"/>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725"/>
      <c r="Q14" s="1343">
        <f t="shared" si="6"/>
        <v>111</v>
      </c>
      <c r="R14" s="701" t="s">
        <v>14</v>
      </c>
      <c r="S14" s="702">
        <f t="shared" si="0"/>
        <v>100</v>
      </c>
      <c r="T14" s="701" t="s">
        <v>14</v>
      </c>
      <c r="U14" s="702">
        <f t="shared" si="1"/>
        <v>100</v>
      </c>
      <c r="V14" s="701" t="s">
        <v>14</v>
      </c>
      <c r="W14" s="702">
        <f t="shared" si="2"/>
        <v>100</v>
      </c>
      <c r="X14" s="703"/>
      <c r="Y14" s="3637"/>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727" t="s">
        <v>1691</v>
      </c>
      <c r="Q15" s="1352" t="str">
        <f t="shared" si="6"/>
        <v>居住社区成熟度</v>
      </c>
      <c r="R15" s="705" t="s">
        <v>14</v>
      </c>
      <c r="S15" s="706">
        <f t="shared" si="0"/>
        <v>100</v>
      </c>
      <c r="T15" s="705" t="s">
        <v>14</v>
      </c>
      <c r="U15" s="706">
        <f t="shared" si="1"/>
        <v>100</v>
      </c>
      <c r="V15" s="705" t="s">
        <v>14</v>
      </c>
      <c r="W15" s="706">
        <f t="shared" si="2"/>
        <v>100</v>
      </c>
      <c r="X15" s="1355"/>
      <c r="Y15" s="3727"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728"/>
      <c r="Q16" s="1352"/>
      <c r="R16" s="705"/>
      <c r="S16" s="706"/>
      <c r="T16" s="705"/>
      <c r="U16" s="706"/>
      <c r="V16" s="705"/>
      <c r="W16" s="706"/>
      <c r="X16" s="1355"/>
      <c r="Y16" s="3728"/>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728"/>
      <c r="Q17" s="1352" t="str">
        <f>B17</f>
        <v>商业繁华度</v>
      </c>
      <c r="R17" s="705" t="s">
        <v>14</v>
      </c>
      <c r="S17" s="706">
        <f>F17</f>
        <v>100</v>
      </c>
      <c r="T17" s="705" t="s">
        <v>14</v>
      </c>
      <c r="U17" s="706">
        <f>H17</f>
        <v>100</v>
      </c>
      <c r="V17" s="705" t="s">
        <v>14</v>
      </c>
      <c r="W17" s="706">
        <f>J17</f>
        <v>100</v>
      </c>
      <c r="X17" s="1355"/>
      <c r="Y17" s="3728"/>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728"/>
      <c r="Q18" s="1352"/>
      <c r="R18" s="705"/>
      <c r="S18" s="706"/>
      <c r="T18" s="705"/>
      <c r="U18" s="706"/>
      <c r="V18" s="705"/>
      <c r="W18" s="706"/>
      <c r="X18" s="1355"/>
      <c r="Y18" s="3728"/>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728"/>
      <c r="Q19" s="1352" t="str">
        <f>B19</f>
        <v>办公集聚程度</v>
      </c>
      <c r="R19" s="705" t="s">
        <v>14</v>
      </c>
      <c r="S19" s="706">
        <f>F19</f>
        <v>100</v>
      </c>
      <c r="T19" s="705" t="s">
        <v>14</v>
      </c>
      <c r="U19" s="706">
        <f>H19</f>
        <v>100</v>
      </c>
      <c r="V19" s="705" t="s">
        <v>14</v>
      </c>
      <c r="W19" s="706">
        <f>J19</f>
        <v>100</v>
      </c>
      <c r="X19" s="1355"/>
      <c r="Y19" s="3728"/>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728"/>
      <c r="Q20" s="1352"/>
      <c r="R20" s="705"/>
      <c r="S20" s="706"/>
      <c r="T20" s="705"/>
      <c r="U20" s="706"/>
      <c r="V20" s="705"/>
      <c r="W20" s="706"/>
      <c r="X20" s="1355"/>
      <c r="Y20" s="3728"/>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728"/>
      <c r="Q21" s="1352" t="str">
        <f>B21</f>
        <v>交通便捷度</v>
      </c>
      <c r="R21" s="705" t="s">
        <v>14</v>
      </c>
      <c r="S21" s="706">
        <f>F21</f>
        <v>100</v>
      </c>
      <c r="T21" s="705" t="s">
        <v>14</v>
      </c>
      <c r="U21" s="706">
        <f>H21</f>
        <v>100</v>
      </c>
      <c r="V21" s="705" t="s">
        <v>14</v>
      </c>
      <c r="W21" s="706">
        <f>J21</f>
        <v>100</v>
      </c>
      <c r="X21" s="1355"/>
      <c r="Y21" s="3728"/>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728"/>
      <c r="Q22" s="1352"/>
      <c r="R22" s="705"/>
      <c r="S22" s="706"/>
      <c r="T22" s="705"/>
      <c r="U22" s="706"/>
      <c r="V22" s="705"/>
      <c r="W22" s="706"/>
      <c r="X22" s="1355"/>
      <c r="Y22" s="3728"/>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728"/>
      <c r="Q23" s="1352" t="str">
        <f t="shared" ref="Q23:Q37" si="8">B23</f>
        <v>区域土地利用方向</v>
      </c>
      <c r="R23" s="705" t="s">
        <v>14</v>
      </c>
      <c r="S23" s="706">
        <f>F23</f>
        <v>100</v>
      </c>
      <c r="T23" s="705" t="s">
        <v>14</v>
      </c>
      <c r="U23" s="706">
        <f>H23</f>
        <v>100</v>
      </c>
      <c r="V23" s="705" t="s">
        <v>14</v>
      </c>
      <c r="W23" s="706">
        <f>J23</f>
        <v>100</v>
      </c>
      <c r="X23" s="1355"/>
      <c r="Y23" s="3728"/>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728"/>
      <c r="Q24" s="1352"/>
      <c r="R24" s="705"/>
      <c r="S24" s="706"/>
      <c r="T24" s="705"/>
      <c r="U24" s="706"/>
      <c r="V24" s="705"/>
      <c r="W24" s="706"/>
      <c r="X24" s="1355"/>
      <c r="Y24" s="3728"/>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728"/>
      <c r="Q25" s="1352" t="str">
        <f t="shared" si="8"/>
        <v>自然及人文环境状况</v>
      </c>
      <c r="R25" s="705" t="s">
        <v>14</v>
      </c>
      <c r="S25" s="706">
        <f>F25</f>
        <v>100</v>
      </c>
      <c r="T25" s="705" t="s">
        <v>14</v>
      </c>
      <c r="U25" s="706">
        <f>H25</f>
        <v>100</v>
      </c>
      <c r="V25" s="705" t="s">
        <v>14</v>
      </c>
      <c r="W25" s="706">
        <f>J25</f>
        <v>100</v>
      </c>
      <c r="X25" s="1355"/>
      <c r="Y25" s="3728"/>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728"/>
      <c r="Q26" s="1352"/>
      <c r="R26" s="705"/>
      <c r="S26" s="706"/>
      <c r="T26" s="705"/>
      <c r="U26" s="706"/>
      <c r="V26" s="705"/>
      <c r="W26" s="706"/>
      <c r="X26" s="1355"/>
      <c r="Y26" s="3728"/>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728"/>
      <c r="Q27" s="1343" t="str">
        <f t="shared" si="8"/>
        <v>公共配套设施</v>
      </c>
      <c r="R27" s="701" t="s">
        <v>14</v>
      </c>
      <c r="S27" s="702">
        <f>F27</f>
        <v>100</v>
      </c>
      <c r="T27" s="701" t="s">
        <v>14</v>
      </c>
      <c r="U27" s="702">
        <f>H27</f>
        <v>100</v>
      </c>
      <c r="V27" s="701" t="s">
        <v>14</v>
      </c>
      <c r="W27" s="702">
        <f>J27</f>
        <v>100</v>
      </c>
      <c r="X27" s="703"/>
      <c r="Y27" s="3728"/>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728"/>
      <c r="Q28" s="1343"/>
      <c r="R28" s="701"/>
      <c r="S28" s="702"/>
      <c r="T28" s="701"/>
      <c r="U28" s="702"/>
      <c r="V28" s="701"/>
      <c r="W28" s="702"/>
      <c r="X28" s="703"/>
      <c r="Y28" s="3728"/>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728"/>
      <c r="Q29" s="1343" t="str">
        <f t="shared" ref="Q29" si="9">B29</f>
        <v>基础设施水平</v>
      </c>
      <c r="R29" s="701" t="s">
        <v>14</v>
      </c>
      <c r="S29" s="702">
        <f>F29</f>
        <v>100</v>
      </c>
      <c r="T29" s="701" t="s">
        <v>14</v>
      </c>
      <c r="U29" s="702">
        <f>H29</f>
        <v>100</v>
      </c>
      <c r="V29" s="701" t="s">
        <v>14</v>
      </c>
      <c r="W29" s="702">
        <f>J29</f>
        <v>100</v>
      </c>
      <c r="X29" s="703"/>
      <c r="Y29" s="3728"/>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728"/>
      <c r="Q30" s="1343"/>
      <c r="R30" s="701"/>
      <c r="S30" s="702"/>
      <c r="T30" s="701"/>
      <c r="U30" s="702"/>
      <c r="V30" s="701"/>
      <c r="W30" s="702"/>
      <c r="X30" s="703"/>
      <c r="Y30" s="3728"/>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728"/>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728"/>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728"/>
      <c r="Q32" s="1352" t="str">
        <f t="shared" si="8"/>
        <v>毗邻道路的类型与等级</v>
      </c>
      <c r="R32" s="705" t="s">
        <v>14</v>
      </c>
      <c r="S32" s="706">
        <f t="shared" si="10"/>
        <v>100</v>
      </c>
      <c r="T32" s="705" t="s">
        <v>14</v>
      </c>
      <c r="U32" s="706">
        <f t="shared" si="11"/>
        <v>100</v>
      </c>
      <c r="V32" s="705" t="s">
        <v>14</v>
      </c>
      <c r="W32" s="706">
        <f t="shared" si="12"/>
        <v>100</v>
      </c>
      <c r="X32" s="1355"/>
      <c r="Y32" s="3728"/>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728"/>
      <c r="Q33" s="1352"/>
      <c r="R33" s="705"/>
      <c r="S33" s="706"/>
      <c r="T33" s="705"/>
      <c r="U33" s="706"/>
      <c r="V33" s="705"/>
      <c r="W33" s="706"/>
      <c r="X33" s="1355"/>
      <c r="Y33" s="3728"/>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728"/>
      <c r="Q34" s="1352" t="str">
        <f t="shared" si="8"/>
        <v>土地级别</v>
      </c>
      <c r="R34" s="705" t="s">
        <v>14</v>
      </c>
      <c r="S34" s="706">
        <f t="shared" si="10"/>
        <v>100</v>
      </c>
      <c r="T34" s="705" t="s">
        <v>14</v>
      </c>
      <c r="U34" s="706">
        <f t="shared" si="11"/>
        <v>100</v>
      </c>
      <c r="V34" s="705" t="s">
        <v>14</v>
      </c>
      <c r="W34" s="706">
        <f t="shared" si="12"/>
        <v>100</v>
      </c>
      <c r="X34" s="1355"/>
      <c r="Y34" s="3728"/>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728"/>
      <c r="Q35" s="1352">
        <f t="shared" si="8"/>
        <v>111</v>
      </c>
      <c r="R35" s="705" t="s">
        <v>14</v>
      </c>
      <c r="S35" s="706">
        <f t="shared" si="10"/>
        <v>100</v>
      </c>
      <c r="T35" s="705" t="s">
        <v>14</v>
      </c>
      <c r="U35" s="706">
        <f t="shared" si="11"/>
        <v>100</v>
      </c>
      <c r="V35" s="705" t="s">
        <v>14</v>
      </c>
      <c r="W35" s="706">
        <f t="shared" si="12"/>
        <v>100</v>
      </c>
      <c r="X35" s="1355"/>
      <c r="Y35" s="3728"/>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51" t="s">
        <v>1696</v>
      </c>
      <c r="Q36" s="1352">
        <f t="shared" si="8"/>
        <v>111</v>
      </c>
      <c r="R36" s="705" t="s">
        <v>14</v>
      </c>
      <c r="S36" s="706">
        <f t="shared" si="10"/>
        <v>100</v>
      </c>
      <c r="T36" s="705" t="s">
        <v>14</v>
      </c>
      <c r="U36" s="706">
        <f t="shared" si="11"/>
        <v>100</v>
      </c>
      <c r="V36" s="705" t="s">
        <v>14</v>
      </c>
      <c r="W36" s="706">
        <f t="shared" si="12"/>
        <v>100</v>
      </c>
      <c r="X36" s="1355"/>
      <c r="Y36" s="3732"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732"/>
      <c r="Q37" s="1352">
        <f t="shared" si="8"/>
        <v>111</v>
      </c>
      <c r="R37" s="708" t="s">
        <v>14</v>
      </c>
      <c r="S37" s="709">
        <f t="shared" si="10"/>
        <v>100</v>
      </c>
      <c r="T37" s="708" t="s">
        <v>14</v>
      </c>
      <c r="U37" s="709">
        <f t="shared" si="11"/>
        <v>100</v>
      </c>
      <c r="V37" s="708" t="s">
        <v>14</v>
      </c>
      <c r="W37" s="709">
        <f t="shared" si="12"/>
        <v>100</v>
      </c>
      <c r="X37" s="710"/>
      <c r="Y37" s="3732"/>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732"/>
      <c r="Q38" s="1352" t="str">
        <f>B38</f>
        <v>宗地面积</v>
      </c>
      <c r="R38" s="705" t="s">
        <v>14</v>
      </c>
      <c r="S38" s="706" t="e">
        <f t="shared" si="10"/>
        <v>#N/A</v>
      </c>
      <c r="T38" s="705" t="s">
        <v>14</v>
      </c>
      <c r="U38" s="706" t="e">
        <f t="shared" si="11"/>
        <v>#N/A</v>
      </c>
      <c r="V38" s="705" t="s">
        <v>14</v>
      </c>
      <c r="W38" s="706" t="e">
        <f t="shared" si="12"/>
        <v>#N/A</v>
      </c>
      <c r="X38" s="1355"/>
      <c r="Y38" s="3732"/>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732"/>
      <c r="Q39" s="1352" t="str">
        <f t="shared" ref="Q39:Q45" si="14">B39</f>
        <v>宗地形状</v>
      </c>
      <c r="R39" s="705" t="s">
        <v>14</v>
      </c>
      <c r="S39" s="706">
        <f t="shared" si="10"/>
        <v>100</v>
      </c>
      <c r="T39" s="705" t="s">
        <v>14</v>
      </c>
      <c r="U39" s="706">
        <f t="shared" si="11"/>
        <v>100</v>
      </c>
      <c r="V39" s="705" t="s">
        <v>14</v>
      </c>
      <c r="W39" s="706">
        <f t="shared" si="12"/>
        <v>100</v>
      </c>
      <c r="X39" s="1355"/>
      <c r="Y39" s="3732"/>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732"/>
      <c r="Q40" s="1352" t="str">
        <f t="shared" si="14"/>
        <v>临街宽度及深度</v>
      </c>
      <c r="R40" s="705" t="s">
        <v>14</v>
      </c>
      <c r="S40" s="706">
        <f t="shared" si="10"/>
        <v>100</v>
      </c>
      <c r="T40" s="705" t="s">
        <v>14</v>
      </c>
      <c r="U40" s="706">
        <f t="shared" si="11"/>
        <v>100</v>
      </c>
      <c r="V40" s="705" t="s">
        <v>14</v>
      </c>
      <c r="W40" s="706">
        <f t="shared" si="12"/>
        <v>100</v>
      </c>
      <c r="X40" s="1355"/>
      <c r="Y40" s="3732"/>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732"/>
      <c r="Q41" s="1352" t="str">
        <f t="shared" si="14"/>
        <v>宗地开发程度</v>
      </c>
      <c r="R41" s="701" t="s">
        <v>14</v>
      </c>
      <c r="S41" s="702">
        <f t="shared" si="10"/>
        <v>100</v>
      </c>
      <c r="T41" s="701" t="s">
        <v>14</v>
      </c>
      <c r="U41" s="702">
        <f t="shared" si="11"/>
        <v>100</v>
      </c>
      <c r="V41" s="701" t="s">
        <v>14</v>
      </c>
      <c r="W41" s="702">
        <f t="shared" si="12"/>
        <v>100</v>
      </c>
      <c r="X41" s="703"/>
      <c r="Y41" s="3732"/>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732" t="s">
        <v>1696</v>
      </c>
      <c r="Q42" s="1352" t="str">
        <f t="shared" si="14"/>
        <v>工程地质条件</v>
      </c>
      <c r="R42" s="705" t="s">
        <v>14</v>
      </c>
      <c r="S42" s="706">
        <f t="shared" si="10"/>
        <v>100</v>
      </c>
      <c r="T42" s="705" t="s">
        <v>14</v>
      </c>
      <c r="U42" s="706">
        <f t="shared" si="11"/>
        <v>100</v>
      </c>
      <c r="V42" s="705" t="s">
        <v>14</v>
      </c>
      <c r="W42" s="706">
        <f t="shared" si="12"/>
        <v>100</v>
      </c>
      <c r="X42" s="1355"/>
      <c r="Y42" s="3732"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732"/>
      <c r="Q43" s="1352">
        <f t="shared" si="14"/>
        <v>111</v>
      </c>
      <c r="R43" s="705" t="s">
        <v>14</v>
      </c>
      <c r="S43" s="706">
        <f t="shared" si="10"/>
        <v>100</v>
      </c>
      <c r="T43" s="705" t="s">
        <v>14</v>
      </c>
      <c r="U43" s="706">
        <f t="shared" si="11"/>
        <v>100</v>
      </c>
      <c r="V43" s="705" t="s">
        <v>14</v>
      </c>
      <c r="W43" s="706">
        <f t="shared" si="12"/>
        <v>100</v>
      </c>
      <c r="X43" s="1355"/>
      <c r="Y43" s="3732"/>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732"/>
      <c r="Q44" s="1352">
        <f t="shared" si="14"/>
        <v>111</v>
      </c>
      <c r="R44" s="705" t="s">
        <v>14</v>
      </c>
      <c r="S44" s="706">
        <f t="shared" si="10"/>
        <v>100</v>
      </c>
      <c r="T44" s="705" t="s">
        <v>14</v>
      </c>
      <c r="U44" s="706">
        <f t="shared" si="11"/>
        <v>100</v>
      </c>
      <c r="V44" s="705" t="s">
        <v>14</v>
      </c>
      <c r="W44" s="706">
        <f t="shared" si="12"/>
        <v>100</v>
      </c>
      <c r="X44" s="1355"/>
      <c r="Y44" s="3732"/>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732"/>
      <c r="Q45" s="1352">
        <f t="shared" si="14"/>
        <v>111</v>
      </c>
      <c r="R45" s="708" t="s">
        <v>14</v>
      </c>
      <c r="S45" s="709">
        <f t="shared" si="10"/>
        <v>100</v>
      </c>
      <c r="T45" s="708" t="s">
        <v>14</v>
      </c>
      <c r="U45" s="709">
        <f t="shared" si="11"/>
        <v>100</v>
      </c>
      <c r="V45" s="708" t="s">
        <v>14</v>
      </c>
      <c r="W45" s="709">
        <f t="shared" si="12"/>
        <v>100</v>
      </c>
      <c r="X45" s="710"/>
      <c r="Y45" s="3732"/>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725" t="str">
        <f>A46</f>
        <v>成交单价</v>
      </c>
      <c r="Q46" s="3725"/>
      <c r="R46" s="3720">
        <f>E46</f>
        <v>0</v>
      </c>
      <c r="S46" s="3720"/>
      <c r="T46" s="3720">
        <f>G46</f>
        <v>0</v>
      </c>
      <c r="U46" s="3720"/>
      <c r="V46" s="3720">
        <f>I46</f>
        <v>0</v>
      </c>
      <c r="W46" s="3720"/>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725" t="str">
        <f>A47</f>
        <v>比较价值（元/平方米）</v>
      </c>
      <c r="Q47" s="3725"/>
      <c r="R47" s="3753" t="e">
        <f>ROUND(PRODUCT(R46,AA7:AA45),0)</f>
        <v>#DIV/0!</v>
      </c>
      <c r="S47" s="3753"/>
      <c r="T47" s="3753" t="e">
        <f>ROUND(PRODUCT(T46,AB7:AB45),0)</f>
        <v>#DIV/0!</v>
      </c>
      <c r="U47" s="3753"/>
      <c r="V47" s="3753" t="e">
        <f>ROUND(PRODUCT(V46,AC7:AC45),0)</f>
        <v>#DIV/0!</v>
      </c>
      <c r="W47" s="3753"/>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722" t="str">
        <f>A48</f>
        <v>估价对象XX用房的比较价值（楼面单价，元/平方米）</v>
      </c>
      <c r="Q48" s="3723"/>
      <c r="R48" s="3754" t="e">
        <f>ROUND(IF(D47="简单平均",AVERAGE(R47:W47),R47*F47+T47*H47+V47*J47),0)</f>
        <v>#DIV/0!</v>
      </c>
      <c r="S48" s="3754"/>
      <c r="T48" s="3754"/>
      <c r="U48" s="3754"/>
      <c r="V48" s="3754"/>
      <c r="W48" s="3754"/>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708" t="s">
        <v>1887</v>
      </c>
      <c r="H55" s="3755"/>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0</v>
      </c>
      <c r="F56" s="886" t="e">
        <f t="shared" ref="F56:F64" si="15">ROUND(B56*E56/10000,0)</f>
        <v>#DIV/0!</v>
      </c>
      <c r="G56" s="3707"/>
      <c r="H56" s="3725"/>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v>
      </c>
      <c r="D57" s="945">
        <v>0.25</v>
      </c>
      <c r="E57" s="642"/>
      <c r="F57" s="886" t="e">
        <f t="shared" si="15"/>
        <v>#DIV/0!</v>
      </c>
      <c r="G57" s="3006" t="s">
        <v>1892</v>
      </c>
      <c r="H57" s="887">
        <f>项目基本情况!B37</f>
        <v>0</v>
      </c>
      <c r="I57" s="891">
        <f>SUMIF(修正!A59:A70,H57,修正!B59:B70)</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v>
      </c>
      <c r="D58" s="945">
        <v>0.25</v>
      </c>
      <c r="E58" s="642"/>
      <c r="F58" s="886" t="e">
        <f t="shared" si="15"/>
        <v>#DIV/0!</v>
      </c>
      <c r="G58" s="3007"/>
      <c r="H58" s="887">
        <f>项目基本情况!B37</f>
        <v>0</v>
      </c>
      <c r="I58" s="891">
        <f>SUMIF(修正!A59:A70,H58,修正!C59:C70)</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v>
      </c>
      <c r="D59" s="945">
        <v>0.25</v>
      </c>
      <c r="E59" s="642"/>
      <c r="F59" s="886" t="e">
        <f t="shared" si="15"/>
        <v>#DIV/0!</v>
      </c>
      <c r="G59" s="3007"/>
      <c r="H59" s="887">
        <f>项目基本情况!B37</f>
        <v>0</v>
      </c>
      <c r="I59" s="891">
        <f>SUMIF(修正!A59:A70,H59,修正!D59:D70)</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SUMIF(修正!A59:A70,H60,修正!E59:E70)</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SUMIF(修正!A59:A70,H61,修正!F59:F70)</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SUMIF(修正!A59:A70,H62,修正!G59:G70)</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SUMIF(修正!A59:A70,H63,修正!G59:G70)</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SUMIF(修正!A59:A70,H64,修正!G59:G70)</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0</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2025-7-1</v>
      </c>
      <c r="D67" s="692">
        <f>EDATE(C67,-3)</f>
        <v>45748</v>
      </c>
      <c r="E67" s="692">
        <f>EDATE(D67,-3)</f>
        <v>45658</v>
      </c>
      <c r="F67" s="692">
        <f t="shared" ref="F67:O67" si="18">EDATE(E67,-3)</f>
        <v>45566</v>
      </c>
      <c r="G67" s="692">
        <f t="shared" si="18"/>
        <v>45474</v>
      </c>
      <c r="H67" s="692">
        <f t="shared" si="18"/>
        <v>45383</v>
      </c>
      <c r="I67" s="692">
        <f t="shared" si="18"/>
        <v>45292</v>
      </c>
      <c r="J67" s="692">
        <f t="shared" si="18"/>
        <v>45200</v>
      </c>
      <c r="K67" s="692">
        <f t="shared" si="18"/>
        <v>45108</v>
      </c>
      <c r="L67" s="692">
        <f t="shared" si="18"/>
        <v>45017</v>
      </c>
      <c r="M67" s="692">
        <f t="shared" si="18"/>
        <v>44927</v>
      </c>
      <c r="N67" s="692">
        <f t="shared" si="18"/>
        <v>44835</v>
      </c>
      <c r="O67" s="692">
        <f t="shared" si="18"/>
        <v>44743</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2025-3</v>
      </c>
      <c r="D69" s="1182" t="str">
        <f>YEAR(D67)&amp;"-"&amp;ROUNDUP(MONTH(D67)/3,0)</f>
        <v>2025-2</v>
      </c>
      <c r="E69" s="1182" t="str">
        <f t="shared" ref="E69:O69" si="19">YEAR(E67)&amp;"-"&amp;ROUNDUP(MONTH(E67)/3,0)</f>
        <v>2025-1</v>
      </c>
      <c r="F69" s="1182" t="str">
        <f t="shared" si="19"/>
        <v>2024-4</v>
      </c>
      <c r="G69" s="1182" t="str">
        <f t="shared" si="19"/>
        <v>2024-3</v>
      </c>
      <c r="H69" s="1182" t="str">
        <f t="shared" si="19"/>
        <v>2024-2</v>
      </c>
      <c r="I69" s="1182" t="str">
        <f t="shared" si="19"/>
        <v>2024-1</v>
      </c>
      <c r="J69" s="1182" t="str">
        <f t="shared" si="19"/>
        <v>2023-4</v>
      </c>
      <c r="K69" s="1182" t="str">
        <f t="shared" si="19"/>
        <v>2023-3</v>
      </c>
      <c r="L69" s="1182" t="str">
        <f t="shared" si="19"/>
        <v>2023-2</v>
      </c>
      <c r="M69" s="1182" t="str">
        <f t="shared" si="19"/>
        <v>2023-1</v>
      </c>
      <c r="N69" s="1182" t="str">
        <f t="shared" si="19"/>
        <v>2022-4</v>
      </c>
      <c r="O69" s="1182" t="str">
        <f t="shared" si="19"/>
        <v>2022-3</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I17" sqref="I17"/>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708" t="s">
        <v>1770</v>
      </c>
      <c r="D4" s="3709"/>
      <c r="E4" s="3710" t="s">
        <v>1771</v>
      </c>
      <c r="F4" s="3711"/>
      <c r="G4" s="3708" t="s">
        <v>1772</v>
      </c>
      <c r="H4" s="3709"/>
      <c r="I4" s="3708" t="s">
        <v>1773</v>
      </c>
      <c r="J4" s="3709"/>
      <c r="K4" s="559" t="s">
        <v>1774</v>
      </c>
      <c r="L4" s="2715"/>
      <c r="M4" s="2716"/>
      <c r="N4" s="2716"/>
      <c r="O4" s="2716"/>
      <c r="P4" s="3712" t="s">
        <v>1775</v>
      </c>
      <c r="Q4" s="3713"/>
      <c r="R4" s="3695" t="s">
        <v>1771</v>
      </c>
      <c r="S4" s="3696"/>
      <c r="T4" s="3695" t="s">
        <v>1772</v>
      </c>
      <c r="U4" s="3696"/>
      <c r="V4" s="3720" t="s">
        <v>1773</v>
      </c>
      <c r="W4" s="3720"/>
      <c r="X4" s="1355"/>
      <c r="Y4" s="3695" t="s">
        <v>1775</v>
      </c>
      <c r="Z4" s="3696"/>
      <c r="AA4" s="3690" t="s">
        <v>1771</v>
      </c>
      <c r="AB4" s="3691" t="s">
        <v>1772</v>
      </c>
      <c r="AC4" s="3690" t="s">
        <v>1773</v>
      </c>
    </row>
    <row r="5" spans="1:29" ht="15">
      <c r="A5" s="358"/>
      <c r="B5" s="359"/>
      <c r="C5" s="3701" t="s">
        <v>1673</v>
      </c>
      <c r="D5" s="3702"/>
      <c r="E5" s="3699" t="s">
        <v>1674</v>
      </c>
      <c r="F5" s="3700"/>
      <c r="G5" s="3701" t="s">
        <v>1675</v>
      </c>
      <c r="H5" s="3702"/>
      <c r="I5" s="3701" t="s">
        <v>1676</v>
      </c>
      <c r="J5" s="3702"/>
      <c r="K5" s="559"/>
      <c r="L5" s="2715"/>
      <c r="M5" s="2716"/>
      <c r="N5" s="2716"/>
      <c r="O5" s="2716"/>
      <c r="P5" s="3714"/>
      <c r="Q5" s="3715"/>
      <c r="R5" s="3697"/>
      <c r="S5" s="3698"/>
      <c r="T5" s="3697"/>
      <c r="U5" s="3698"/>
      <c r="V5" s="3720"/>
      <c r="W5" s="3720"/>
      <c r="X5" s="1355"/>
      <c r="Y5" s="3697"/>
      <c r="Z5" s="3698"/>
      <c r="AA5" s="3691"/>
      <c r="AB5" s="3691"/>
      <c r="AC5" s="3691"/>
    </row>
    <row r="6" spans="1:29" ht="15.75" thickBot="1">
      <c r="A6" s="360"/>
      <c r="B6" s="361"/>
      <c r="C6" s="3756" t="s">
        <v>1919</v>
      </c>
      <c r="D6" s="3757"/>
      <c r="E6" s="3758" t="s">
        <v>1919</v>
      </c>
      <c r="F6" s="3759"/>
      <c r="G6" s="3756" t="s">
        <v>1919</v>
      </c>
      <c r="H6" s="3757"/>
      <c r="I6" s="3756" t="s">
        <v>1919</v>
      </c>
      <c r="J6" s="3757"/>
      <c r="K6" s="559" t="s">
        <v>1678</v>
      </c>
      <c r="L6" s="2715"/>
      <c r="M6" s="2716"/>
      <c r="N6" s="2716"/>
      <c r="O6" s="2716"/>
      <c r="P6" s="3716"/>
      <c r="Q6" s="3717"/>
      <c r="R6" s="3697"/>
      <c r="S6" s="3698"/>
      <c r="T6" s="3718"/>
      <c r="U6" s="3719"/>
      <c r="V6" s="3720"/>
      <c r="W6" s="3720"/>
      <c r="X6" s="1355"/>
      <c r="Y6" s="3718"/>
      <c r="Z6" s="3719"/>
      <c r="AA6" s="3692"/>
      <c r="AB6" s="3692"/>
      <c r="AC6" s="3692"/>
    </row>
    <row r="7" spans="1:29" s="108" customFormat="1" ht="15.75" thickBot="1">
      <c r="A7" s="362" t="s">
        <v>1679</v>
      </c>
      <c r="B7" s="363"/>
      <c r="C7" s="364">
        <f>'数据-取费表'!B2</f>
        <v>45861</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693" t="s">
        <v>1680</v>
      </c>
      <c r="Q7" s="3721"/>
      <c r="R7" s="701" t="s">
        <v>14</v>
      </c>
      <c r="S7" s="702">
        <f t="shared" ref="S7:S15" si="0">F7</f>
        <v>0</v>
      </c>
      <c r="T7" s="701" t="s">
        <v>14</v>
      </c>
      <c r="U7" s="702">
        <f t="shared" ref="U7:U15" si="1">H7</f>
        <v>0</v>
      </c>
      <c r="V7" s="701" t="s">
        <v>14</v>
      </c>
      <c r="W7" s="702">
        <f t="shared" ref="W7:W15" si="2">J7</f>
        <v>0</v>
      </c>
      <c r="X7" s="703"/>
      <c r="Y7" s="3693" t="s">
        <v>1680</v>
      </c>
      <c r="Z7" s="3694"/>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693" t="s">
        <v>1683</v>
      </c>
      <c r="Q8" s="3694"/>
      <c r="R8" s="701" t="s">
        <v>14</v>
      </c>
      <c r="S8" s="702">
        <f t="shared" si="0"/>
        <v>0</v>
      </c>
      <c r="T8" s="701" t="s">
        <v>14</v>
      </c>
      <c r="U8" s="702">
        <f t="shared" si="1"/>
        <v>0</v>
      </c>
      <c r="V8" s="701" t="s">
        <v>14</v>
      </c>
      <c r="W8" s="702">
        <f t="shared" si="2"/>
        <v>0</v>
      </c>
      <c r="X8" s="703"/>
      <c r="Y8" s="3693" t="s">
        <v>1683</v>
      </c>
      <c r="Z8" s="3694"/>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725" t="s">
        <v>1686</v>
      </c>
      <c r="Q9" s="1343" t="str">
        <f t="shared" ref="Q9:Q15" si="6">B9</f>
        <v>用途</v>
      </c>
      <c r="R9" s="701" t="s">
        <v>14</v>
      </c>
      <c r="S9" s="702">
        <f t="shared" si="0"/>
        <v>100</v>
      </c>
      <c r="T9" s="701" t="s">
        <v>14</v>
      </c>
      <c r="U9" s="702">
        <f t="shared" si="1"/>
        <v>100</v>
      </c>
      <c r="V9" s="701" t="s">
        <v>14</v>
      </c>
      <c r="W9" s="702">
        <f t="shared" si="2"/>
        <v>100</v>
      </c>
      <c r="X9" s="703"/>
      <c r="Y9" s="3637"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t="e">
        <f>ROUND(100/'数据-取费表'!G16,0)</f>
        <v>#DIV/0!</v>
      </c>
      <c r="G10" s="383"/>
      <c r="H10" s="127" t="e">
        <f>ROUND(100/'数据-取费表'!G16,0)</f>
        <v>#DIV/0!</v>
      </c>
      <c r="I10" s="383"/>
      <c r="J10" s="127" t="e">
        <f>ROUND(100/'数据-取费表'!G16,0)</f>
        <v>#DIV/0!</v>
      </c>
      <c r="K10" s="620"/>
      <c r="L10" s="2719"/>
      <c r="M10" s="2720"/>
      <c r="N10" s="2720"/>
      <c r="O10" s="2773"/>
      <c r="P10" s="3725"/>
      <c r="Q10" s="1343" t="str">
        <f t="shared" si="6"/>
        <v>土地使用年限（年）</v>
      </c>
      <c r="R10" s="701" t="s">
        <v>14</v>
      </c>
      <c r="S10" s="702" t="e">
        <f t="shared" si="0"/>
        <v>#DIV/0!</v>
      </c>
      <c r="T10" s="701" t="s">
        <v>14</v>
      </c>
      <c r="U10" s="702" t="e">
        <f t="shared" si="1"/>
        <v>#DIV/0!</v>
      </c>
      <c r="V10" s="701" t="s">
        <v>14</v>
      </c>
      <c r="W10" s="702" t="e">
        <f t="shared" si="2"/>
        <v>#DIV/0!</v>
      </c>
      <c r="X10" s="703"/>
      <c r="Y10" s="3637"/>
      <c r="Z10" s="52" t="str">
        <f t="shared" si="7"/>
        <v>土地使用年限（年）</v>
      </c>
      <c r="AA10" s="704" t="e">
        <f t="shared" si="3"/>
        <v>#DIV/0!</v>
      </c>
      <c r="AB10" s="704" t="e">
        <f t="shared" si="4"/>
        <v>#DIV/0!</v>
      </c>
      <c r="AC10" s="704" t="e">
        <f t="shared" si="5"/>
        <v>#DIV/0!</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725"/>
      <c r="Q11" s="1343" t="str">
        <f t="shared" si="6"/>
        <v>容积率</v>
      </c>
      <c r="R11" s="701" t="s">
        <v>14</v>
      </c>
      <c r="S11" s="702" t="e">
        <f t="shared" si="0"/>
        <v>#N/A</v>
      </c>
      <c r="T11" s="701" t="s">
        <v>14</v>
      </c>
      <c r="U11" s="702" t="e">
        <f t="shared" si="1"/>
        <v>#N/A</v>
      </c>
      <c r="V11" s="701" t="s">
        <v>14</v>
      </c>
      <c r="W11" s="702" t="e">
        <f t="shared" si="2"/>
        <v>#N/A</v>
      </c>
      <c r="X11" s="703"/>
      <c r="Y11" s="3637"/>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725"/>
      <c r="Q12" s="1343">
        <f t="shared" si="6"/>
        <v>111</v>
      </c>
      <c r="R12" s="701" t="s">
        <v>14</v>
      </c>
      <c r="S12" s="702">
        <f t="shared" si="0"/>
        <v>100</v>
      </c>
      <c r="T12" s="701" t="s">
        <v>14</v>
      </c>
      <c r="U12" s="702">
        <f t="shared" si="1"/>
        <v>100</v>
      </c>
      <c r="V12" s="701" t="s">
        <v>14</v>
      </c>
      <c r="W12" s="702">
        <f t="shared" si="2"/>
        <v>100</v>
      </c>
      <c r="X12" s="703"/>
      <c r="Y12" s="3637"/>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725"/>
      <c r="Q13" s="1343">
        <f t="shared" si="6"/>
        <v>111</v>
      </c>
      <c r="R13" s="701" t="s">
        <v>14</v>
      </c>
      <c r="S13" s="702">
        <f t="shared" si="0"/>
        <v>100</v>
      </c>
      <c r="T13" s="701" t="s">
        <v>14</v>
      </c>
      <c r="U13" s="702">
        <f t="shared" si="1"/>
        <v>100</v>
      </c>
      <c r="V13" s="701" t="s">
        <v>14</v>
      </c>
      <c r="W13" s="702">
        <f t="shared" si="2"/>
        <v>100</v>
      </c>
      <c r="X13" s="703"/>
      <c r="Y13" s="3637"/>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725"/>
      <c r="Q14" s="1343">
        <f t="shared" si="6"/>
        <v>111</v>
      </c>
      <c r="R14" s="701" t="s">
        <v>14</v>
      </c>
      <c r="S14" s="702">
        <f t="shared" si="0"/>
        <v>100</v>
      </c>
      <c r="T14" s="701" t="s">
        <v>14</v>
      </c>
      <c r="U14" s="702">
        <f t="shared" si="1"/>
        <v>100</v>
      </c>
      <c r="V14" s="701" t="s">
        <v>14</v>
      </c>
      <c r="W14" s="702">
        <f t="shared" si="2"/>
        <v>100</v>
      </c>
      <c r="X14" s="703"/>
      <c r="Y14" s="3637"/>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727" t="s">
        <v>1691</v>
      </c>
      <c r="Q15" s="1352" t="str">
        <f t="shared" si="6"/>
        <v>产业集聚程度</v>
      </c>
      <c r="R15" s="705" t="s">
        <v>14</v>
      </c>
      <c r="S15" s="706">
        <f t="shared" si="0"/>
        <v>100</v>
      </c>
      <c r="T15" s="705" t="s">
        <v>14</v>
      </c>
      <c r="U15" s="706">
        <f t="shared" si="1"/>
        <v>100</v>
      </c>
      <c r="V15" s="705" t="s">
        <v>14</v>
      </c>
      <c r="W15" s="706">
        <f t="shared" si="2"/>
        <v>100</v>
      </c>
      <c r="X15" s="1355"/>
      <c r="Y15" s="3727"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728"/>
      <c r="Q16" s="1352"/>
      <c r="R16" s="705"/>
      <c r="S16" s="706"/>
      <c r="T16" s="705"/>
      <c r="U16" s="706"/>
      <c r="V16" s="705"/>
      <c r="W16" s="706"/>
      <c r="X16" s="1355"/>
      <c r="Y16" s="3728"/>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728"/>
      <c r="Q17" s="1352" t="str">
        <f>B17</f>
        <v>交通便捷度</v>
      </c>
      <c r="R17" s="705" t="s">
        <v>14</v>
      </c>
      <c r="S17" s="706">
        <f>F17</f>
        <v>100</v>
      </c>
      <c r="T17" s="705" t="s">
        <v>14</v>
      </c>
      <c r="U17" s="706">
        <f>H17</f>
        <v>100</v>
      </c>
      <c r="V17" s="705" t="s">
        <v>14</v>
      </c>
      <c r="W17" s="706">
        <f>J17</f>
        <v>100</v>
      </c>
      <c r="X17" s="1355"/>
      <c r="Y17" s="3728"/>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728"/>
      <c r="Q18" s="1352"/>
      <c r="R18" s="705"/>
      <c r="S18" s="706"/>
      <c r="T18" s="705"/>
      <c r="U18" s="706"/>
      <c r="V18" s="705"/>
      <c r="W18" s="706"/>
      <c r="X18" s="1355"/>
      <c r="Y18" s="3728"/>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728"/>
      <c r="Q19" s="1352" t="str">
        <f t="shared" ref="Q19:Q33" si="8">B19</f>
        <v>区域土地利用方向</v>
      </c>
      <c r="R19" s="705" t="s">
        <v>14</v>
      </c>
      <c r="S19" s="706">
        <f>F19</f>
        <v>100</v>
      </c>
      <c r="T19" s="705" t="s">
        <v>14</v>
      </c>
      <c r="U19" s="706">
        <f>H19</f>
        <v>100</v>
      </c>
      <c r="V19" s="705" t="s">
        <v>14</v>
      </c>
      <c r="W19" s="706">
        <f>J19</f>
        <v>100</v>
      </c>
      <c r="X19" s="1355"/>
      <c r="Y19" s="3728"/>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728"/>
      <c r="Q20" s="1352"/>
      <c r="R20" s="705"/>
      <c r="S20" s="706"/>
      <c r="T20" s="705"/>
      <c r="U20" s="706"/>
      <c r="V20" s="705"/>
      <c r="W20" s="706"/>
      <c r="X20" s="1355"/>
      <c r="Y20" s="3728"/>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728"/>
      <c r="Q21" s="1352" t="str">
        <f t="shared" si="8"/>
        <v>环境状况</v>
      </c>
      <c r="R21" s="705" t="s">
        <v>14</v>
      </c>
      <c r="S21" s="706">
        <f>F21</f>
        <v>100</v>
      </c>
      <c r="T21" s="705" t="s">
        <v>14</v>
      </c>
      <c r="U21" s="706">
        <f>H21</f>
        <v>100</v>
      </c>
      <c r="V21" s="705" t="s">
        <v>14</v>
      </c>
      <c r="W21" s="706">
        <f>J21</f>
        <v>100</v>
      </c>
      <c r="X21" s="1355"/>
      <c r="Y21" s="3728"/>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728"/>
      <c r="Q22" s="1352"/>
      <c r="R22" s="705"/>
      <c r="S22" s="706"/>
      <c r="T22" s="705"/>
      <c r="U22" s="706"/>
      <c r="V22" s="705"/>
      <c r="W22" s="706"/>
      <c r="X22" s="1355"/>
      <c r="Y22" s="3728"/>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728"/>
      <c r="Q23" s="1343" t="str">
        <f t="shared" si="8"/>
        <v>公共配套设施</v>
      </c>
      <c r="R23" s="701" t="s">
        <v>14</v>
      </c>
      <c r="S23" s="702">
        <f>F23</f>
        <v>100</v>
      </c>
      <c r="T23" s="701" t="s">
        <v>14</v>
      </c>
      <c r="U23" s="702">
        <f>H23</f>
        <v>100</v>
      </c>
      <c r="V23" s="701" t="s">
        <v>14</v>
      </c>
      <c r="W23" s="702">
        <f>J23</f>
        <v>100</v>
      </c>
      <c r="X23" s="703"/>
      <c r="Y23" s="3728"/>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728"/>
      <c r="Q24" s="1343"/>
      <c r="R24" s="701"/>
      <c r="S24" s="702"/>
      <c r="T24" s="701"/>
      <c r="U24" s="702"/>
      <c r="V24" s="701"/>
      <c r="W24" s="702"/>
      <c r="X24" s="703"/>
      <c r="Y24" s="3728"/>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728"/>
      <c r="Q25" s="1343" t="str">
        <f t="shared" ref="Q25" si="9">B25</f>
        <v>基础设施水平</v>
      </c>
      <c r="R25" s="701" t="s">
        <v>14</v>
      </c>
      <c r="S25" s="702">
        <f>F25</f>
        <v>100</v>
      </c>
      <c r="T25" s="701" t="s">
        <v>14</v>
      </c>
      <c r="U25" s="702">
        <f>H25</f>
        <v>100</v>
      </c>
      <c r="V25" s="701" t="s">
        <v>14</v>
      </c>
      <c r="W25" s="702">
        <f>J25</f>
        <v>100</v>
      </c>
      <c r="X25" s="703"/>
      <c r="Y25" s="3728"/>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728"/>
      <c r="Q26" s="1343"/>
      <c r="R26" s="701"/>
      <c r="S26" s="702"/>
      <c r="T26" s="701"/>
      <c r="U26" s="702"/>
      <c r="V26" s="701"/>
      <c r="W26" s="702"/>
      <c r="X26" s="703"/>
      <c r="Y26" s="3728"/>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728"/>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728"/>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728"/>
      <c r="Q28" s="1352" t="str">
        <f t="shared" si="8"/>
        <v>毗邻道路的类型与等级</v>
      </c>
      <c r="R28" s="705" t="s">
        <v>14</v>
      </c>
      <c r="S28" s="706">
        <f t="shared" si="10"/>
        <v>100</v>
      </c>
      <c r="T28" s="705" t="s">
        <v>14</v>
      </c>
      <c r="U28" s="706">
        <f t="shared" si="11"/>
        <v>100</v>
      </c>
      <c r="V28" s="705" t="s">
        <v>14</v>
      </c>
      <c r="W28" s="706">
        <f t="shared" si="12"/>
        <v>100</v>
      </c>
      <c r="X28" s="1355"/>
      <c r="Y28" s="3728"/>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728"/>
      <c r="Q29" s="1352"/>
      <c r="R29" s="705"/>
      <c r="S29" s="706"/>
      <c r="T29" s="705"/>
      <c r="U29" s="706"/>
      <c r="V29" s="705"/>
      <c r="W29" s="706"/>
      <c r="X29" s="1355"/>
      <c r="Y29" s="3728"/>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728"/>
      <c r="Q30" s="1352" t="str">
        <f t="shared" si="8"/>
        <v>土地级别</v>
      </c>
      <c r="R30" s="705" t="s">
        <v>14</v>
      </c>
      <c r="S30" s="706">
        <f t="shared" si="10"/>
        <v>100</v>
      </c>
      <c r="T30" s="705" t="s">
        <v>14</v>
      </c>
      <c r="U30" s="706">
        <f t="shared" si="11"/>
        <v>100</v>
      </c>
      <c r="V30" s="705" t="s">
        <v>14</v>
      </c>
      <c r="W30" s="706">
        <f t="shared" si="12"/>
        <v>100</v>
      </c>
      <c r="X30" s="1355"/>
      <c r="Y30" s="3728"/>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728"/>
      <c r="Q31" s="1352">
        <f t="shared" si="8"/>
        <v>111</v>
      </c>
      <c r="R31" s="705" t="s">
        <v>14</v>
      </c>
      <c r="S31" s="706">
        <f t="shared" si="10"/>
        <v>100</v>
      </c>
      <c r="T31" s="705" t="s">
        <v>14</v>
      </c>
      <c r="U31" s="706">
        <f t="shared" si="11"/>
        <v>100</v>
      </c>
      <c r="V31" s="705" t="s">
        <v>14</v>
      </c>
      <c r="W31" s="706">
        <f t="shared" si="12"/>
        <v>100</v>
      </c>
      <c r="X31" s="1355"/>
      <c r="Y31" s="3728"/>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51" t="s">
        <v>1696</v>
      </c>
      <c r="Q32" s="1352">
        <f t="shared" si="8"/>
        <v>111</v>
      </c>
      <c r="R32" s="705" t="s">
        <v>14</v>
      </c>
      <c r="S32" s="706">
        <f t="shared" si="10"/>
        <v>100</v>
      </c>
      <c r="T32" s="705" t="s">
        <v>14</v>
      </c>
      <c r="U32" s="706">
        <f t="shared" si="11"/>
        <v>100</v>
      </c>
      <c r="V32" s="705" t="s">
        <v>14</v>
      </c>
      <c r="W32" s="706">
        <f t="shared" si="12"/>
        <v>100</v>
      </c>
      <c r="X32" s="1355"/>
      <c r="Y32" s="3732"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732"/>
      <c r="Q33" s="1352">
        <f t="shared" si="8"/>
        <v>111</v>
      </c>
      <c r="R33" s="708" t="s">
        <v>14</v>
      </c>
      <c r="S33" s="709">
        <f t="shared" si="10"/>
        <v>100</v>
      </c>
      <c r="T33" s="708" t="s">
        <v>14</v>
      </c>
      <c r="U33" s="709">
        <f t="shared" si="11"/>
        <v>100</v>
      </c>
      <c r="V33" s="708" t="s">
        <v>14</v>
      </c>
      <c r="W33" s="709">
        <f t="shared" si="12"/>
        <v>100</v>
      </c>
      <c r="X33" s="710"/>
      <c r="Y33" s="3732"/>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732"/>
      <c r="Q34" s="1352" t="str">
        <f>B34</f>
        <v>宗地面积</v>
      </c>
      <c r="R34" s="705" t="s">
        <v>14</v>
      </c>
      <c r="S34" s="706" t="e">
        <f t="shared" si="10"/>
        <v>#N/A</v>
      </c>
      <c r="T34" s="705" t="s">
        <v>14</v>
      </c>
      <c r="U34" s="706" t="e">
        <f t="shared" si="11"/>
        <v>#N/A</v>
      </c>
      <c r="V34" s="705" t="s">
        <v>14</v>
      </c>
      <c r="W34" s="706" t="e">
        <f t="shared" si="12"/>
        <v>#N/A</v>
      </c>
      <c r="X34" s="1355"/>
      <c r="Y34" s="3732"/>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732"/>
      <c r="Q35" s="1352" t="str">
        <f t="shared" ref="Q35:Q40" si="14">B35</f>
        <v>宗地形状</v>
      </c>
      <c r="R35" s="705" t="s">
        <v>14</v>
      </c>
      <c r="S35" s="706">
        <f t="shared" si="10"/>
        <v>100</v>
      </c>
      <c r="T35" s="705" t="s">
        <v>14</v>
      </c>
      <c r="U35" s="706">
        <f t="shared" si="11"/>
        <v>100</v>
      </c>
      <c r="V35" s="705" t="s">
        <v>14</v>
      </c>
      <c r="W35" s="706">
        <f t="shared" si="12"/>
        <v>100</v>
      </c>
      <c r="X35" s="1355"/>
      <c r="Y35" s="3732"/>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732"/>
      <c r="Q36" s="1352" t="str">
        <f t="shared" si="14"/>
        <v>宗地开发程度</v>
      </c>
      <c r="R36" s="701" t="s">
        <v>14</v>
      </c>
      <c r="S36" s="702">
        <f t="shared" si="10"/>
        <v>100</v>
      </c>
      <c r="T36" s="701" t="s">
        <v>14</v>
      </c>
      <c r="U36" s="702">
        <f t="shared" si="11"/>
        <v>100</v>
      </c>
      <c r="V36" s="701" t="s">
        <v>14</v>
      </c>
      <c r="W36" s="702">
        <f t="shared" si="12"/>
        <v>100</v>
      </c>
      <c r="X36" s="703"/>
      <c r="Y36" s="3732"/>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732" t="s">
        <v>1696</v>
      </c>
      <c r="Q37" s="1352" t="str">
        <f t="shared" si="14"/>
        <v>工程地质条件</v>
      </c>
      <c r="R37" s="705" t="s">
        <v>14</v>
      </c>
      <c r="S37" s="706">
        <f t="shared" si="10"/>
        <v>100</v>
      </c>
      <c r="T37" s="705" t="s">
        <v>14</v>
      </c>
      <c r="U37" s="706">
        <f t="shared" si="11"/>
        <v>100</v>
      </c>
      <c r="V37" s="705" t="s">
        <v>14</v>
      </c>
      <c r="W37" s="706">
        <f t="shared" si="12"/>
        <v>100</v>
      </c>
      <c r="X37" s="1355"/>
      <c r="Y37" s="3732"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732"/>
      <c r="Q38" s="1352">
        <f t="shared" si="14"/>
        <v>111</v>
      </c>
      <c r="R38" s="705" t="s">
        <v>14</v>
      </c>
      <c r="S38" s="706">
        <f t="shared" si="10"/>
        <v>100</v>
      </c>
      <c r="T38" s="705" t="s">
        <v>14</v>
      </c>
      <c r="U38" s="706">
        <f t="shared" si="11"/>
        <v>100</v>
      </c>
      <c r="V38" s="705" t="s">
        <v>14</v>
      </c>
      <c r="W38" s="706">
        <f t="shared" si="12"/>
        <v>100</v>
      </c>
      <c r="X38" s="1355"/>
      <c r="Y38" s="3732"/>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732"/>
      <c r="Q39" s="1352">
        <f t="shared" si="14"/>
        <v>111</v>
      </c>
      <c r="R39" s="705" t="s">
        <v>14</v>
      </c>
      <c r="S39" s="706">
        <f t="shared" si="10"/>
        <v>100</v>
      </c>
      <c r="T39" s="705" t="s">
        <v>14</v>
      </c>
      <c r="U39" s="706">
        <f t="shared" si="11"/>
        <v>100</v>
      </c>
      <c r="V39" s="705" t="s">
        <v>14</v>
      </c>
      <c r="W39" s="706">
        <f t="shared" si="12"/>
        <v>100</v>
      </c>
      <c r="X39" s="1355"/>
      <c r="Y39" s="3732"/>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732"/>
      <c r="Q40" s="1352">
        <f t="shared" si="14"/>
        <v>111</v>
      </c>
      <c r="R40" s="708" t="s">
        <v>14</v>
      </c>
      <c r="S40" s="709">
        <f t="shared" si="10"/>
        <v>100</v>
      </c>
      <c r="T40" s="708" t="s">
        <v>14</v>
      </c>
      <c r="U40" s="709">
        <f t="shared" si="11"/>
        <v>100</v>
      </c>
      <c r="V40" s="708" t="s">
        <v>14</v>
      </c>
      <c r="W40" s="709">
        <f t="shared" si="12"/>
        <v>100</v>
      </c>
      <c r="X40" s="710"/>
      <c r="Y40" s="3732"/>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725" t="str">
        <f>A41</f>
        <v>成交单价</v>
      </c>
      <c r="Q41" s="3725"/>
      <c r="R41" s="3720">
        <f>E41</f>
        <v>0</v>
      </c>
      <c r="S41" s="3720"/>
      <c r="T41" s="3720">
        <f>G41</f>
        <v>0</v>
      </c>
      <c r="U41" s="3720"/>
      <c r="V41" s="3720">
        <f>I41</f>
        <v>0</v>
      </c>
      <c r="W41" s="3720"/>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725" t="str">
        <f>A42</f>
        <v>比较价值（元/平方米）</v>
      </c>
      <c r="Q42" s="3725"/>
      <c r="R42" s="3753" t="e">
        <f>ROUND(PRODUCT(R41,AA7:AA40),0)</f>
        <v>#DIV/0!</v>
      </c>
      <c r="S42" s="3753"/>
      <c r="T42" s="3753" t="e">
        <f>ROUND(PRODUCT(T41,AB7:AB40),0)</f>
        <v>#DIV/0!</v>
      </c>
      <c r="U42" s="3753"/>
      <c r="V42" s="3753" t="e">
        <f>ROUND(PRODUCT(V41,AC7:AC40),0)</f>
        <v>#DIV/0!</v>
      </c>
      <c r="W42" s="3753"/>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722" t="str">
        <f>A43</f>
        <v>估价对象XX用房的比较价值（楼面单价，元/平方米）</v>
      </c>
      <c r="Q43" s="3723"/>
      <c r="R43" s="3754" t="e">
        <f>ROUND(IF(D42="简单平均",AVERAGE(R42:W42),R42*F42+T42*H42+V42*J42),0)</f>
        <v>#DIV/0!</v>
      </c>
      <c r="S43" s="3754"/>
      <c r="T43" s="3754"/>
      <c r="U43" s="3754"/>
      <c r="V43" s="3754"/>
      <c r="W43" s="3754"/>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708" t="s">
        <v>1887</v>
      </c>
      <c r="H50" s="3755"/>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0</v>
      </c>
      <c r="F51" s="639" t="e">
        <f t="shared" ref="F51:F60" si="15">ROUND(B51*E51/10000,0)</f>
        <v>#DIV/0!</v>
      </c>
      <c r="G51" s="3707"/>
      <c r="H51" s="3725"/>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v>
      </c>
      <c r="D52" s="945">
        <v>0.25</v>
      </c>
      <c r="E52" s="642"/>
      <c r="F52" s="639" t="e">
        <f t="shared" si="15"/>
        <v>#DIV/0!</v>
      </c>
      <c r="G52" s="3006" t="s">
        <v>1892</v>
      </c>
      <c r="H52" s="887">
        <f>项目基本情况!B37</f>
        <v>0</v>
      </c>
      <c r="I52" s="773">
        <f>SUMIF(修正!A59:A70,H52,修正!B59:B70)</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v>
      </c>
      <c r="D53" s="945">
        <v>0.25</v>
      </c>
      <c r="E53" s="642"/>
      <c r="F53" s="639" t="e">
        <f t="shared" si="15"/>
        <v>#DIV/0!</v>
      </c>
      <c r="G53" s="3007"/>
      <c r="H53" s="887">
        <f>项目基本情况!B37</f>
        <v>0</v>
      </c>
      <c r="I53" s="773">
        <f>SUMIF(修正!A59:A70,H53,修正!C59:C70)</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v>
      </c>
      <c r="D54" s="945">
        <v>0.25</v>
      </c>
      <c r="E54" s="642"/>
      <c r="F54" s="639" t="e">
        <f t="shared" si="15"/>
        <v>#DIV/0!</v>
      </c>
      <c r="G54" s="3007"/>
      <c r="H54" s="887">
        <f>项目基本情况!B37</f>
        <v>0</v>
      </c>
      <c r="I54" s="773">
        <f>SUMIF(修正!A59:A70,H54,修正!D59:D70)</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SUMIF(修正!A59:A70,H56,修正!E59:E70)</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SUMIF(修正!A59:A70,H57,修正!F59:F70)</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SUMIF(修正!A59:A70,H58,修正!G59:G70)</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SUMIF(修正!A59:A70,H59,修正!G59:G70)</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SUMIF(修正!A59:A70,H60,修正!G59:G70)</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t="e">
        <f>IF(B41="楼面地价",SUM(E51:E60),'数据-汇总表'!D3)</f>
        <v>#DIV/0!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2025-7-1</v>
      </c>
      <c r="D63" s="692">
        <f>EDATE(C63,-3)</f>
        <v>45748</v>
      </c>
      <c r="E63" s="692">
        <f>EDATE(D63,-3)</f>
        <v>45658</v>
      </c>
      <c r="F63" s="692">
        <f t="shared" ref="F63:O63" si="18">EDATE(E63,-3)</f>
        <v>45566</v>
      </c>
      <c r="G63" s="692">
        <f t="shared" si="18"/>
        <v>45474</v>
      </c>
      <c r="H63" s="692">
        <f t="shared" si="18"/>
        <v>45383</v>
      </c>
      <c r="I63" s="692">
        <f t="shared" si="18"/>
        <v>45292</v>
      </c>
      <c r="J63" s="692">
        <f t="shared" si="18"/>
        <v>45200</v>
      </c>
      <c r="K63" s="692">
        <f t="shared" si="18"/>
        <v>45108</v>
      </c>
      <c r="L63" s="692">
        <f t="shared" si="18"/>
        <v>45017</v>
      </c>
      <c r="M63" s="692">
        <f t="shared" si="18"/>
        <v>44927</v>
      </c>
      <c r="N63" s="692">
        <f t="shared" si="18"/>
        <v>44835</v>
      </c>
      <c r="O63" s="692">
        <f t="shared" si="18"/>
        <v>44743</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2025-3</v>
      </c>
      <c r="D65" s="1182" t="str">
        <f t="shared" ref="D65:O65" si="19">YEAR(D63)&amp;"-"&amp;ROUNDUP(MONTH(D63)/3,0)</f>
        <v>2025-2</v>
      </c>
      <c r="E65" s="1182" t="str">
        <f t="shared" si="19"/>
        <v>2025-1</v>
      </c>
      <c r="F65" s="1182" t="str">
        <f t="shared" si="19"/>
        <v>2024-4</v>
      </c>
      <c r="G65" s="1182" t="str">
        <f t="shared" si="19"/>
        <v>2024-3</v>
      </c>
      <c r="H65" s="1182" t="str">
        <f t="shared" si="19"/>
        <v>2024-2</v>
      </c>
      <c r="I65" s="1182" t="str">
        <f t="shared" si="19"/>
        <v>2024-1</v>
      </c>
      <c r="J65" s="1182" t="str">
        <f t="shared" si="19"/>
        <v>2023-4</v>
      </c>
      <c r="K65" s="1182" t="str">
        <f t="shared" si="19"/>
        <v>2023-3</v>
      </c>
      <c r="L65" s="1182" t="str">
        <f t="shared" si="19"/>
        <v>2023-2</v>
      </c>
      <c r="M65" s="1182" t="str">
        <f t="shared" si="19"/>
        <v>2023-1</v>
      </c>
      <c r="N65" s="1182" t="str">
        <f t="shared" si="19"/>
        <v>2022-4</v>
      </c>
      <c r="O65" s="1182" t="str">
        <f t="shared" si="19"/>
        <v>2022-3</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I17" sqref="I17"/>
      <selection pane="bottomLeft" activeCell="I17" sqref="I17"/>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63" t="s">
        <v>2084</v>
      </c>
      <c r="D1" s="3764"/>
      <c r="E1" s="3764"/>
      <c r="F1" s="3764"/>
      <c r="G1" s="3764"/>
      <c r="H1" s="3764"/>
      <c r="I1" s="3764"/>
      <c r="J1" s="3764"/>
      <c r="K1" s="3764"/>
      <c r="L1" s="3764"/>
      <c r="M1" s="3764"/>
      <c r="N1" s="3764"/>
      <c r="O1" s="3764"/>
      <c r="P1" s="3764"/>
      <c r="Q1" s="3764"/>
      <c r="R1" s="3764"/>
      <c r="S1" s="3765"/>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60" t="s">
        <v>27</v>
      </c>
      <c r="D22" s="3761"/>
      <c r="E22" s="3761"/>
      <c r="F22" s="3761"/>
      <c r="G22" s="3761"/>
      <c r="H22" s="3761"/>
      <c r="I22" s="3761"/>
      <c r="J22" s="3761"/>
      <c r="K22" s="3761"/>
      <c r="L22" s="3761"/>
      <c r="M22" s="3761"/>
      <c r="N22" s="3761"/>
      <c r="O22" s="3761"/>
      <c r="P22" s="3761"/>
      <c r="Q22" s="3762"/>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I17" sqref="I17"/>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t="e">
        <f ca="1">SUMIF(B6:B13,"&lt;&gt;#ref!",B6:B13)</f>
        <v>#DIV/0!</v>
      </c>
      <c r="C2" s="2145" t="s">
        <v>2074</v>
      </c>
      <c r="D2" s="2145" t="s">
        <v>2075</v>
      </c>
      <c r="E2" s="2612">
        <f ca="1">SUMIF(E6:E13,"&lt;&gt;#ref!",E6:E13)</f>
        <v>0</v>
      </c>
      <c r="F2" s="2793"/>
      <c r="G2" s="2793"/>
      <c r="H2" s="2793"/>
      <c r="I2" s="2793"/>
      <c r="J2" s="2793"/>
      <c r="K2" s="2793"/>
      <c r="L2" s="2793"/>
      <c r="M2" s="2793"/>
      <c r="N2" s="2793"/>
      <c r="O2" s="2793"/>
      <c r="P2" s="2793"/>
    </row>
    <row r="3" spans="1:16" ht="15.75">
      <c r="A3" s="2145" t="s">
        <v>2076</v>
      </c>
      <c r="B3" s="2602" t="e">
        <f ca="1">ROUND(B2*10000/E2,0)</f>
        <v>#DIV/0!</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t="e">
        <f ca="1">SUMIF(INDIRECT("'"&amp;A6&amp;"'"&amp;"!A:A"),"总价",INDIRECT("'"&amp;A6&amp;"'"&amp;"!B:B"))</f>
        <v>#DIV/0!</v>
      </c>
      <c r="C6" s="2145" t="s">
        <v>2074</v>
      </c>
      <c r="D6" s="2793"/>
      <c r="E6" s="2612">
        <f ca="1">SUMIF(INDIRECT("'"&amp;A6&amp;"'"&amp;"!C:C"),"建筑面积",INDIRECT("'"&amp;A6&amp;"'"&amp;"!D:D"))</f>
        <v>0</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zoomScaleSheetLayoutView="100" workbookViewId="0">
      <selection activeCell="I17" sqref="I17"/>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0</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t="e">
        <f>C30</f>
        <v>#DIV/0!</v>
      </c>
      <c r="C2" s="1999" t="s">
        <v>1935</v>
      </c>
      <c r="D2" s="2000" t="s">
        <v>1936</v>
      </c>
      <c r="E2" s="3422"/>
      <c r="F2" s="2000" t="s">
        <v>1937</v>
      </c>
      <c r="G2" s="2001">
        <f>IF(E2="商业",项目基本情况!B37,IF(E2="办公",项目基本情况!C37,IF(E2="住宅",项目基本情况!D37,IF(E2="工业",项目基本情况!E37,项目基本情况!F37))))</f>
        <v>0</v>
      </c>
      <c r="H2" s="2000" t="s">
        <v>1938</v>
      </c>
      <c r="I2" s="2001">
        <f>IF(E2="商业",项目基本情况!B38,IF(E2="办公",项目基本情况!C38,IF(E2="住宅",项目基本情况!D38,IF(E2="工业",项目基本情况!E38,项目基本情况!F38))))</f>
        <v>0</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0</v>
      </c>
      <c r="T2" s="3361" t="e">
        <f t="shared" ref="T2:T16" si="0">ROUND($C$5*$C$22*$C$23*$C$24*S2*$C$28,0)</f>
        <v>#DIV/0!</v>
      </c>
      <c r="U2" s="1213"/>
      <c r="V2" s="3361" t="e">
        <f>ROUND(T2*U2/10000,0)</f>
        <v>#DIV/0!</v>
      </c>
      <c r="W2" s="1216"/>
      <c r="X2" s="1216"/>
      <c r="Y2" s="1216"/>
      <c r="Z2" s="1216"/>
      <c r="AA2" s="1216"/>
      <c r="AB2" s="1216"/>
      <c r="AC2" s="1217"/>
      <c r="AD2" s="1218"/>
      <c r="AE2" s="1218"/>
      <c r="AF2" s="1218"/>
      <c r="AG2" s="1218"/>
      <c r="AH2" s="1218"/>
      <c r="AI2" s="1218"/>
      <c r="AJ2" s="1219"/>
    </row>
    <row r="3" spans="1:36" ht="15.75">
      <c r="A3" s="203" t="s">
        <v>1940</v>
      </c>
      <c r="B3" s="204" t="e">
        <f>ROUND(B2*10000/D1,0)</f>
        <v>#DIV/0!</v>
      </c>
      <c r="C3" s="1999" t="s">
        <v>1941</v>
      </c>
      <c r="D3" s="2000" t="s">
        <v>1942</v>
      </c>
      <c r="E3" s="3420"/>
      <c r="F3" s="2004"/>
      <c r="G3" s="752">
        <f>IF(F3="宗地容积率",'数据-汇总表'!I4,IF(F3="估价对象容积率",'数据-汇总表'!I6,'数据-汇总表'!I7))</f>
        <v>0</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0</v>
      </c>
      <c r="T3" s="3361" t="e">
        <f t="shared" si="0"/>
        <v>#DIV/0!</v>
      </c>
      <c r="U3" s="1213"/>
      <c r="V3" s="3361" t="e">
        <f t="shared" ref="V3:V16" si="1">ROUND(T3*U3/10000,0)</f>
        <v>#DIV/0!</v>
      </c>
      <c r="W3" s="1216"/>
      <c r="X3" s="1216"/>
      <c r="Y3" s="1216"/>
      <c r="Z3" s="1216"/>
      <c r="AA3" s="1216"/>
      <c r="AB3" s="1216"/>
      <c r="AC3" s="1217"/>
      <c r="AD3" s="1218"/>
      <c r="AE3" s="1218"/>
      <c r="AF3" s="1218"/>
      <c r="AG3" s="1218"/>
      <c r="AH3" s="1218"/>
      <c r="AI3" s="1218"/>
      <c r="AJ3" s="1219"/>
    </row>
    <row r="4" spans="1:36" ht="15.75">
      <c r="A4" s="3773"/>
      <c r="B4" s="3774"/>
      <c r="C4" s="3774"/>
      <c r="D4" s="3775"/>
      <c r="E4" s="3775"/>
      <c r="F4" s="3775"/>
      <c r="G4" s="3775"/>
      <c r="H4" s="3775"/>
      <c r="I4" s="3775"/>
      <c r="J4" s="3776"/>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0</v>
      </c>
      <c r="T4" s="3361" t="e">
        <f t="shared" si="0"/>
        <v>#DIV/0!</v>
      </c>
      <c r="U4" s="1213"/>
      <c r="V4" s="3361" t="e">
        <f t="shared" si="1"/>
        <v>#DIV/0!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t="e">
        <f>ROUND(IF(E2="商业",C6*C7*C17+C20,(IF(E2="住宅",C6*C13*C17+C20,IF(E2="办公",C6*C12*C17+C20,C6+C20)))),0)</f>
        <v>#DIV/0!</v>
      </c>
      <c r="D5" s="1339" t="e">
        <f>ROUND(C6*C17+C20,0)</f>
        <v>#DIV/0!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v>
      </c>
      <c r="T5" s="3361" t="e">
        <f t="shared" si="0"/>
        <v>#DIV/0!</v>
      </c>
      <c r="U5" s="1213"/>
      <c r="V5" s="3361" t="e">
        <f t="shared" si="1"/>
        <v>#DIV/0!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v>
      </c>
      <c r="T6" s="3361" t="e">
        <f t="shared" si="0"/>
        <v>#DIV/0!</v>
      </c>
      <c r="U6" s="1213"/>
      <c r="V6" s="3361" t="e">
        <f t="shared" si="1"/>
        <v>#DIV/0!</v>
      </c>
      <c r="W6" s="1216"/>
      <c r="X6" s="1216"/>
      <c r="Y6" s="1216"/>
      <c r="Z6" s="1216"/>
      <c r="AA6" s="1216"/>
      <c r="AB6" s="1216"/>
      <c r="AC6" s="2011"/>
      <c r="AD6" s="2012"/>
      <c r="AE6" s="2012"/>
      <c r="AF6" s="2012"/>
      <c r="AG6" s="2012"/>
      <c r="AH6" s="2012"/>
      <c r="AI6" s="2012"/>
      <c r="AJ6" s="2013"/>
    </row>
    <row r="7" spans="1:36" ht="24.75" thickBot="1">
      <c r="A7" s="3304" t="s">
        <v>3237</v>
      </c>
      <c r="B7" s="2021" t="s">
        <v>1952</v>
      </c>
      <c r="C7" s="755" t="e">
        <f>IF(C8="不临65条商业街",1,ROUND(1+(1.6*E8+1.2*E9+0.8*E10+0.4*E11)*C9,4))</f>
        <v>#DIV/0!</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9"/>
      <c r="T7" s="3361" t="e">
        <f t="shared" si="0"/>
        <v>#DIV/0!</v>
      </c>
      <c r="U7" s="1213"/>
      <c r="V7" s="3361" t="e">
        <f t="shared" si="1"/>
        <v>#DIV/0!</v>
      </c>
      <c r="W7" s="1358" t="s">
        <v>1955</v>
      </c>
      <c r="X7" s="1214">
        <f>G2</f>
        <v>0</v>
      </c>
      <c r="Y7" s="1214" t="s">
        <v>1956</v>
      </c>
      <c r="Z7" s="1215">
        <f>G3</f>
        <v>0</v>
      </c>
      <c r="AA7" s="1216"/>
      <c r="AB7" s="1216"/>
      <c r="AC7" s="1217"/>
      <c r="AD7" s="1218"/>
      <c r="AE7" s="1218"/>
      <c r="AF7" s="1218"/>
      <c r="AG7" s="1218"/>
      <c r="AH7" s="1218"/>
      <c r="AI7" s="1218"/>
      <c r="AJ7" s="1219"/>
    </row>
    <row r="8" spans="1:36" ht="15">
      <c r="A8" s="3299"/>
      <c r="B8" s="170" t="s">
        <v>1957</v>
      </c>
      <c r="C8" s="2026"/>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t="e">
        <f t="shared" si="0"/>
        <v>#DIV/0!</v>
      </c>
      <c r="U8" s="1213"/>
      <c r="V8" s="3361" t="e">
        <f t="shared" si="1"/>
        <v>#DIV/0!</v>
      </c>
      <c r="W8" s="3770" t="s">
        <v>1960</v>
      </c>
      <c r="X8" s="3771"/>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SUMIF(修正!C73:C140,C8,修正!E73:E140)</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t="e">
        <f t="shared" si="0"/>
        <v>#DIV/0!</v>
      </c>
      <c r="U9" s="1213"/>
      <c r="V9" s="3361" t="e">
        <f t="shared" si="1"/>
        <v>#DIV/0!</v>
      </c>
      <c r="W9" s="3772"/>
      <c r="X9" s="3362" t="s">
        <v>3268</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SUMIF(修正!C73:C140,C8,修正!F73:F140)</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t="e">
        <f t="shared" si="0"/>
        <v>#DIV/0!</v>
      </c>
      <c r="U10" s="1213"/>
      <c r="V10" s="3361" t="e">
        <f t="shared" si="1"/>
        <v>#DIV/0!</v>
      </c>
      <c r="W10" s="3772"/>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t="e">
        <f t="shared" si="0"/>
        <v>#DIV/0!</v>
      </c>
      <c r="U11" s="1213"/>
      <c r="V11" s="3361" t="e">
        <f t="shared" si="1"/>
        <v>#DIV/0!</v>
      </c>
      <c r="W11" s="1216"/>
      <c r="X11" s="1216"/>
      <c r="Y11" s="1216"/>
      <c r="Z11" s="1216"/>
      <c r="AA11" s="1216"/>
      <c r="AB11" s="1216"/>
      <c r="AC11" s="1217"/>
      <c r="AD11" s="2789"/>
      <c r="AE11" s="2789"/>
      <c r="AF11" s="2789"/>
      <c r="AG11" s="2789"/>
      <c r="AH11" s="2789"/>
      <c r="AI11" s="2789"/>
      <c r="AJ11" s="2790"/>
    </row>
    <row r="12" spans="1:36" ht="25.5" thickBot="1">
      <c r="A12" s="3304" t="s">
        <v>3238</v>
      </c>
      <c r="B12" s="3305" t="s">
        <v>3239</v>
      </c>
      <c r="C12" s="3306"/>
      <c r="D12" s="3307" t="s">
        <v>3240</v>
      </c>
      <c r="E12" s="3308" t="s">
        <v>3241</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t="e">
        <f t="shared" si="0"/>
        <v>#DIV/0!</v>
      </c>
      <c r="U12" s="1213"/>
      <c r="V12" s="3361" t="e">
        <f t="shared" si="1"/>
        <v>#DIV/0!</v>
      </c>
      <c r="W12" s="1216"/>
      <c r="X12" s="1216"/>
      <c r="Y12" s="1216"/>
      <c r="Z12" s="1216"/>
      <c r="AA12" s="1216"/>
      <c r="AB12" s="1216"/>
      <c r="AC12" s="1217"/>
      <c r="AD12" s="2789"/>
      <c r="AE12" s="2789"/>
      <c r="AF12" s="2789"/>
      <c r="AG12" s="2789"/>
      <c r="AH12" s="2789"/>
      <c r="AI12" s="2789"/>
      <c r="AJ12" s="2790"/>
    </row>
    <row r="13" spans="1:36" ht="15.75" thickBot="1">
      <c r="A13" s="3304" t="s">
        <v>3242</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t="e">
        <f t="shared" si="0"/>
        <v>#DIV/0!</v>
      </c>
      <c r="U13" s="1213"/>
      <c r="V13" s="3361" t="e">
        <f t="shared" si="1"/>
        <v>#DIV/0!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3243</v>
      </c>
      <c r="G14" s="3312" t="s">
        <v>3243</v>
      </c>
      <c r="H14" s="3312" t="s">
        <v>3243</v>
      </c>
      <c r="I14" s="3312" t="s">
        <v>3243</v>
      </c>
      <c r="J14" s="3312" t="s">
        <v>3243</v>
      </c>
      <c r="K14" s="1119"/>
      <c r="L14" s="1119"/>
      <c r="M14" s="1119"/>
      <c r="N14" s="1119"/>
      <c r="O14" s="1119"/>
      <c r="P14" s="1119"/>
      <c r="Q14" s="1119"/>
      <c r="R14" s="1212">
        <v>13</v>
      </c>
      <c r="S14" s="1213"/>
      <c r="T14" s="3361" t="e">
        <f t="shared" si="0"/>
        <v>#DIV/0!</v>
      </c>
      <c r="U14" s="1213"/>
      <c r="V14" s="3361" t="e">
        <f t="shared" si="1"/>
        <v>#DIV/0!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3244</v>
      </c>
      <c r="G15" s="3314"/>
      <c r="H15" s="3315"/>
      <c r="I15" s="3316"/>
      <c r="J15" s="3317"/>
      <c r="K15" s="1119"/>
      <c r="L15" s="1119"/>
      <c r="M15" s="1119"/>
      <c r="N15" s="1119"/>
      <c r="O15" s="1119"/>
      <c r="P15" s="1119"/>
      <c r="Q15" s="1119"/>
      <c r="R15" s="1212">
        <v>14</v>
      </c>
      <c r="S15" s="1213"/>
      <c r="T15" s="3361" t="e">
        <f t="shared" si="0"/>
        <v>#DIV/0!</v>
      </c>
      <c r="U15" s="1213"/>
      <c r="V15" s="3361" t="e">
        <f t="shared" si="1"/>
        <v>#DIV/0!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t="e">
        <f t="shared" si="0"/>
        <v>#DIV/0!</v>
      </c>
      <c r="U16" s="1213"/>
      <c r="V16" s="3361" t="e">
        <f t="shared" si="1"/>
        <v>#DIV/0!</v>
      </c>
      <c r="W16" s="1216"/>
      <c r="X16" s="1216"/>
      <c r="Y16" s="1216"/>
      <c r="Z16" s="1216"/>
      <c r="AA16" s="1216"/>
      <c r="AB16" s="1216"/>
      <c r="AC16" s="1217"/>
      <c r="AD16" s="2789"/>
      <c r="AE16" s="2789"/>
      <c r="AF16" s="2789"/>
      <c r="AG16" s="2789"/>
      <c r="AH16" s="2789"/>
      <c r="AI16" s="2789"/>
      <c r="AJ16" s="2790"/>
    </row>
    <row r="17" spans="1:37">
      <c r="A17" s="3330" t="s">
        <v>3245</v>
      </c>
      <c r="B17" s="3321" t="s">
        <v>3246</v>
      </c>
      <c r="C17" s="3331">
        <f>ROUND(IF(OR(E2="工业",E2="公共服务"),1,IF(AND(E18=0,E19=0),1,IF(AND(E18=J24,E19=G19),0.8,IF(E19=0,1+E17*(-0.2),1+E17*G17*(-0.2))))),4)</f>
        <v>1</v>
      </c>
      <c r="D17" s="3322" t="s">
        <v>3247</v>
      </c>
      <c r="E17" s="3331" t="e">
        <f>ROUND(G18/I18,2)</f>
        <v>#DIV/0!</v>
      </c>
      <c r="F17" s="3322" t="s">
        <v>3250</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3248</v>
      </c>
      <c r="E18" s="3329"/>
      <c r="F18" s="3324" t="s">
        <v>3251</v>
      </c>
      <c r="G18" s="3328">
        <f>ROUND(1-(1/(POWER(1+G24,E18))),4)</f>
        <v>0</v>
      </c>
      <c r="H18" s="3324" t="s">
        <v>3253</v>
      </c>
      <c r="I18" s="3328">
        <f>ROUND(1-(1/(POWER(1+G24,J24))),4)</f>
        <v>0</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3249</v>
      </c>
      <c r="E19" s="3338"/>
      <c r="F19" s="3339" t="s">
        <v>3252</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77" t="s">
        <v>3254</v>
      </c>
      <c r="B20" s="167" t="s">
        <v>1994</v>
      </c>
      <c r="C20" s="3325" t="e">
        <f>ROUND(IF(F21="与级别开发程度一致",0,(G21-E21)/C21),0)</f>
        <v>#DIV/0!</v>
      </c>
      <c r="D20" s="3341" t="s">
        <v>1998</v>
      </c>
      <c r="E20" s="3342"/>
      <c r="F20" s="3783" t="s">
        <v>1995</v>
      </c>
      <c r="G20" s="3784"/>
      <c r="H20" s="3326"/>
      <c r="I20" s="3326"/>
      <c r="J20" s="3327"/>
      <c r="K20" s="2047"/>
      <c r="L20" s="2047"/>
      <c r="M20" s="2047"/>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15" thickBot="1">
      <c r="A21" s="3778"/>
      <c r="B21" s="2164" t="s">
        <v>1997</v>
      </c>
      <c r="C21" s="2165">
        <f>IF(E3="M4科研用地",SUMPRODUCT((修正!A2:A7=E3)*(修正!B1:M1=G2)*(修正!B2:M7)),SUMPRODUCT((修正!A2:A7=E2)*(修正!B1:M1=G2)*(修正!B2:M7)))</f>
        <v>0</v>
      </c>
      <c r="D21" s="187" t="str">
        <f>IF(OR(G2="八级",G2="九级",G2="十级",G2="十一级",G2="十二级"),"五通一平","七通一平")</f>
        <v>七通一平</v>
      </c>
      <c r="E21" s="2155">
        <f>SUMPRODUCT((修正!B1:M1=G2)*(修正!B17:M17))</f>
        <v>0</v>
      </c>
      <c r="F21" s="2156"/>
      <c r="G21" s="2157">
        <f>SUM(H21:O21)</f>
        <v>0</v>
      </c>
      <c r="H21" s="2165">
        <f>SUMPRODUCT((七通一平=H20)*(修正!B1:M1=G2)*(修正!B8:M16))</f>
        <v>0</v>
      </c>
      <c r="I21" s="2165">
        <f>SUMPRODUCT((七通一平=I20)*(修正!B1:M1=G2)*(修正!B8:M16))</f>
        <v>0</v>
      </c>
      <c r="J21" s="2166">
        <f>SUMPRODUCT((七通一平=J20)*(修正!B1:M1=G2)*(修正!B8:M16))</f>
        <v>0</v>
      </c>
      <c r="K21" s="2165">
        <f>SUMPRODUCT((七通一平=K20)*(修正!B1:M1=G2)*(修正!B8:M16))</f>
        <v>0</v>
      </c>
      <c r="L21" s="2165">
        <f>SUMPRODUCT((七通一平=L20)*(修正!B1:M1=G2)*(修正!B8:M16))</f>
        <v>0</v>
      </c>
      <c r="M21" s="2165">
        <f>SUMPRODUCT((七通一平=M20)*(修正!B1:M1=G2)*(修正!B8:M16))</f>
        <v>0</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SUMIF(修正!C20:C53,E3,修正!E20:E53)</f>
        <v>0</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2054" t="s">
        <v>2002</v>
      </c>
      <c r="E23" s="761">
        <v>44197</v>
      </c>
      <c r="F23" s="2054" t="s">
        <v>2003</v>
      </c>
      <c r="G23" s="762">
        <f>'数据-取费表'!B2</f>
        <v>45861</v>
      </c>
      <c r="H23" s="3343" t="s">
        <v>3256</v>
      </c>
      <c r="I23" s="3344" t="str">
        <f>IF(H23="季度增幅（自定义）",SUMIF(N25:N28,E2,O25:O28),"")</f>
        <v/>
      </c>
      <c r="J23" s="3446" t="s">
        <v>3255</v>
      </c>
      <c r="K23" s="1125"/>
      <c r="L23" s="2055" t="s">
        <v>2004</v>
      </c>
      <c r="M23" s="1328">
        <f>ROUND(SUMIF(地价!B2:G2,E2,地价!B16:G16),0)</f>
        <v>0</v>
      </c>
      <c r="N23" s="2056" t="s">
        <v>2005</v>
      </c>
      <c r="O23" s="763">
        <f>ROUNDDOWN(DATEDIF(E23,G23,"M")/3,0)</f>
        <v>18</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t="e">
        <f>ROUND(POWER(1+G24,J24-I24)*(POWER(1+G24,I24)-1)/(POWER(1+G24,J24)-1),4)</f>
        <v>#DIV/0!</v>
      </c>
      <c r="D24" s="2060" t="s">
        <v>2007</v>
      </c>
      <c r="E24" s="1335">
        <f>存贷款利率!E28/100</f>
        <v>4.3499999999999997E-2</v>
      </c>
      <c r="F24" s="2060" t="s">
        <v>1999</v>
      </c>
      <c r="G24" s="768">
        <f>SUMIF(M30:Q30,E2,M33:Q33)</f>
        <v>0</v>
      </c>
      <c r="H24" s="2060" t="s">
        <v>2008</v>
      </c>
      <c r="I24" s="769" t="e">
        <f>SUMIF('数据-取费表'!C6:C15,E2,'数据-取费表'!F6:F15)/COUNTIF('数据-取费表'!C6:C15,E2)</f>
        <v>#DIV/0!</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3335</v>
      </c>
      <c r="C25" s="771">
        <f>IF(B25="容积率修正",IF(G3&lt;10,D26,J26),C27)</f>
        <v>0</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3257</v>
      </c>
      <c r="D26" s="1352">
        <f>IF(E26=G26,F26,IF(G3&lt;10,ROUND(F26+(H26-F26)*(G3-E26)/(G26-E26),4),"——"))</f>
        <v>0</v>
      </c>
      <c r="E26" s="752">
        <f>ROUNDDOWN(G3,1)</f>
        <v>0</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2">
        <f>ROUNDUP(G3,1)</f>
        <v>0</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5" t="s">
        <v>3258</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0</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t="e">
        <f>IF(B25="容积率修正",E33+SUM(E37:E42),SUM(V2:V16)+SUM(E37:E42))</f>
        <v>#DIV/0!</v>
      </c>
      <c r="D30" s="2083"/>
      <c r="E30" s="2046"/>
      <c r="F30" s="2084"/>
      <c r="G30" s="2046"/>
      <c r="H30" s="2046"/>
      <c r="I30" s="2046"/>
      <c r="J30" s="2085"/>
      <c r="K30" s="1119"/>
      <c r="L30" s="3351" t="s">
        <v>1936</v>
      </c>
      <c r="M30" s="3352" t="s">
        <v>1990</v>
      </c>
      <c r="N30" s="3352" t="s">
        <v>1991</v>
      </c>
      <c r="O30" s="3352" t="s">
        <v>1992</v>
      </c>
      <c r="P30" s="3352" t="s">
        <v>1993</v>
      </c>
      <c r="Q30" s="3355" t="s">
        <v>3262</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t="e">
        <f>E34+SUM(I37:I42)</f>
        <v>#DIV/0!</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t="e">
        <f>ROUND(C5*C22*C23*C24*C25*C28,0)</f>
        <v>#DIV/0!</v>
      </c>
      <c r="D33" s="2098"/>
      <c r="E33" s="773" t="e">
        <f>ROUND(C33*D33/10000,0)</f>
        <v>#DIV/0!</v>
      </c>
      <c r="F33" s="3346" t="s">
        <v>3260</v>
      </c>
      <c r="G33" s="2099"/>
      <c r="H33" s="2099"/>
      <c r="I33" s="2099"/>
      <c r="J33" s="2100"/>
      <c r="K33" s="1119"/>
      <c r="L33" s="3349" t="s">
        <v>3263</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t="e">
        <f>ROUND(IF(E2="工业",C33*M42,IF(B25="楼层修正",SUM(V2:V16)*M41*10000/D34,C33*M41)),0)</f>
        <v>#DIV/0!</v>
      </c>
      <c r="D34" s="2103"/>
      <c r="E34" s="773" t="e">
        <f>ROUND(IF(B25="楼层修正",SUM(V2:V16)*M40,C34*D34/10000),0)</f>
        <v>#DIV/0!</v>
      </c>
      <c r="F34" s="2104" t="s">
        <v>2032</v>
      </c>
      <c r="G34" s="2105"/>
      <c r="H34" s="2105"/>
      <c r="I34" s="2105"/>
      <c r="J34" s="2106"/>
      <c r="K34" s="1119"/>
      <c r="L34" s="3349" t="s">
        <v>3264</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3261</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3265</v>
      </c>
      <c r="L36" s="3447" t="e">
        <f ca="1">'数据-取费表'!B40</f>
        <v>#VALUE!</v>
      </c>
      <c r="M36" s="3358" t="e">
        <f ca="1">ROUND($L$36*(1+M31),3)</f>
        <v>#VALUE!</v>
      </c>
      <c r="N36" s="3358" t="e">
        <f ca="1">ROUND($L$36*(1+N31),3)</f>
        <v>#VALUE!</v>
      </c>
      <c r="O36" s="3358" t="e">
        <f ca="1">ROUND($L$36*(1+O31),3)</f>
        <v>#VALUE!</v>
      </c>
      <c r="P36" s="3358" t="e">
        <f ca="1">ROUND($L$36*(1+P31),3)</f>
        <v>#VALUE!</v>
      </c>
      <c r="Q36" s="3358" t="e">
        <f ca="1">ROUND($L$36*(1+Q31),3)</f>
        <v>#VALUE!</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81"/>
      <c r="B37" s="2113" t="s">
        <v>2036</v>
      </c>
      <c r="C37" s="175" t="e">
        <f>ROUND(D5*C22*C23*C24*C28*F37,0)</f>
        <v>#DIV/0!</v>
      </c>
      <c r="D37" s="2098"/>
      <c r="E37" s="171" t="e">
        <f>ROUND(C37*D37/10000,0)</f>
        <v>#DIV/0!</v>
      </c>
      <c r="F37" s="171">
        <f>SUMIF(修正!A59:A70,G2,修正!B59:B70)</f>
        <v>0</v>
      </c>
      <c r="G37" s="171" t="e">
        <f>ROUND(IF(E2="工业",C37*$M$42,C37*$M$41),0)</f>
        <v>#DIV/0!</v>
      </c>
      <c r="H37" s="171">
        <f>D37</f>
        <v>0</v>
      </c>
      <c r="I37" s="171" t="e">
        <f>ROUND(G37*H37/10000,0)</f>
        <v>#DIV/0!</v>
      </c>
      <c r="J37" s="3012"/>
      <c r="K37" s="3359" t="s">
        <v>3266</v>
      </c>
      <c r="L37" s="3357" t="e">
        <f ca="1">L36+K38</f>
        <v>#VALUE!</v>
      </c>
      <c r="M37" s="3358" t="e">
        <f ca="1">ROUND($L$37*(1+M31),3)</f>
        <v>#VALUE!</v>
      </c>
      <c r="N37" s="3358" t="e">
        <f t="shared" ref="N37:Q37" ca="1" si="3">ROUND($L$37*(1+N31),3)</f>
        <v>#VALUE!</v>
      </c>
      <c r="O37" s="3358" t="e">
        <f t="shared" ca="1" si="3"/>
        <v>#VALUE!</v>
      </c>
      <c r="P37" s="3358" t="e">
        <f t="shared" ca="1" si="3"/>
        <v>#VALUE!</v>
      </c>
      <c r="Q37" s="3358" t="e">
        <f t="shared" ca="1" si="3"/>
        <v>#VALUE!</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82"/>
      <c r="B38" s="2041" t="s">
        <v>2037</v>
      </c>
      <c r="C38" s="175" t="e">
        <f>ROUND(D5*C22*C23*C24*C28*F38,0)</f>
        <v>#DIV/0!</v>
      </c>
      <c r="D38" s="2098"/>
      <c r="E38" s="171" t="e">
        <f t="shared" ref="E38:E42" si="4">ROUND(C38*D38/10000,0)</f>
        <v>#DIV/0!</v>
      </c>
      <c r="F38" s="171">
        <f>SUMIF(修正!A59:A70,G2,修正!C59:C70)</f>
        <v>0</v>
      </c>
      <c r="G38" s="171" t="e">
        <f>ROUND(IF(E2="工业",C38*$M$42,C38*$M$41),0)</f>
        <v>#DIV/0!</v>
      </c>
      <c r="H38" s="171">
        <f t="shared" ref="H38:H42" si="5">D38</f>
        <v>0</v>
      </c>
      <c r="I38" s="171" t="e">
        <f t="shared" ref="I38:I42" si="6">ROUND(G38*H38/10000,0)</f>
        <v>#DIV/0!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82"/>
      <c r="B39" s="2041" t="s">
        <v>3259</v>
      </c>
      <c r="C39" s="175" t="e">
        <f>ROUND(D5*C22*C23*C24*C28*F39,0)</f>
        <v>#DIV/0!</v>
      </c>
      <c r="D39" s="2098"/>
      <c r="E39" s="171" t="e">
        <f t="shared" si="4"/>
        <v>#DIV/0!</v>
      </c>
      <c r="F39" s="171">
        <f>SUMIF(修正!A59:A70,G2,修正!D59:D70)</f>
        <v>0</v>
      </c>
      <c r="G39" s="171" t="e">
        <f>ROUND(IF(E2="工业",C39*$M$42,C39*$M$41),0)</f>
        <v>#DIV/0!</v>
      </c>
      <c r="H39" s="171">
        <f t="shared" si="5"/>
        <v>0</v>
      </c>
      <c r="I39" s="171" t="e">
        <f t="shared" si="6"/>
        <v>#DIV/0!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t="e">
        <f>ROUND(D5*C22*C23*C24*C28*F40,0)</f>
        <v>#DIV/0!</v>
      </c>
      <c r="D40" s="2098"/>
      <c r="E40" s="171" t="e">
        <f t="shared" si="4"/>
        <v>#DIV/0!</v>
      </c>
      <c r="F40" s="175">
        <f>SUMIF(修正!A59:A70,G2,修正!E59:E70)</f>
        <v>0</v>
      </c>
      <c r="G40" s="171" t="e">
        <f>ROUND(IF(E2="工业",C40*$M$42,C40*$M$41),0)</f>
        <v>#DIV/0!</v>
      </c>
      <c r="H40" s="171">
        <f t="shared" si="5"/>
        <v>0</v>
      </c>
      <c r="I40" s="171" t="e">
        <f t="shared" si="6"/>
        <v>#DIV/0!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t="e">
        <f>ROUND(D5*C22*C23*C44*C28*F41,0)</f>
        <v>#DIV/0!</v>
      </c>
      <c r="D41" s="2098"/>
      <c r="E41" s="171" t="e">
        <f t="shared" si="4"/>
        <v>#DIV/0!</v>
      </c>
      <c r="F41" s="175">
        <f>SUMIF(修正!A59:A70,G2,修正!F59:F70)</f>
        <v>0</v>
      </c>
      <c r="G41" s="171" t="e">
        <f>ROUND(IF(E2="工业",C41*$M$42,C41*$M$41),0)</f>
        <v>#DIV/0!</v>
      </c>
      <c r="H41" s="171">
        <f t="shared" si="5"/>
        <v>0</v>
      </c>
      <c r="I41" s="171" t="e">
        <f t="shared" si="6"/>
        <v>#DIV/0!</v>
      </c>
      <c r="J41" s="2114"/>
      <c r="L41" s="3360" t="s">
        <v>3267</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t="e">
        <f>ROUND(D5*C22*C23*C44*C28*F42,0)</f>
        <v>#DIV/0!</v>
      </c>
      <c r="D42" s="2103"/>
      <c r="E42" s="187" t="e">
        <f t="shared" si="4"/>
        <v>#DIV/0!</v>
      </c>
      <c r="F42" s="767">
        <f>SUMIF(修正!A59:A70,G2,修正!G59:G70)</f>
        <v>0</v>
      </c>
      <c r="G42" s="187" t="e">
        <f>ROUND(IF(E2="工业",C42*$M$42,C42*$M$41),0)</f>
        <v>#DIV/0!</v>
      </c>
      <c r="H42" s="187">
        <f t="shared" si="5"/>
        <v>0</v>
      </c>
      <c r="I42" s="187" t="e">
        <f t="shared" si="6"/>
        <v>#DIV/0!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t="e">
        <f>ROUND(POWER(1+E44,H44-G44)*(POWER(1+E44,G44)-1)/(POWER(1+E44,H44)-1),4)</f>
        <v>#DIV/0!</v>
      </c>
      <c r="D44" s="171" t="s">
        <v>1999</v>
      </c>
      <c r="E44" s="2153">
        <f>G24</f>
        <v>0</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9" t="s">
        <v>3269</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2054</v>
      </c>
      <c r="B53" s="2135" t="s">
        <v>2055</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2057</v>
      </c>
      <c r="B55" s="2136" t="s">
        <v>2058</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9" t="s">
        <v>3269</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9" t="s">
        <v>3269</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2060</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7">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7">
        <v>0.3</v>
      </c>
      <c r="J84" s="1064">
        <f t="shared" si="24"/>
        <v>0</v>
      </c>
      <c r="K84" s="1064">
        <f t="shared" si="25"/>
        <v>0</v>
      </c>
      <c r="L84" s="1064">
        <v>0</v>
      </c>
      <c r="M84" s="1064">
        <f t="shared" si="26"/>
        <v>0</v>
      </c>
      <c r="N84" s="1064">
        <f t="shared" si="26"/>
        <v>0</v>
      </c>
      <c r="Z84" s="1998"/>
      <c r="AA84" s="2053"/>
      <c r="AG84" s="1121"/>
      <c r="AK84" s="2053"/>
    </row>
    <row r="85" spans="1:37" ht="36">
      <c r="A85" s="3369" t="s">
        <v>3270</v>
      </c>
      <c r="B85" s="2134">
        <f>估价对象房地状况!G17</f>
        <v>0</v>
      </c>
      <c r="C85" s="2044"/>
      <c r="D85" s="1065">
        <f t="shared" si="22"/>
        <v>0</v>
      </c>
      <c r="E85" s="747"/>
      <c r="F85" s="1814"/>
      <c r="G85" s="1063"/>
      <c r="H85" s="1066" t="str">
        <f t="shared" si="23"/>
        <v>——</v>
      </c>
      <c r="I85" s="3367">
        <v>0.1</v>
      </c>
      <c r="J85" s="1064">
        <f t="shared" si="24"/>
        <v>0</v>
      </c>
      <c r="K85" s="1064">
        <f t="shared" si="25"/>
        <v>0</v>
      </c>
      <c r="L85" s="1064">
        <v>0</v>
      </c>
      <c r="M85" s="1064">
        <f t="shared" si="26"/>
        <v>0</v>
      </c>
      <c r="N85" s="1064">
        <f t="shared" si="26"/>
        <v>0</v>
      </c>
      <c r="Z85" s="1998"/>
      <c r="AA85" s="2053"/>
      <c r="AG85" s="1121"/>
      <c r="AK85" s="2053"/>
    </row>
    <row r="86" spans="1:37" ht="14.25">
      <c r="A86" s="2130" t="s">
        <v>2067</v>
      </c>
      <c r="B86" s="2134">
        <f>估价对象房地状况!G22</f>
        <v>0</v>
      </c>
      <c r="C86" s="2044"/>
      <c r="D86" s="1065">
        <f t="shared" si="22"/>
        <v>0</v>
      </c>
      <c r="E86" s="747"/>
      <c r="F86" s="1814"/>
      <c r="G86" s="1063"/>
      <c r="H86" s="1066" t="str">
        <f t="shared" si="23"/>
        <v>——</v>
      </c>
      <c r="I86" s="3367">
        <v>0.05</v>
      </c>
      <c r="J86" s="1064">
        <f t="shared" si="24"/>
        <v>0</v>
      </c>
      <c r="K86" s="1064">
        <f t="shared" si="25"/>
        <v>0</v>
      </c>
      <c r="L86" s="1064">
        <v>0</v>
      </c>
      <c r="M86" s="1064">
        <f t="shared" si="26"/>
        <v>0</v>
      </c>
      <c r="N86" s="1064">
        <f t="shared" si="26"/>
        <v>0</v>
      </c>
      <c r="Z86" s="1998"/>
      <c r="AA86" s="2053"/>
      <c r="AG86" s="1121"/>
      <c r="AK86" s="2053"/>
    </row>
    <row r="87" spans="1:37" ht="25.5">
      <c r="A87" s="2130" t="s">
        <v>2059</v>
      </c>
      <c r="B87" s="1326" t="str">
        <f>估价对象房地状况!G19</f>
        <v>估价对象所在区域公共配套设施齐备情况</v>
      </c>
      <c r="C87" s="2044"/>
      <c r="D87" s="1065">
        <f t="shared" si="22"/>
        <v>0</v>
      </c>
      <c r="E87" s="747"/>
      <c r="F87" s="1814"/>
      <c r="G87" s="1063"/>
      <c r="H87" s="1066" t="str">
        <f t="shared" si="23"/>
        <v>——</v>
      </c>
      <c r="I87" s="3367">
        <v>0.06</v>
      </c>
      <c r="J87" s="1064">
        <f t="shared" si="24"/>
        <v>0</v>
      </c>
      <c r="K87" s="1064">
        <f t="shared" si="25"/>
        <v>0</v>
      </c>
      <c r="L87" s="1064">
        <v>0</v>
      </c>
      <c r="M87" s="1064">
        <f t="shared" si="26"/>
        <v>0</v>
      </c>
      <c r="N87" s="1064">
        <f t="shared" si="26"/>
        <v>0</v>
      </c>
    </row>
    <row r="88" spans="1:37" ht="25.5">
      <c r="A88" s="2130" t="s">
        <v>2060</v>
      </c>
      <c r="B88" s="1326" t="str">
        <f>估价对象房地状况!G20</f>
        <v>估价对象所在区域基础设施水平</v>
      </c>
      <c r="C88" s="2044"/>
      <c r="D88" s="1065">
        <f t="shared" si="22"/>
        <v>0</v>
      </c>
      <c r="E88" s="747"/>
      <c r="F88" s="1814"/>
      <c r="G88" s="1063"/>
      <c r="H88" s="1066" t="str">
        <f t="shared" si="23"/>
        <v>——</v>
      </c>
      <c r="I88" s="3367">
        <v>0.12</v>
      </c>
      <c r="J88" s="1064">
        <f t="shared" si="24"/>
        <v>0</v>
      </c>
      <c r="K88" s="1064">
        <f t="shared" si="25"/>
        <v>0</v>
      </c>
      <c r="L88" s="1064">
        <v>0</v>
      </c>
      <c r="M88" s="1064">
        <f t="shared" si="26"/>
        <v>0</v>
      </c>
      <c r="N88" s="1064">
        <f t="shared" si="26"/>
        <v>0</v>
      </c>
    </row>
    <row r="89" spans="1:37" ht="24">
      <c r="A89" s="2130" t="s">
        <v>2057</v>
      </c>
      <c r="B89" s="2136" t="s">
        <v>2071</v>
      </c>
      <c r="C89" s="2044"/>
      <c r="D89" s="1065">
        <f t="shared" si="22"/>
        <v>0</v>
      </c>
      <c r="E89" s="747"/>
      <c r="F89" s="1814"/>
      <c r="G89" s="1063"/>
      <c r="H89" s="1066" t="str">
        <f t="shared" si="23"/>
        <v>——</v>
      </c>
      <c r="I89" s="3367">
        <v>0.06</v>
      </c>
      <c r="J89" s="1064">
        <f t="shared" si="24"/>
        <v>0</v>
      </c>
      <c r="K89" s="1064">
        <f t="shared" si="25"/>
        <v>0</v>
      </c>
      <c r="L89" s="1064">
        <v>0</v>
      </c>
      <c r="M89" s="1064">
        <f t="shared" si="26"/>
        <v>0</v>
      </c>
      <c r="N89" s="1064">
        <f t="shared" si="26"/>
        <v>0</v>
      </c>
    </row>
    <row r="90" spans="1:37" ht="39" thickBot="1">
      <c r="A90" s="2138" t="s">
        <v>2072</v>
      </c>
      <c r="B90" s="2143" t="str">
        <f>估价对象房地状况!G18</f>
        <v>该园区内是否有污染型企业，绿化情况，卫生条件，整体环境状况判断</v>
      </c>
      <c r="C90" s="2044"/>
      <c r="D90" s="1065">
        <f t="shared" si="22"/>
        <v>0</v>
      </c>
      <c r="E90" s="748"/>
      <c r="F90" s="1814"/>
      <c r="G90" s="1063"/>
      <c r="H90" s="1066" t="str">
        <f t="shared" si="23"/>
        <v>——</v>
      </c>
      <c r="I90" s="3368">
        <v>0.05</v>
      </c>
      <c r="J90" s="1064">
        <f t="shared" si="24"/>
        <v>0</v>
      </c>
      <c r="K90" s="1064">
        <f t="shared" si="25"/>
        <v>0</v>
      </c>
      <c r="L90" s="1064">
        <v>0</v>
      </c>
      <c r="M90" s="1064">
        <f t="shared" si="26"/>
        <v>0</v>
      </c>
      <c r="N90" s="1064">
        <f t="shared" si="26"/>
        <v>0</v>
      </c>
    </row>
    <row r="91" spans="1:37" ht="15">
      <c r="A91" s="3377" t="s">
        <v>2612</v>
      </c>
      <c r="B91" s="3378">
        <f>1+E93</f>
        <v>1</v>
      </c>
      <c r="C91" s="3371"/>
      <c r="D91" s="3372"/>
      <c r="E91" s="1814"/>
      <c r="F91" s="1814"/>
      <c r="G91" s="3373"/>
      <c r="H91" s="3374"/>
      <c r="I91" s="3375"/>
      <c r="J91" s="3376"/>
      <c r="K91" s="3376"/>
      <c r="L91" s="3376"/>
      <c r="M91" s="3376"/>
      <c r="N91" s="3376"/>
    </row>
    <row r="92" spans="1:37" ht="24.75">
      <c r="A92" s="3379" t="s">
        <v>3271</v>
      </c>
      <c r="B92" s="3366"/>
      <c r="C92" s="3366" t="s">
        <v>3280</v>
      </c>
      <c r="D92" s="3366" t="s">
        <v>3281</v>
      </c>
      <c r="E92" s="3348" t="s">
        <v>3282</v>
      </c>
      <c r="F92" s="3381" t="s">
        <v>3283</v>
      </c>
      <c r="G92" s="3366" t="s">
        <v>3284</v>
      </c>
      <c r="H92" s="3388" t="s">
        <v>3287</v>
      </c>
      <c r="I92" s="3366" t="s">
        <v>3288</v>
      </c>
      <c r="J92" s="3389" t="s">
        <v>3289</v>
      </c>
      <c r="K92" s="3389" t="s">
        <v>3290</v>
      </c>
      <c r="L92" s="3389" t="s">
        <v>3291</v>
      </c>
      <c r="M92" s="3389" t="s">
        <v>3292</v>
      </c>
      <c r="N92" s="3389" t="s">
        <v>3293</v>
      </c>
    </row>
    <row r="93" spans="1:37" ht="24">
      <c r="A93" s="3369" t="s">
        <v>3272</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7">K93+$G93</f>
        <v>0</v>
      </c>
      <c r="K93" s="3345">
        <f t="shared" ref="K93:K101" si="28">$L93+$G93</f>
        <v>0</v>
      </c>
      <c r="L93" s="3345">
        <v>0</v>
      </c>
      <c r="M93" s="3345">
        <f t="shared" ref="M93:N101" si="29">L93-$G93</f>
        <v>0</v>
      </c>
      <c r="N93" s="3345">
        <f t="shared" si="29"/>
        <v>0</v>
      </c>
    </row>
    <row r="94" spans="1:37" ht="38.25">
      <c r="A94" s="3379" t="s">
        <v>3273</v>
      </c>
      <c r="B94" s="3370" t="str">
        <f>估价对象房地状况!C18</f>
        <v>估价对象周边道路状况、公共交通通达情况、停车便捷程度，综合评价交通便捷度较好</v>
      </c>
      <c r="C94" s="2044"/>
      <c r="D94" s="3366">
        <f t="shared" ref="D94:D101" si="30">SUMIF($J$60:$N$60,C94,J94:N94)</f>
        <v>0</v>
      </c>
      <c r="E94" s="3383"/>
      <c r="F94" s="1814"/>
      <c r="G94" s="3373"/>
      <c r="H94" s="3421" t="str">
        <f>IFERROR(ROUNDDOWN($F$93*I94/2,4),"——")</f>
        <v>——</v>
      </c>
      <c r="I94" s="3367">
        <v>0.26</v>
      </c>
      <c r="J94" s="3345">
        <f t="shared" si="27"/>
        <v>0</v>
      </c>
      <c r="K94" s="3345">
        <f t="shared" si="28"/>
        <v>0</v>
      </c>
      <c r="L94" s="3345">
        <v>0</v>
      </c>
      <c r="M94" s="3345">
        <f t="shared" si="29"/>
        <v>0</v>
      </c>
      <c r="N94" s="3345">
        <f t="shared" si="29"/>
        <v>0</v>
      </c>
    </row>
    <row r="95" spans="1:37" ht="36">
      <c r="A95" s="3369" t="s">
        <v>3269</v>
      </c>
      <c r="B95" s="3370">
        <f>估价对象房地状况!C19</f>
        <v>0</v>
      </c>
      <c r="C95" s="2044"/>
      <c r="D95" s="3366">
        <f t="shared" si="30"/>
        <v>0</v>
      </c>
      <c r="E95" s="3383"/>
      <c r="F95" s="1814"/>
      <c r="G95" s="3373"/>
      <c r="H95" s="3421" t="str">
        <f t="shared" ref="H95:H101" si="31">IFERROR(ROUNDDOWN($F$93*I95/2,4),"——")</f>
        <v>——</v>
      </c>
      <c r="I95" s="3367">
        <v>0.11</v>
      </c>
      <c r="J95" s="3345">
        <f t="shared" si="27"/>
        <v>0</v>
      </c>
      <c r="K95" s="3345">
        <f t="shared" si="28"/>
        <v>0</v>
      </c>
      <c r="L95" s="3345">
        <v>0</v>
      </c>
      <c r="M95" s="3345">
        <f t="shared" si="29"/>
        <v>0</v>
      </c>
      <c r="N95" s="3345">
        <f t="shared" si="29"/>
        <v>0</v>
      </c>
    </row>
    <row r="96" spans="1:37" ht="36.75">
      <c r="A96" s="3379" t="s">
        <v>3274</v>
      </c>
      <c r="B96" s="3385" t="s">
        <v>3285</v>
      </c>
      <c r="C96" s="2044"/>
      <c r="D96" s="3366">
        <f t="shared" si="30"/>
        <v>0</v>
      </c>
      <c r="E96" s="3383"/>
      <c r="F96" s="1814"/>
      <c r="G96" s="3373"/>
      <c r="H96" s="3421" t="str">
        <f t="shared" si="31"/>
        <v>——</v>
      </c>
      <c r="I96" s="3367">
        <v>0.05</v>
      </c>
      <c r="J96" s="3345">
        <f t="shared" si="27"/>
        <v>0</v>
      </c>
      <c r="K96" s="3345">
        <f t="shared" si="28"/>
        <v>0</v>
      </c>
      <c r="L96" s="3345">
        <v>0</v>
      </c>
      <c r="M96" s="3345">
        <f t="shared" si="29"/>
        <v>0</v>
      </c>
      <c r="N96" s="3345">
        <f t="shared" si="29"/>
        <v>0</v>
      </c>
    </row>
    <row r="97" spans="1:14" ht="24">
      <c r="A97" s="3379" t="s">
        <v>3275</v>
      </c>
      <c r="B97" s="3370">
        <f>估价对象房地状况!C24</f>
        <v>0</v>
      </c>
      <c r="C97" s="2044"/>
      <c r="D97" s="3366">
        <f t="shared" si="30"/>
        <v>0</v>
      </c>
      <c r="E97" s="3383"/>
      <c r="F97" s="1814"/>
      <c r="G97" s="3373"/>
      <c r="H97" s="3421" t="str">
        <f t="shared" si="31"/>
        <v>——</v>
      </c>
      <c r="I97" s="3367">
        <v>0.05</v>
      </c>
      <c r="J97" s="3345">
        <f t="shared" si="27"/>
        <v>0</v>
      </c>
      <c r="K97" s="3345">
        <f t="shared" si="28"/>
        <v>0</v>
      </c>
      <c r="L97" s="3345">
        <v>0</v>
      </c>
      <c r="M97" s="3345">
        <f t="shared" si="29"/>
        <v>0</v>
      </c>
      <c r="N97" s="3345">
        <f t="shared" si="29"/>
        <v>0</v>
      </c>
    </row>
    <row r="98" spans="1:14" ht="24">
      <c r="A98" s="3379" t="s">
        <v>3276</v>
      </c>
      <c r="B98" s="3386" t="s">
        <v>3286</v>
      </c>
      <c r="C98" s="2044"/>
      <c r="D98" s="3366">
        <f t="shared" si="30"/>
        <v>0</v>
      </c>
      <c r="E98" s="3383"/>
      <c r="F98" s="1814"/>
      <c r="G98" s="3373"/>
      <c r="H98" s="3421" t="str">
        <f t="shared" si="31"/>
        <v>——</v>
      </c>
      <c r="I98" s="3367">
        <v>0.06</v>
      </c>
      <c r="J98" s="3345">
        <f t="shared" si="27"/>
        <v>0</v>
      </c>
      <c r="K98" s="3345">
        <f t="shared" si="28"/>
        <v>0</v>
      </c>
      <c r="L98" s="3345">
        <v>0</v>
      </c>
      <c r="M98" s="3345">
        <f t="shared" si="29"/>
        <v>0</v>
      </c>
      <c r="N98" s="3345">
        <f t="shared" si="29"/>
        <v>0</v>
      </c>
    </row>
    <row r="99" spans="1:14" ht="25.5">
      <c r="A99" s="3379" t="s">
        <v>3277</v>
      </c>
      <c r="B99" s="3370" t="str">
        <f>估价对象房地状况!C21</f>
        <v>估价对象所在区域公共配套设施齐备情况</v>
      </c>
      <c r="C99" s="2044"/>
      <c r="D99" s="3366">
        <f t="shared" si="30"/>
        <v>0</v>
      </c>
      <c r="E99" s="3383"/>
      <c r="F99" s="1814"/>
      <c r="G99" s="3373"/>
      <c r="H99" s="3421" t="str">
        <f t="shared" si="31"/>
        <v>——</v>
      </c>
      <c r="I99" s="3367">
        <v>0.06</v>
      </c>
      <c r="J99" s="3345">
        <f t="shared" si="27"/>
        <v>0</v>
      </c>
      <c r="K99" s="3345">
        <f t="shared" si="28"/>
        <v>0</v>
      </c>
      <c r="L99" s="3345">
        <v>0</v>
      </c>
      <c r="M99" s="3345">
        <f t="shared" si="29"/>
        <v>0</v>
      </c>
      <c r="N99" s="3345">
        <f t="shared" si="29"/>
        <v>0</v>
      </c>
    </row>
    <row r="100" spans="1:14" ht="25.5">
      <c r="A100" s="3379" t="s">
        <v>3278</v>
      </c>
      <c r="B100" s="3370" t="str">
        <f>估价对象房地状况!C22</f>
        <v>估价对象所在区域基础设施水平</v>
      </c>
      <c r="C100" s="2044"/>
      <c r="D100" s="3366">
        <f t="shared" si="30"/>
        <v>0</v>
      </c>
      <c r="E100" s="3383"/>
      <c r="F100" s="1814"/>
      <c r="G100" s="3373"/>
      <c r="H100" s="3421" t="str">
        <f t="shared" si="31"/>
        <v>——</v>
      </c>
      <c r="I100" s="3367">
        <v>0.09</v>
      </c>
      <c r="J100" s="3345">
        <f t="shared" si="27"/>
        <v>0</v>
      </c>
      <c r="K100" s="3345">
        <f t="shared" si="28"/>
        <v>0</v>
      </c>
      <c r="L100" s="3345">
        <v>0</v>
      </c>
      <c r="M100" s="3345">
        <f t="shared" si="29"/>
        <v>0</v>
      </c>
      <c r="N100" s="3345">
        <f t="shared" si="29"/>
        <v>0</v>
      </c>
    </row>
    <row r="101" spans="1:14" ht="26.25" thickBot="1">
      <c r="A101" s="3380" t="s">
        <v>3279</v>
      </c>
      <c r="B101" s="3387" t="str">
        <f>估价对象房地状况!C20</f>
        <v>区域自然环境：；人文环境；综合评价环境状况一般</v>
      </c>
      <c r="C101" s="2044"/>
      <c r="D101" s="3366">
        <f t="shared" si="30"/>
        <v>0</v>
      </c>
      <c r="E101" s="3384"/>
      <c r="F101" s="1814"/>
      <c r="G101" s="3373"/>
      <c r="H101" s="3421" t="str">
        <f t="shared" si="31"/>
        <v>——</v>
      </c>
      <c r="I101" s="3368">
        <v>7.0000000000000007E-2</v>
      </c>
      <c r="J101" s="3345">
        <f t="shared" si="27"/>
        <v>0</v>
      </c>
      <c r="K101" s="3345">
        <f t="shared" si="28"/>
        <v>0</v>
      </c>
      <c r="L101" s="3345">
        <v>0</v>
      </c>
      <c r="M101" s="3345">
        <f t="shared" si="29"/>
        <v>0</v>
      </c>
      <c r="N101" s="3345">
        <f t="shared" si="29"/>
        <v>0</v>
      </c>
    </row>
    <row r="103" spans="1:14">
      <c r="A103" s="3779" t="s">
        <v>3294</v>
      </c>
      <c r="B103" s="3779"/>
      <c r="C103" s="3779"/>
      <c r="D103" s="3779"/>
      <c r="E103" s="3779"/>
      <c r="F103" s="3779"/>
      <c r="G103" s="3779"/>
      <c r="H103" s="3779"/>
      <c r="I103" s="3779"/>
      <c r="J103" s="3779"/>
      <c r="K103" s="3390"/>
      <c r="L103" s="3390"/>
      <c r="M103" s="3390"/>
      <c r="N103" s="3390"/>
    </row>
    <row r="104" spans="1:14">
      <c r="A104" s="3780" t="s">
        <v>3295</v>
      </c>
      <c r="B104" s="3780" t="s">
        <v>3296</v>
      </c>
      <c r="C104" s="3391" t="s">
        <v>3297</v>
      </c>
      <c r="D104" s="3392"/>
      <c r="E104" s="3392"/>
      <c r="F104" s="3392"/>
      <c r="G104" s="3392"/>
      <c r="H104" s="3392"/>
      <c r="I104" s="3392"/>
      <c r="J104" s="3393"/>
      <c r="K104" s="3394"/>
      <c r="L104" s="3394"/>
      <c r="M104" s="3394"/>
      <c r="N104" s="3394"/>
    </row>
    <row r="105" spans="1:14">
      <c r="A105" s="3780"/>
      <c r="B105" s="3780"/>
      <c r="C105" s="3395" t="s">
        <v>3298</v>
      </c>
      <c r="D105" s="3395" t="s">
        <v>3299</v>
      </c>
      <c r="E105" s="3395" t="s">
        <v>3300</v>
      </c>
      <c r="F105" s="3395" t="s">
        <v>3301</v>
      </c>
      <c r="G105" s="3395" t="s">
        <v>3302</v>
      </c>
      <c r="H105" s="3395" t="s">
        <v>3303</v>
      </c>
      <c r="I105" s="3395" t="s">
        <v>3304</v>
      </c>
      <c r="J105" s="3395" t="s">
        <v>3305</v>
      </c>
      <c r="K105" s="3395" t="s">
        <v>3306</v>
      </c>
      <c r="L105" s="3395" t="s">
        <v>3307</v>
      </c>
      <c r="M105" s="3395" t="s">
        <v>3308</v>
      </c>
      <c r="N105" s="3395" t="s">
        <v>3309</v>
      </c>
    </row>
    <row r="106" spans="1:14">
      <c r="A106" s="3766" t="s">
        <v>3310</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67"/>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67"/>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67"/>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67"/>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67"/>
      <c r="B111" s="3395" t="s">
        <v>3268</v>
      </c>
      <c r="C111" s="3396">
        <f>$I$3</f>
        <v>0</v>
      </c>
      <c r="D111" s="3396">
        <f t="shared" ref="D111:M111" si="32">$I$3</f>
        <v>0</v>
      </c>
      <c r="E111" s="3396">
        <f t="shared" si="32"/>
        <v>0</v>
      </c>
      <c r="F111" s="3396">
        <f t="shared" si="32"/>
        <v>0</v>
      </c>
      <c r="G111" s="3396">
        <f t="shared" si="32"/>
        <v>0</v>
      </c>
      <c r="H111" s="3396">
        <f t="shared" si="32"/>
        <v>0</v>
      </c>
      <c r="I111" s="3396">
        <f t="shared" si="32"/>
        <v>0</v>
      </c>
      <c r="J111" s="3396">
        <f t="shared" si="32"/>
        <v>0</v>
      </c>
      <c r="K111" s="3396">
        <f t="shared" si="32"/>
        <v>0</v>
      </c>
      <c r="L111" s="3396">
        <f t="shared" si="32"/>
        <v>0</v>
      </c>
      <c r="M111" s="3396">
        <f t="shared" si="32"/>
        <v>0</v>
      </c>
      <c r="N111" s="3396">
        <f>$I$3</f>
        <v>0</v>
      </c>
    </row>
    <row r="112" spans="1:14">
      <c r="A112" s="3768"/>
      <c r="B112" s="3395">
        <v>6</v>
      </c>
      <c r="C112" s="3388">
        <f>(-0.5556*(C111^2)-0.2719*C111+8944)*(10^(-4))</f>
        <v>0.89440000000000008</v>
      </c>
      <c r="D112" s="3388">
        <f>(-0.5556*(D111^2)-0.2719*D111+8944)*(10^(-4))</f>
        <v>0.89440000000000008</v>
      </c>
      <c r="E112" s="3388">
        <f>(-0.7912*(E111^2)-11.3794*E111+8482)*(10^(-4))</f>
        <v>0.84820000000000007</v>
      </c>
      <c r="F112" s="3388">
        <f t="shared" ref="F112:I112" si="33">(-0.7912*(F111^2)-11.3794*F111+8482)*(10^(-4))</f>
        <v>0.84820000000000007</v>
      </c>
      <c r="G112" s="3388">
        <f t="shared" si="33"/>
        <v>0.84820000000000007</v>
      </c>
      <c r="H112" s="3388">
        <f t="shared" si="33"/>
        <v>0.84820000000000007</v>
      </c>
      <c r="I112" s="3388">
        <f t="shared" si="33"/>
        <v>0.84820000000000007</v>
      </c>
      <c r="J112" s="3388">
        <f>(-0.989*(J111^2)-63.78*J111+7771)*(10^(-4))</f>
        <v>0.77710000000000001</v>
      </c>
      <c r="K112" s="3388">
        <f t="shared" ref="K112:N112" si="34">(-0.989*(K111^2)-63.78*K111+7771)*(10^(-4))</f>
        <v>0.77710000000000001</v>
      </c>
      <c r="L112" s="3388">
        <f t="shared" si="34"/>
        <v>0.77710000000000001</v>
      </c>
      <c r="M112" s="3388">
        <f t="shared" si="34"/>
        <v>0.77710000000000001</v>
      </c>
      <c r="N112" s="3388">
        <f t="shared" si="34"/>
        <v>0.77710000000000001</v>
      </c>
    </row>
    <row r="113" spans="1:14">
      <c r="A113" s="3769" t="s">
        <v>3311</v>
      </c>
      <c r="B113" s="3769"/>
      <c r="C113" s="3769"/>
      <c r="D113" s="3769"/>
      <c r="E113" s="3769"/>
      <c r="F113" s="3769"/>
      <c r="G113" s="3769"/>
      <c r="H113" s="3769"/>
      <c r="I113" s="3769"/>
      <c r="J113" s="3769"/>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3312</v>
      </c>
      <c r="B116" s="3416">
        <f>G3</f>
        <v>0</v>
      </c>
      <c r="C116" s="3400" t="s">
        <v>3313</v>
      </c>
      <c r="D116" s="3401">
        <f>SUMPRODUCT((A118:A122=F116)*(B117:M117=H116)*B118:M122)</f>
        <v>0</v>
      </c>
      <c r="E116" s="2000" t="s">
        <v>3314</v>
      </c>
      <c r="F116" s="3402">
        <f>E2</f>
        <v>0</v>
      </c>
      <c r="G116" s="2000" t="s">
        <v>3315</v>
      </c>
      <c r="H116" s="3402">
        <f>G2</f>
        <v>0</v>
      </c>
      <c r="I116" s="2000"/>
      <c r="J116" s="3403"/>
      <c r="K116" s="3403"/>
      <c r="L116" s="3403"/>
      <c r="M116" s="3403"/>
      <c r="N116" s="3398"/>
    </row>
    <row r="117" spans="1:14">
      <c r="A117" s="3404"/>
      <c r="B117" s="3405" t="s">
        <v>3316</v>
      </c>
      <c r="C117" s="3405" t="s">
        <v>3317</v>
      </c>
      <c r="D117" s="3405" t="s">
        <v>3318</v>
      </c>
      <c r="E117" s="3406" t="s">
        <v>3319</v>
      </c>
      <c r="F117" s="3406" t="s">
        <v>3320</v>
      </c>
      <c r="G117" s="3406" t="s">
        <v>3321</v>
      </c>
      <c r="H117" s="3407" t="s">
        <v>3322</v>
      </c>
      <c r="I117" s="3407" t="s">
        <v>3323</v>
      </c>
      <c r="J117" s="3408" t="s">
        <v>3324</v>
      </c>
      <c r="K117" s="3408" t="s">
        <v>3325</v>
      </c>
      <c r="L117" s="3408" t="s">
        <v>3326</v>
      </c>
      <c r="M117" s="3409" t="s">
        <v>3327</v>
      </c>
      <c r="N117" s="3398"/>
    </row>
    <row r="118" spans="1:14">
      <c r="A118" s="3410" t="s">
        <v>3328</v>
      </c>
      <c r="B118" s="3388">
        <f>ROUND(0.9968-0.011*B116,4)</f>
        <v>0.99680000000000002</v>
      </c>
      <c r="C118" s="3388">
        <f>B118</f>
        <v>0.99680000000000002</v>
      </c>
      <c r="D118" s="3388">
        <f>ROUND(0.949-0.014*B116,4)</f>
        <v>0.94899999999999995</v>
      </c>
      <c r="E118" s="3388">
        <f>D118</f>
        <v>0.94899999999999995</v>
      </c>
      <c r="F118" s="3388">
        <f>E118</f>
        <v>0.94899999999999995</v>
      </c>
      <c r="G118" s="3388">
        <f>F118</f>
        <v>0.94899999999999995</v>
      </c>
      <c r="H118" s="3388">
        <f>G118</f>
        <v>0.94899999999999995</v>
      </c>
      <c r="I118" s="3388">
        <f>ROUND(0.8486-0.018*B116,4)</f>
        <v>0.84860000000000002</v>
      </c>
      <c r="J118" s="3388">
        <f t="shared" ref="J118:M122" si="35">I118</f>
        <v>0.84860000000000002</v>
      </c>
      <c r="K118" s="3388">
        <f t="shared" si="35"/>
        <v>0.84860000000000002</v>
      </c>
      <c r="L118" s="3388">
        <f t="shared" si="35"/>
        <v>0.84860000000000002</v>
      </c>
      <c r="M118" s="3411">
        <f t="shared" si="35"/>
        <v>0.84860000000000002</v>
      </c>
      <c r="N118" s="3398"/>
    </row>
    <row r="119" spans="1:14">
      <c r="A119" s="3410" t="s">
        <v>3329</v>
      </c>
      <c r="B119" s="3388">
        <f>ROUND(0.993-0.0112*B116,4)</f>
        <v>0.99299999999999999</v>
      </c>
      <c r="C119" s="3388">
        <f>B119</f>
        <v>0.99299999999999999</v>
      </c>
      <c r="D119" s="3388">
        <f>ROUND(0.9415-0.0142*B116,4)</f>
        <v>0.9415</v>
      </c>
      <c r="E119" s="3388">
        <f t="shared" ref="E119:H120" si="36">D119</f>
        <v>0.9415</v>
      </c>
      <c r="F119" s="3388">
        <f t="shared" si="36"/>
        <v>0.9415</v>
      </c>
      <c r="G119" s="3388">
        <f t="shared" si="36"/>
        <v>0.9415</v>
      </c>
      <c r="H119" s="3388">
        <f t="shared" si="36"/>
        <v>0.9415</v>
      </c>
      <c r="I119" s="3388">
        <f>ROUND(0.838-0.0182*B116,4)</f>
        <v>0.83799999999999997</v>
      </c>
      <c r="J119" s="3388">
        <f t="shared" si="35"/>
        <v>0.83799999999999997</v>
      </c>
      <c r="K119" s="3388">
        <f t="shared" si="35"/>
        <v>0.83799999999999997</v>
      </c>
      <c r="L119" s="3388">
        <f t="shared" si="35"/>
        <v>0.83799999999999997</v>
      </c>
      <c r="M119" s="3411">
        <f t="shared" si="35"/>
        <v>0.83799999999999997</v>
      </c>
      <c r="N119" s="3398"/>
    </row>
    <row r="120" spans="1:14">
      <c r="A120" s="3410" t="s">
        <v>3330</v>
      </c>
      <c r="B120" s="3388">
        <f>ROUND(0.9448-0.0115*B116,4)</f>
        <v>0.94479999999999997</v>
      </c>
      <c r="C120" s="3388">
        <f>B120</f>
        <v>0.94479999999999997</v>
      </c>
      <c r="D120" s="3388">
        <f>ROUND(0.937-0.0145*B116,4)</f>
        <v>0.93700000000000006</v>
      </c>
      <c r="E120" s="3388">
        <f t="shared" si="36"/>
        <v>0.93700000000000006</v>
      </c>
      <c r="F120" s="3388">
        <f t="shared" si="36"/>
        <v>0.93700000000000006</v>
      </c>
      <c r="G120" s="3388">
        <f t="shared" si="36"/>
        <v>0.93700000000000006</v>
      </c>
      <c r="H120" s="3388">
        <f t="shared" si="36"/>
        <v>0.93700000000000006</v>
      </c>
      <c r="I120" s="3388">
        <f>ROUND(0.7965-0.0185*B116,4)</f>
        <v>0.79649999999999999</v>
      </c>
      <c r="J120" s="3388">
        <f t="shared" si="35"/>
        <v>0.79649999999999999</v>
      </c>
      <c r="K120" s="3388">
        <f t="shared" si="35"/>
        <v>0.79649999999999999</v>
      </c>
      <c r="L120" s="3388">
        <f t="shared" si="35"/>
        <v>0.79649999999999999</v>
      </c>
      <c r="M120" s="3411">
        <f t="shared" si="35"/>
        <v>0.79649999999999999</v>
      </c>
      <c r="N120" s="3398"/>
    </row>
    <row r="121" spans="1:14" ht="13.5" thickBot="1">
      <c r="A121" s="3412" t="s">
        <v>3331</v>
      </c>
      <c r="B121" s="3413">
        <f>ROUND(0.7836-0.012*B116,4)</f>
        <v>0.78359999999999996</v>
      </c>
      <c r="C121" s="3413">
        <f>B121</f>
        <v>0.78359999999999996</v>
      </c>
      <c r="D121" s="3413">
        <f>ROUND(0.753-0.015*B116,4)</f>
        <v>0.753</v>
      </c>
      <c r="E121" s="3413">
        <f>D121</f>
        <v>0.753</v>
      </c>
      <c r="F121" s="3413">
        <f>E121</f>
        <v>0.753</v>
      </c>
      <c r="G121" s="3413">
        <f>ROUND(0.6612-0.018*B116,4)</f>
        <v>0.66120000000000001</v>
      </c>
      <c r="H121" s="3413">
        <f>G121</f>
        <v>0.66120000000000001</v>
      </c>
      <c r="I121" s="3413">
        <f>ROUND(0.5905-0.019*B116,4)</f>
        <v>0.59050000000000002</v>
      </c>
      <c r="J121" s="3413">
        <f t="shared" si="35"/>
        <v>0.59050000000000002</v>
      </c>
      <c r="K121" s="3413">
        <f t="shared" si="35"/>
        <v>0.59050000000000002</v>
      </c>
      <c r="L121" s="3413">
        <f t="shared" si="35"/>
        <v>0.59050000000000002</v>
      </c>
      <c r="M121" s="3414">
        <f t="shared" si="35"/>
        <v>0.59050000000000002</v>
      </c>
      <c r="N121" s="3398"/>
    </row>
    <row r="122" spans="1:14">
      <c r="A122" s="3415" t="s">
        <v>2612</v>
      </c>
      <c r="B122" s="3388">
        <f>ROUND(0.9404-0.0106*B116,4)</f>
        <v>0.94040000000000001</v>
      </c>
      <c r="C122" s="3388">
        <f>B122</f>
        <v>0.94040000000000001</v>
      </c>
      <c r="D122" s="3388">
        <f>ROUND(0.8955-0.0135*B116,4)</f>
        <v>0.89549999999999996</v>
      </c>
      <c r="E122" s="3388">
        <f t="shared" ref="E122:H122" si="37">D122</f>
        <v>0.89549999999999996</v>
      </c>
      <c r="F122" s="3388">
        <f t="shared" si="37"/>
        <v>0.89549999999999996</v>
      </c>
      <c r="G122" s="3388">
        <f t="shared" si="37"/>
        <v>0.89549999999999996</v>
      </c>
      <c r="H122" s="3388">
        <f t="shared" si="37"/>
        <v>0.89549999999999996</v>
      </c>
      <c r="I122" s="3388">
        <f>ROUND(0.7632-0.0166*B116,4)</f>
        <v>0.76319999999999999</v>
      </c>
      <c r="J122" s="3388">
        <f t="shared" si="35"/>
        <v>0.76319999999999999</v>
      </c>
      <c r="K122" s="3388">
        <f t="shared" si="35"/>
        <v>0.76319999999999999</v>
      </c>
      <c r="L122" s="3388">
        <f t="shared" si="35"/>
        <v>0.76319999999999999</v>
      </c>
      <c r="M122" s="3411">
        <f t="shared" si="35"/>
        <v>0.76319999999999999</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INDIRECT(E2)</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zoomScaleNormal="90" workbookViewId="0">
      <selection activeCell="D29" sqref="D29"/>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2594</v>
      </c>
      <c r="B1" s="3072" t="s">
        <v>2595</v>
      </c>
      <c r="C1" s="3072" t="s">
        <v>2596</v>
      </c>
      <c r="D1" s="3072" t="s">
        <v>2597</v>
      </c>
      <c r="E1" s="3072" t="s">
        <v>2598</v>
      </c>
      <c r="F1" s="3072" t="s">
        <v>2599</v>
      </c>
      <c r="G1" s="3072" t="s">
        <v>2600</v>
      </c>
      <c r="H1" s="3072" t="s">
        <v>2601</v>
      </c>
      <c r="I1" s="3072" t="s">
        <v>2602</v>
      </c>
      <c r="J1" s="3072" t="s">
        <v>2603</v>
      </c>
      <c r="K1" s="3072" t="s">
        <v>2604</v>
      </c>
      <c r="L1" s="3072" t="s">
        <v>2605</v>
      </c>
      <c r="M1" s="3073" t="s">
        <v>2606</v>
      </c>
    </row>
    <row r="2" spans="1:13" ht="19.5" customHeight="1">
      <c r="A2" s="3075" t="s">
        <v>2607</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2608</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2609</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2610</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2611</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2612</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2613</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2614</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2615</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2616</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2617</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2618</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2619</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2620</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2621</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2622</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2623</v>
      </c>
      <c r="B18" s="3097"/>
      <c r="C18" s="3098"/>
      <c r="D18" s="3098"/>
      <c r="E18" s="3097"/>
      <c r="F18" s="3098"/>
      <c r="G18" s="3098"/>
    </row>
    <row r="19" spans="1:13" ht="19.5" customHeight="1" thickBot="1">
      <c r="A19" s="3095" t="s">
        <v>2624</v>
      </c>
      <c r="B19" s="3100" t="s">
        <v>2625</v>
      </c>
      <c r="C19" s="3100" t="s">
        <v>2626</v>
      </c>
      <c r="D19" s="3101"/>
      <c r="E19" s="3095" t="s">
        <v>2627</v>
      </c>
      <c r="F19" s="3102"/>
      <c r="G19" s="3102"/>
    </row>
    <row r="20" spans="1:13" ht="19.5" customHeight="1">
      <c r="A20" s="3795" t="s">
        <v>2607</v>
      </c>
      <c r="B20" s="3785" t="s">
        <v>2628</v>
      </c>
      <c r="C20" s="3477" t="s">
        <v>2439</v>
      </c>
      <c r="D20" s="3477"/>
      <c r="E20" s="3105">
        <v>1</v>
      </c>
      <c r="F20" s="3106" t="s">
        <v>2440</v>
      </c>
      <c r="G20" s="3106"/>
    </row>
    <row r="21" spans="1:13" ht="19.5" customHeight="1">
      <c r="A21" s="3796"/>
      <c r="B21" s="3786"/>
      <c r="C21" s="3467" t="s">
        <v>2441</v>
      </c>
      <c r="D21" s="3467"/>
      <c r="E21" s="3109">
        <v>1</v>
      </c>
      <c r="F21" s="3106" t="s">
        <v>2442</v>
      </c>
      <c r="G21" s="3106"/>
    </row>
    <row r="22" spans="1:13" ht="19.5" customHeight="1">
      <c r="A22" s="3796"/>
      <c r="B22" s="3786"/>
      <c r="C22" s="3467" t="s">
        <v>2443</v>
      </c>
      <c r="D22" s="3467"/>
      <c r="E22" s="3109">
        <v>0.9</v>
      </c>
      <c r="F22" s="3106" t="s">
        <v>2444</v>
      </c>
      <c r="G22" s="3106"/>
    </row>
    <row r="23" spans="1:13" ht="19.5" customHeight="1">
      <c r="A23" s="3796"/>
      <c r="B23" s="3786"/>
      <c r="C23" s="3467" t="s">
        <v>2445</v>
      </c>
      <c r="D23" s="3467"/>
      <c r="E23" s="3109">
        <v>0.9</v>
      </c>
      <c r="F23" s="3106" t="s">
        <v>2446</v>
      </c>
      <c r="G23" s="3106"/>
    </row>
    <row r="24" spans="1:13" ht="19.5" customHeight="1">
      <c r="A24" s="3796"/>
      <c r="B24" s="3786"/>
      <c r="C24" s="3467" t="s">
        <v>2447</v>
      </c>
      <c r="D24" s="3467"/>
      <c r="E24" s="3109">
        <v>0.8</v>
      </c>
      <c r="F24" s="3106" t="s">
        <v>2448</v>
      </c>
      <c r="G24" s="3106"/>
    </row>
    <row r="25" spans="1:13" ht="19.5" customHeight="1">
      <c r="A25" s="3796"/>
      <c r="B25" s="3786"/>
      <c r="C25" s="3467" t="s">
        <v>2449</v>
      </c>
      <c r="D25" s="3467"/>
      <c r="E25" s="3109">
        <v>0.8</v>
      </c>
      <c r="F25" s="3106"/>
      <c r="G25" s="3106"/>
    </row>
    <row r="26" spans="1:13" ht="19.5" customHeight="1">
      <c r="A26" s="3796"/>
      <c r="B26" s="3786"/>
      <c r="C26" s="3470" t="s">
        <v>3412</v>
      </c>
      <c r="D26" s="3470"/>
      <c r="E26" s="3471">
        <v>0.43</v>
      </c>
      <c r="F26" s="3106"/>
      <c r="G26" s="3106"/>
    </row>
    <row r="27" spans="1:13" ht="19.5" customHeight="1" thickBot="1">
      <c r="A27" s="3797"/>
      <c r="B27" s="3787"/>
      <c r="C27" s="3472" t="s">
        <v>3413</v>
      </c>
      <c r="D27" s="3472"/>
      <c r="E27" s="3473">
        <f>E26*0.9</f>
        <v>0.38700000000000001</v>
      </c>
      <c r="F27" s="3106" t="s">
        <v>2450</v>
      </c>
      <c r="G27" s="3106"/>
    </row>
    <row r="28" spans="1:13" ht="19.5" customHeight="1" thickBot="1">
      <c r="A28" s="3469" t="s">
        <v>2629</v>
      </c>
      <c r="B28" s="3468" t="s">
        <v>2628</v>
      </c>
      <c r="C28" s="3474" t="s">
        <v>2630</v>
      </c>
      <c r="D28" s="3475"/>
      <c r="E28" s="3476">
        <v>1</v>
      </c>
      <c r="F28" s="3106" t="s">
        <v>2451</v>
      </c>
      <c r="G28" s="3106"/>
    </row>
    <row r="29" spans="1:13" ht="19.5" customHeight="1">
      <c r="A29" s="3788" t="s">
        <v>2631</v>
      </c>
      <c r="B29" s="3791" t="s">
        <v>2612</v>
      </c>
      <c r="C29" s="3103" t="s">
        <v>2452</v>
      </c>
      <c r="D29" s="3104"/>
      <c r="E29" s="3105">
        <v>1</v>
      </c>
      <c r="F29" s="3106" t="s">
        <v>2453</v>
      </c>
      <c r="G29" s="3106"/>
    </row>
    <row r="30" spans="1:13" ht="19.5" customHeight="1">
      <c r="A30" s="3789"/>
      <c r="B30" s="3792"/>
      <c r="C30" s="3107" t="s">
        <v>2454</v>
      </c>
      <c r="D30" s="3108"/>
      <c r="E30" s="3109">
        <v>1</v>
      </c>
      <c r="F30" s="3106" t="s">
        <v>2455</v>
      </c>
      <c r="G30" s="3106"/>
    </row>
    <row r="31" spans="1:13" ht="19.5" customHeight="1">
      <c r="A31" s="3789"/>
      <c r="B31" s="3792"/>
      <c r="C31" s="3107" t="s">
        <v>2456</v>
      </c>
      <c r="D31" s="3108"/>
      <c r="E31" s="3109">
        <v>0.8</v>
      </c>
      <c r="F31" s="3106" t="s">
        <v>2457</v>
      </c>
      <c r="G31" s="3106"/>
    </row>
    <row r="32" spans="1:13" ht="19.5" customHeight="1">
      <c r="A32" s="3789"/>
      <c r="B32" s="3792"/>
      <c r="C32" s="3107" t="s">
        <v>2458</v>
      </c>
      <c r="D32" s="3108"/>
      <c r="E32" s="3109">
        <v>0.8</v>
      </c>
      <c r="F32" s="3106" t="s">
        <v>2459</v>
      </c>
      <c r="G32" s="3106"/>
    </row>
    <row r="33" spans="1:7" ht="19.5" customHeight="1">
      <c r="A33" s="3789"/>
      <c r="B33" s="3792"/>
      <c r="C33" s="3107" t="s">
        <v>2460</v>
      </c>
      <c r="D33" s="3108"/>
      <c r="E33" s="3109">
        <v>0.8</v>
      </c>
      <c r="F33" s="3106" t="s">
        <v>2461</v>
      </c>
      <c r="G33" s="3106"/>
    </row>
    <row r="34" spans="1:7" ht="19.5" customHeight="1">
      <c r="A34" s="3789"/>
      <c r="B34" s="3792"/>
      <c r="C34" s="3107" t="s">
        <v>2462</v>
      </c>
      <c r="D34" s="3108"/>
      <c r="E34" s="3109">
        <v>0.7</v>
      </c>
      <c r="F34" s="3106" t="s">
        <v>2463</v>
      </c>
      <c r="G34" s="3106"/>
    </row>
    <row r="35" spans="1:7" ht="19.5" customHeight="1">
      <c r="A35" s="3789"/>
      <c r="B35" s="3792"/>
      <c r="C35" s="3107" t="s">
        <v>2464</v>
      </c>
      <c r="D35" s="3108"/>
      <c r="E35" s="3109">
        <v>0.8</v>
      </c>
      <c r="F35" s="3106" t="s">
        <v>2465</v>
      </c>
      <c r="G35" s="3106"/>
    </row>
    <row r="36" spans="1:7" ht="19.5" customHeight="1">
      <c r="A36" s="3789"/>
      <c r="B36" s="3792"/>
      <c r="C36" s="3107" t="s">
        <v>2466</v>
      </c>
      <c r="D36" s="3108"/>
      <c r="E36" s="3109">
        <v>0.6</v>
      </c>
      <c r="F36" s="3106" t="s">
        <v>2467</v>
      </c>
      <c r="G36" s="3106"/>
    </row>
    <row r="37" spans="1:7" ht="19.5" customHeight="1">
      <c r="A37" s="3789"/>
      <c r="B37" s="3792"/>
      <c r="C37" s="3107" t="s">
        <v>2468</v>
      </c>
      <c r="D37" s="3108"/>
      <c r="E37" s="3109">
        <v>0.2</v>
      </c>
      <c r="F37" s="3106" t="s">
        <v>2469</v>
      </c>
      <c r="G37" s="3106"/>
    </row>
    <row r="38" spans="1:7" ht="19.5" customHeight="1">
      <c r="A38" s="3789"/>
      <c r="B38" s="3792"/>
      <c r="C38" s="3107" t="s">
        <v>2470</v>
      </c>
      <c r="D38" s="3108"/>
      <c r="E38" s="3109">
        <v>0.2</v>
      </c>
      <c r="F38" s="3106" t="s">
        <v>2471</v>
      </c>
      <c r="G38" s="3106"/>
    </row>
    <row r="39" spans="1:7" ht="19.5" customHeight="1">
      <c r="A39" s="3789"/>
      <c r="B39" s="3793" t="s">
        <v>2632</v>
      </c>
      <c r="C39" s="3107" t="s">
        <v>2472</v>
      </c>
      <c r="D39" s="3108"/>
      <c r="E39" s="3109">
        <v>0.6</v>
      </c>
      <c r="F39" s="3106" t="s">
        <v>2473</v>
      </c>
      <c r="G39" s="3106"/>
    </row>
    <row r="40" spans="1:7" ht="19.5" customHeight="1">
      <c r="A40" s="3789"/>
      <c r="B40" s="3792"/>
      <c r="C40" s="3107" t="s">
        <v>2474</v>
      </c>
      <c r="D40" s="3108"/>
      <c r="E40" s="3109">
        <v>0.6</v>
      </c>
      <c r="F40" s="3106" t="s">
        <v>2475</v>
      </c>
      <c r="G40" s="3106"/>
    </row>
    <row r="41" spans="1:7" ht="19.5" customHeight="1" thickBot="1">
      <c r="A41" s="3790"/>
      <c r="B41" s="3794"/>
      <c r="C41" s="3110" t="s">
        <v>2476</v>
      </c>
      <c r="D41" s="3111"/>
      <c r="E41" s="3112">
        <v>0.6</v>
      </c>
      <c r="F41" s="3106" t="s">
        <v>2477</v>
      </c>
      <c r="G41" s="3106"/>
    </row>
    <row r="42" spans="1:7" ht="19.5" customHeight="1" thickBot="1">
      <c r="A42" s="3113" t="s">
        <v>2609</v>
      </c>
      <c r="B42" s="3114" t="s">
        <v>2609</v>
      </c>
      <c r="C42" s="3115" t="s">
        <v>2633</v>
      </c>
      <c r="D42" s="3116"/>
      <c r="E42" s="3117">
        <v>1</v>
      </c>
      <c r="F42" s="3106" t="s">
        <v>2478</v>
      </c>
      <c r="G42" s="3106"/>
    </row>
    <row r="43" spans="1:7" ht="19.5" customHeight="1">
      <c r="A43" s="3795" t="s">
        <v>2610</v>
      </c>
      <c r="B43" s="3791" t="s">
        <v>2634</v>
      </c>
      <c r="C43" s="3103" t="s">
        <v>2479</v>
      </c>
      <c r="D43" s="3104"/>
      <c r="E43" s="3105">
        <v>1</v>
      </c>
      <c r="F43" s="3106" t="s">
        <v>2480</v>
      </c>
      <c r="G43" s="3106"/>
    </row>
    <row r="44" spans="1:7" ht="19.5" customHeight="1">
      <c r="A44" s="3796"/>
      <c r="B44" s="3792"/>
      <c r="C44" s="3107" t="s">
        <v>2481</v>
      </c>
      <c r="D44" s="3108"/>
      <c r="E44" s="3109">
        <v>1</v>
      </c>
      <c r="F44" s="3106" t="s">
        <v>2482</v>
      </c>
      <c r="G44" s="3106"/>
    </row>
    <row r="45" spans="1:7" ht="19.5" customHeight="1">
      <c r="A45" s="3796"/>
      <c r="B45" s="3798"/>
      <c r="C45" s="3107" t="s">
        <v>2483</v>
      </c>
      <c r="D45" s="3108"/>
      <c r="E45" s="3109">
        <v>1.5</v>
      </c>
      <c r="F45" s="3106" t="s">
        <v>2484</v>
      </c>
      <c r="G45" s="3106"/>
    </row>
    <row r="46" spans="1:7" ht="19.5" customHeight="1">
      <c r="A46" s="3796"/>
      <c r="B46" s="3118" t="s">
        <v>2635</v>
      </c>
      <c r="C46" s="3107" t="s">
        <v>2636</v>
      </c>
      <c r="D46" s="3108"/>
      <c r="E46" s="3109">
        <v>2</v>
      </c>
      <c r="F46" s="3106" t="s">
        <v>2485</v>
      </c>
      <c r="G46" s="3106"/>
    </row>
    <row r="47" spans="1:7" ht="19.5" customHeight="1">
      <c r="A47" s="3796"/>
      <c r="B47" s="3793" t="s">
        <v>2637</v>
      </c>
      <c r="C47" s="3107" t="s">
        <v>2486</v>
      </c>
      <c r="D47" s="3108"/>
      <c r="E47" s="3109">
        <v>1</v>
      </c>
      <c r="F47" s="3106" t="s">
        <v>2487</v>
      </c>
      <c r="G47" s="3106"/>
    </row>
    <row r="48" spans="1:7" ht="19.5" customHeight="1">
      <c r="A48" s="3796"/>
      <c r="B48" s="3792"/>
      <c r="C48" s="3107" t="s">
        <v>2488</v>
      </c>
      <c r="D48" s="3108"/>
      <c r="E48" s="3109">
        <v>1</v>
      </c>
      <c r="F48" s="3106" t="s">
        <v>2489</v>
      </c>
      <c r="G48" s="3106"/>
    </row>
    <row r="49" spans="1:7" ht="19.5" customHeight="1">
      <c r="A49" s="3796"/>
      <c r="B49" s="3792"/>
      <c r="C49" s="3107" t="s">
        <v>2490</v>
      </c>
      <c r="D49" s="3108"/>
      <c r="E49" s="3109">
        <v>1</v>
      </c>
      <c r="F49" s="3106" t="s">
        <v>2491</v>
      </c>
      <c r="G49" s="3106"/>
    </row>
    <row r="50" spans="1:7" ht="19.5" customHeight="1">
      <c r="A50" s="3796"/>
      <c r="B50" s="3792"/>
      <c r="C50" s="3107" t="s">
        <v>2492</v>
      </c>
      <c r="D50" s="3108"/>
      <c r="E50" s="3109">
        <v>1</v>
      </c>
      <c r="F50" s="3106" t="s">
        <v>2493</v>
      </c>
      <c r="G50" s="3106"/>
    </row>
    <row r="51" spans="1:7" ht="19.5" customHeight="1">
      <c r="A51" s="3796"/>
      <c r="B51" s="3792"/>
      <c r="C51" s="3107" t="s">
        <v>2494</v>
      </c>
      <c r="D51" s="3108"/>
      <c r="E51" s="3109">
        <v>1</v>
      </c>
      <c r="F51" s="3106" t="s">
        <v>2495</v>
      </c>
      <c r="G51" s="3106"/>
    </row>
    <row r="52" spans="1:7" ht="19.5" customHeight="1">
      <c r="A52" s="3796"/>
      <c r="B52" s="3792"/>
      <c r="C52" s="3107" t="s">
        <v>2496</v>
      </c>
      <c r="D52" s="3108"/>
      <c r="E52" s="3109">
        <v>1</v>
      </c>
      <c r="F52" s="3106" t="s">
        <v>2497</v>
      </c>
      <c r="G52" s="3106"/>
    </row>
    <row r="53" spans="1:7" ht="19.5" customHeight="1" thickBot="1">
      <c r="A53" s="3797"/>
      <c r="B53" s="3794"/>
      <c r="C53" s="3110" t="s">
        <v>2498</v>
      </c>
      <c r="D53" s="3111"/>
      <c r="E53" s="3112">
        <v>1</v>
      </c>
      <c r="F53" s="3106" t="s">
        <v>2499</v>
      </c>
      <c r="G53" s="3106"/>
    </row>
    <row r="54" spans="1:7" ht="19.5" customHeight="1">
      <c r="A54" s="3119"/>
      <c r="B54" s="3119"/>
      <c r="C54" s="3119"/>
      <c r="D54" s="3119"/>
      <c r="E54" s="3119"/>
      <c r="F54" s="3119"/>
      <c r="G54" s="3119"/>
    </row>
    <row r="56" spans="1:7" ht="19.5" customHeight="1">
      <c r="A56" s="3120"/>
      <c r="B56" s="3092" t="s">
        <v>2638</v>
      </c>
      <c r="C56" s="3092" t="s">
        <v>2638</v>
      </c>
      <c r="D56" s="3092" t="s">
        <v>2638</v>
      </c>
      <c r="E56" s="3095" t="s">
        <v>2638</v>
      </c>
      <c r="F56" s="3095" t="s">
        <v>2639</v>
      </c>
      <c r="G56" s="3095" t="s">
        <v>2640</v>
      </c>
    </row>
    <row r="57" spans="1:7" ht="19.5" customHeight="1">
      <c r="A57" s="3121"/>
      <c r="B57" s="3095" t="s">
        <v>2607</v>
      </c>
      <c r="C57" s="3095" t="s">
        <v>2607</v>
      </c>
      <c r="D57" s="3095" t="s">
        <v>2607</v>
      </c>
      <c r="E57" s="3092" t="s">
        <v>2608</v>
      </c>
      <c r="F57" s="3092" t="s">
        <v>2610</v>
      </c>
      <c r="G57" s="3092" t="s">
        <v>2641</v>
      </c>
    </row>
    <row r="58" spans="1:7" ht="19.5" customHeight="1">
      <c r="A58" s="3122"/>
      <c r="B58" s="3092">
        <v>1</v>
      </c>
      <c r="C58" s="3092">
        <v>2</v>
      </c>
      <c r="D58" s="3092">
        <v>3</v>
      </c>
      <c r="E58" s="3123" t="s">
        <v>2642</v>
      </c>
      <c r="F58" s="3123" t="s">
        <v>2642</v>
      </c>
      <c r="G58" s="3123" t="s">
        <v>2642</v>
      </c>
    </row>
    <row r="59" spans="1:7" ht="19.5" customHeight="1">
      <c r="A59" s="3124" t="s">
        <v>2595</v>
      </c>
      <c r="B59" s="3092">
        <v>0.7</v>
      </c>
      <c r="C59" s="3092">
        <v>0.4</v>
      </c>
      <c r="D59" s="3092">
        <v>0.3</v>
      </c>
      <c r="E59" s="3123">
        <v>0.3</v>
      </c>
      <c r="F59" s="3092">
        <v>0.3</v>
      </c>
      <c r="G59" s="3092">
        <v>0.2</v>
      </c>
    </row>
    <row r="60" spans="1:7" ht="19.5" customHeight="1">
      <c r="A60" s="3124" t="s">
        <v>2596</v>
      </c>
      <c r="B60" s="3092">
        <v>0.7</v>
      </c>
      <c r="C60" s="3092">
        <v>0.4</v>
      </c>
      <c r="D60" s="3092">
        <v>0.3</v>
      </c>
      <c r="E60" s="3092">
        <v>0.3</v>
      </c>
      <c r="F60" s="3092">
        <v>0.3</v>
      </c>
      <c r="G60" s="3092">
        <v>0.2</v>
      </c>
    </row>
    <row r="61" spans="1:7" ht="19.5" customHeight="1">
      <c r="A61" s="3124" t="s">
        <v>2597</v>
      </c>
      <c r="B61" s="3092">
        <v>0.6</v>
      </c>
      <c r="C61" s="3092">
        <v>0.3</v>
      </c>
      <c r="D61" s="3092">
        <v>0.25</v>
      </c>
      <c r="E61" s="3092">
        <v>0.25</v>
      </c>
      <c r="F61" s="3092">
        <v>0.25</v>
      </c>
      <c r="G61" s="3092">
        <v>0.15</v>
      </c>
    </row>
    <row r="62" spans="1:7" ht="19.5" customHeight="1">
      <c r="A62" s="3124" t="s">
        <v>2598</v>
      </c>
      <c r="B62" s="3092">
        <v>0.6</v>
      </c>
      <c r="C62" s="3092">
        <v>0.3</v>
      </c>
      <c r="D62" s="3092">
        <v>0.25</v>
      </c>
      <c r="E62" s="3092">
        <v>0.25</v>
      </c>
      <c r="F62" s="3092">
        <v>0.25</v>
      </c>
      <c r="G62" s="3092">
        <v>0.15</v>
      </c>
    </row>
    <row r="63" spans="1:7" ht="19.5" customHeight="1">
      <c r="A63" s="3124" t="s">
        <v>2599</v>
      </c>
      <c r="B63" s="3092">
        <v>0.6</v>
      </c>
      <c r="C63" s="3092">
        <v>0.3</v>
      </c>
      <c r="D63" s="3092">
        <v>0.25</v>
      </c>
      <c r="E63" s="3092">
        <v>0.25</v>
      </c>
      <c r="F63" s="3092">
        <v>0.25</v>
      </c>
      <c r="G63" s="3092">
        <v>0.15</v>
      </c>
    </row>
    <row r="64" spans="1:7" ht="19.5" customHeight="1">
      <c r="A64" s="3124" t="s">
        <v>2600</v>
      </c>
      <c r="B64" s="3092">
        <v>0.6</v>
      </c>
      <c r="C64" s="3092">
        <v>0.3</v>
      </c>
      <c r="D64" s="3092">
        <v>0.25</v>
      </c>
      <c r="E64" s="3092">
        <v>0.25</v>
      </c>
      <c r="F64" s="3092">
        <v>0.25</v>
      </c>
      <c r="G64" s="3092">
        <v>0.15</v>
      </c>
    </row>
    <row r="65" spans="1:7" ht="19.5" customHeight="1">
      <c r="A65" s="3124" t="s">
        <v>2601</v>
      </c>
      <c r="B65" s="3092">
        <v>0.6</v>
      </c>
      <c r="C65" s="3092">
        <v>0.3</v>
      </c>
      <c r="D65" s="3092">
        <v>0.25</v>
      </c>
      <c r="E65" s="3092">
        <v>0.25</v>
      </c>
      <c r="F65" s="3092">
        <v>0.25</v>
      </c>
      <c r="G65" s="3092">
        <v>0.15</v>
      </c>
    </row>
    <row r="66" spans="1:7" ht="19.5" customHeight="1">
      <c r="A66" s="3124" t="s">
        <v>2602</v>
      </c>
      <c r="B66" s="3092">
        <v>0.5</v>
      </c>
      <c r="C66" s="3092">
        <v>0.2</v>
      </c>
      <c r="D66" s="3092">
        <v>0.2</v>
      </c>
      <c r="E66" s="3092">
        <v>0.2</v>
      </c>
      <c r="F66" s="3092">
        <v>0.2</v>
      </c>
      <c r="G66" s="3092">
        <v>0.1</v>
      </c>
    </row>
    <row r="67" spans="1:7" ht="19.5" customHeight="1">
      <c r="A67" s="3124" t="s">
        <v>2603</v>
      </c>
      <c r="B67" s="3092">
        <v>0.5</v>
      </c>
      <c r="C67" s="3092">
        <v>0.2</v>
      </c>
      <c r="D67" s="3092">
        <v>0.2</v>
      </c>
      <c r="E67" s="3092">
        <v>0.2</v>
      </c>
      <c r="F67" s="3092">
        <v>0.2</v>
      </c>
      <c r="G67" s="3092">
        <v>0.1</v>
      </c>
    </row>
    <row r="68" spans="1:7" ht="19.5" customHeight="1">
      <c r="A68" s="3124" t="s">
        <v>2604</v>
      </c>
      <c r="B68" s="3092">
        <v>0.5</v>
      </c>
      <c r="C68" s="3092">
        <v>0.2</v>
      </c>
      <c r="D68" s="3092">
        <v>0.2</v>
      </c>
      <c r="E68" s="3092">
        <v>0.2</v>
      </c>
      <c r="F68" s="3092">
        <v>0.2</v>
      </c>
      <c r="G68" s="3092">
        <v>0.1</v>
      </c>
    </row>
    <row r="69" spans="1:7" ht="19.5" customHeight="1">
      <c r="A69" s="3124" t="s">
        <v>2605</v>
      </c>
      <c r="B69" s="3092">
        <v>0.5</v>
      </c>
      <c r="C69" s="3092">
        <v>0.2</v>
      </c>
      <c r="D69" s="3092">
        <v>0.2</v>
      </c>
      <c r="E69" s="3092">
        <v>0.2</v>
      </c>
      <c r="F69" s="3092">
        <v>0.2</v>
      </c>
      <c r="G69" s="3092">
        <v>0.1</v>
      </c>
    </row>
    <row r="70" spans="1:7" ht="19.5" customHeight="1">
      <c r="A70" s="3124" t="s">
        <v>2606</v>
      </c>
      <c r="B70" s="3092">
        <v>0.5</v>
      </c>
      <c r="C70" s="3092">
        <v>0.2</v>
      </c>
      <c r="D70" s="3092">
        <v>0.2</v>
      </c>
      <c r="E70" s="3092">
        <v>0.2</v>
      </c>
      <c r="F70" s="3092">
        <v>0.2</v>
      </c>
      <c r="G70" s="3092">
        <v>0.1</v>
      </c>
    </row>
    <row r="72" spans="1:7" ht="19.5" customHeight="1">
      <c r="A72" s="3125"/>
      <c r="B72" s="3126"/>
      <c r="C72" s="3126"/>
      <c r="D72" s="3126" t="s">
        <v>2643</v>
      </c>
      <c r="E72" s="3126"/>
      <c r="F72" s="3126"/>
    </row>
    <row r="73" spans="1:7" ht="19.5" customHeight="1">
      <c r="A73" s="3118" t="s">
        <v>2644</v>
      </c>
      <c r="B73" s="3118" t="s">
        <v>2645</v>
      </c>
      <c r="C73" s="3118" t="s">
        <v>2646</v>
      </c>
      <c r="D73" s="3118" t="s">
        <v>2647</v>
      </c>
      <c r="E73" s="3118" t="s">
        <v>2648</v>
      </c>
      <c r="F73" s="3118" t="s">
        <v>2649</v>
      </c>
    </row>
    <row r="74" spans="1:7" ht="13.5">
      <c r="A74" s="3118"/>
      <c r="B74" s="3118"/>
      <c r="C74" s="3118" t="s">
        <v>2650</v>
      </c>
      <c r="D74" s="3118"/>
      <c r="E74" s="3118" t="s">
        <v>2621</v>
      </c>
      <c r="F74" s="3118" t="s">
        <v>2621</v>
      </c>
    </row>
    <row r="75" spans="1:7" ht="13.5">
      <c r="A75" s="3118">
        <v>1</v>
      </c>
      <c r="B75" s="3793" t="s">
        <v>2651</v>
      </c>
      <c r="C75" s="3092" t="s">
        <v>2652</v>
      </c>
      <c r="D75" s="3092" t="s">
        <v>2653</v>
      </c>
      <c r="E75" s="3118">
        <v>0.2</v>
      </c>
      <c r="F75" s="3118">
        <v>25</v>
      </c>
    </row>
    <row r="76" spans="1:7" ht="24">
      <c r="A76" s="3118">
        <v>2</v>
      </c>
      <c r="B76" s="3792"/>
      <c r="C76" s="3092" t="s">
        <v>2654</v>
      </c>
      <c r="D76" s="3092" t="s">
        <v>2655</v>
      </c>
      <c r="E76" s="3118">
        <v>0.2</v>
      </c>
      <c r="F76" s="3118">
        <v>25</v>
      </c>
    </row>
    <row r="77" spans="1:7" ht="24">
      <c r="A77" s="3118">
        <v>3</v>
      </c>
      <c r="B77" s="3792"/>
      <c r="C77" s="3092" t="s">
        <v>2656</v>
      </c>
      <c r="D77" s="3092" t="s">
        <v>2657</v>
      </c>
      <c r="E77" s="3118">
        <v>0.2</v>
      </c>
      <c r="F77" s="3118">
        <v>25</v>
      </c>
    </row>
    <row r="78" spans="1:7" ht="13.5">
      <c r="A78" s="3118">
        <v>4</v>
      </c>
      <c r="B78" s="3792"/>
      <c r="C78" s="3092" t="s">
        <v>2658</v>
      </c>
      <c r="D78" s="3092" t="s">
        <v>2659</v>
      </c>
      <c r="E78" s="3118">
        <v>0.15</v>
      </c>
      <c r="F78" s="3118">
        <v>20</v>
      </c>
    </row>
    <row r="79" spans="1:7" ht="24">
      <c r="A79" s="3118">
        <v>5</v>
      </c>
      <c r="B79" s="3792"/>
      <c r="C79" s="3092" t="s">
        <v>2660</v>
      </c>
      <c r="D79" s="3092" t="s">
        <v>2661</v>
      </c>
      <c r="E79" s="3118">
        <v>0.15</v>
      </c>
      <c r="F79" s="3118">
        <v>20</v>
      </c>
    </row>
    <row r="80" spans="1:7" ht="24">
      <c r="A80" s="3118">
        <v>6</v>
      </c>
      <c r="B80" s="3792"/>
      <c r="C80" s="3092" t="s">
        <v>2662</v>
      </c>
      <c r="D80" s="3092" t="s">
        <v>2663</v>
      </c>
      <c r="E80" s="3118">
        <v>0.15</v>
      </c>
      <c r="F80" s="3118">
        <v>20</v>
      </c>
    </row>
    <row r="81" spans="1:6" ht="24">
      <c r="A81" s="3118">
        <v>7</v>
      </c>
      <c r="B81" s="3792"/>
      <c r="C81" s="3092" t="s">
        <v>2664</v>
      </c>
      <c r="D81" s="3092" t="s">
        <v>2665</v>
      </c>
      <c r="E81" s="3118">
        <v>0.15</v>
      </c>
      <c r="F81" s="3118">
        <v>20</v>
      </c>
    </row>
    <row r="82" spans="1:6" ht="24">
      <c r="A82" s="3118">
        <v>8</v>
      </c>
      <c r="B82" s="3792"/>
      <c r="C82" s="3092" t="s">
        <v>2666</v>
      </c>
      <c r="D82" s="3092" t="s">
        <v>2667</v>
      </c>
      <c r="E82" s="3118">
        <v>0.1</v>
      </c>
      <c r="F82" s="3118">
        <v>15</v>
      </c>
    </row>
    <row r="83" spans="1:6" ht="24">
      <c r="A83" s="3118">
        <v>9</v>
      </c>
      <c r="B83" s="3792"/>
      <c r="C83" s="3092" t="s">
        <v>2668</v>
      </c>
      <c r="D83" s="3092" t="s">
        <v>2669</v>
      </c>
      <c r="E83" s="3118">
        <v>0.1</v>
      </c>
      <c r="F83" s="3118">
        <v>15</v>
      </c>
    </row>
    <row r="84" spans="1:6" ht="24">
      <c r="A84" s="3118">
        <v>10</v>
      </c>
      <c r="B84" s="3792"/>
      <c r="C84" s="3092" t="s">
        <v>2670</v>
      </c>
      <c r="D84" s="3092" t="s">
        <v>2671</v>
      </c>
      <c r="E84" s="3118">
        <v>0.1</v>
      </c>
      <c r="F84" s="3118">
        <v>15</v>
      </c>
    </row>
    <row r="85" spans="1:6" ht="24">
      <c r="A85" s="3118">
        <v>11</v>
      </c>
      <c r="B85" s="3792"/>
      <c r="C85" s="3092" t="s">
        <v>2672</v>
      </c>
      <c r="D85" s="3092" t="s">
        <v>2673</v>
      </c>
      <c r="E85" s="3118">
        <v>0.1</v>
      </c>
      <c r="F85" s="3118">
        <v>15</v>
      </c>
    </row>
    <row r="86" spans="1:6" ht="24">
      <c r="A86" s="3118">
        <v>12</v>
      </c>
      <c r="B86" s="3792"/>
      <c r="C86" s="3092" t="s">
        <v>2674</v>
      </c>
      <c r="D86" s="3092" t="s">
        <v>2675</v>
      </c>
      <c r="E86" s="3118">
        <v>0.1</v>
      </c>
      <c r="F86" s="3118">
        <v>15</v>
      </c>
    </row>
    <row r="87" spans="1:6" ht="13.5">
      <c r="A87" s="3118">
        <v>13</v>
      </c>
      <c r="B87" s="3792"/>
      <c r="C87" s="3092" t="s">
        <v>2676</v>
      </c>
      <c r="D87" s="3092" t="s">
        <v>2677</v>
      </c>
      <c r="E87" s="3118">
        <v>0.1</v>
      </c>
      <c r="F87" s="3118">
        <v>15</v>
      </c>
    </row>
    <row r="88" spans="1:6" ht="13.5">
      <c r="A88" s="3118">
        <v>14</v>
      </c>
      <c r="B88" s="3792"/>
      <c r="C88" s="3092" t="s">
        <v>2678</v>
      </c>
      <c r="D88" s="3092" t="s">
        <v>2679</v>
      </c>
      <c r="E88" s="3118">
        <v>0.1</v>
      </c>
      <c r="F88" s="3118">
        <v>15</v>
      </c>
    </row>
    <row r="89" spans="1:6" ht="13.5">
      <c r="A89" s="3118">
        <v>15</v>
      </c>
      <c r="B89" s="3792"/>
      <c r="C89" s="3092" t="s">
        <v>2680</v>
      </c>
      <c r="D89" s="3092" t="s">
        <v>2681</v>
      </c>
      <c r="E89" s="3118">
        <v>0.1</v>
      </c>
      <c r="F89" s="3118">
        <v>15</v>
      </c>
    </row>
    <row r="90" spans="1:6" ht="24">
      <c r="A90" s="3118">
        <v>16</v>
      </c>
      <c r="B90" s="3792"/>
      <c r="C90" s="3092" t="s">
        <v>2682</v>
      </c>
      <c r="D90" s="3092" t="s">
        <v>2683</v>
      </c>
      <c r="E90" s="3118">
        <v>0.1</v>
      </c>
      <c r="F90" s="3118">
        <v>15</v>
      </c>
    </row>
    <row r="91" spans="1:6" ht="24">
      <c r="A91" s="3118">
        <v>17</v>
      </c>
      <c r="B91" s="3798"/>
      <c r="C91" s="3092" t="s">
        <v>2684</v>
      </c>
      <c r="D91" s="3092" t="s">
        <v>2685</v>
      </c>
      <c r="E91" s="3118">
        <v>0.1</v>
      </c>
      <c r="F91" s="3118">
        <v>15</v>
      </c>
    </row>
    <row r="92" spans="1:6" ht="13.5">
      <c r="A92" s="3118">
        <v>18</v>
      </c>
      <c r="B92" s="3793" t="s">
        <v>2686</v>
      </c>
      <c r="C92" s="3092" t="s">
        <v>2687</v>
      </c>
      <c r="D92" s="3092" t="s">
        <v>2688</v>
      </c>
      <c r="E92" s="3118">
        <v>0.2</v>
      </c>
      <c r="F92" s="3118">
        <v>25</v>
      </c>
    </row>
    <row r="93" spans="1:6" ht="24">
      <c r="A93" s="3118">
        <v>19</v>
      </c>
      <c r="B93" s="3792"/>
      <c r="C93" s="3092" t="s">
        <v>2689</v>
      </c>
      <c r="D93" s="3092" t="s">
        <v>2690</v>
      </c>
      <c r="E93" s="3118">
        <v>0.2</v>
      </c>
      <c r="F93" s="3118">
        <v>25</v>
      </c>
    </row>
    <row r="94" spans="1:6" ht="13.5">
      <c r="A94" s="3118">
        <v>20</v>
      </c>
      <c r="B94" s="3792"/>
      <c r="C94" s="3092" t="s">
        <v>2691</v>
      </c>
      <c r="D94" s="3092" t="s">
        <v>2692</v>
      </c>
      <c r="E94" s="3118">
        <v>0.15</v>
      </c>
      <c r="F94" s="3118">
        <v>20</v>
      </c>
    </row>
    <row r="95" spans="1:6" ht="13.5">
      <c r="A95" s="3118">
        <v>21</v>
      </c>
      <c r="B95" s="3792"/>
      <c r="C95" s="3092" t="s">
        <v>2693</v>
      </c>
      <c r="D95" s="3092" t="s">
        <v>2694</v>
      </c>
      <c r="E95" s="3118">
        <v>0.15</v>
      </c>
      <c r="F95" s="3118">
        <v>20</v>
      </c>
    </row>
    <row r="96" spans="1:6" ht="13.5">
      <c r="A96" s="3118">
        <v>22</v>
      </c>
      <c r="B96" s="3792"/>
      <c r="C96" s="3092" t="s">
        <v>2695</v>
      </c>
      <c r="D96" s="3092" t="s">
        <v>2696</v>
      </c>
      <c r="E96" s="3118">
        <v>0.15</v>
      </c>
      <c r="F96" s="3118">
        <v>20</v>
      </c>
    </row>
    <row r="97" spans="1:6" ht="36">
      <c r="A97" s="3118">
        <v>23</v>
      </c>
      <c r="B97" s="3792"/>
      <c r="C97" s="3092" t="s">
        <v>2697</v>
      </c>
      <c r="D97" s="3092" t="s">
        <v>2698</v>
      </c>
      <c r="E97" s="3118">
        <v>0.15</v>
      </c>
      <c r="F97" s="3118">
        <v>20</v>
      </c>
    </row>
    <row r="98" spans="1:6" ht="13.5">
      <c r="A98" s="3118">
        <v>24</v>
      </c>
      <c r="B98" s="3792"/>
      <c r="C98" s="3092" t="s">
        <v>2699</v>
      </c>
      <c r="D98" s="3092" t="s">
        <v>2700</v>
      </c>
      <c r="E98" s="3118">
        <v>0.1</v>
      </c>
      <c r="F98" s="3118">
        <v>15</v>
      </c>
    </row>
    <row r="99" spans="1:6" ht="13.5">
      <c r="A99" s="3118">
        <v>25</v>
      </c>
      <c r="B99" s="3792"/>
      <c r="C99" s="3092" t="s">
        <v>2701</v>
      </c>
      <c r="D99" s="3092" t="s">
        <v>2702</v>
      </c>
      <c r="E99" s="3118">
        <v>0.1</v>
      </c>
      <c r="F99" s="3118">
        <v>15</v>
      </c>
    </row>
    <row r="100" spans="1:6" ht="24">
      <c r="A100" s="3118">
        <v>26</v>
      </c>
      <c r="B100" s="3792"/>
      <c r="C100" s="3092" t="s">
        <v>2703</v>
      </c>
      <c r="D100" s="3092" t="s">
        <v>2704</v>
      </c>
      <c r="E100" s="3118">
        <v>0.1</v>
      </c>
      <c r="F100" s="3118">
        <v>15</v>
      </c>
    </row>
    <row r="101" spans="1:6" ht="24">
      <c r="A101" s="3118">
        <v>27</v>
      </c>
      <c r="B101" s="3792"/>
      <c r="C101" s="3092" t="s">
        <v>2705</v>
      </c>
      <c r="D101" s="3092" t="s">
        <v>2706</v>
      </c>
      <c r="E101" s="3118">
        <v>0.1</v>
      </c>
      <c r="F101" s="3118">
        <v>15</v>
      </c>
    </row>
    <row r="102" spans="1:6" ht="13.5">
      <c r="A102" s="3118">
        <v>28</v>
      </c>
      <c r="B102" s="3792"/>
      <c r="C102" s="3092" t="s">
        <v>2707</v>
      </c>
      <c r="D102" s="3092" t="s">
        <v>2708</v>
      </c>
      <c r="E102" s="3118">
        <v>0.1</v>
      </c>
      <c r="F102" s="3118">
        <v>15</v>
      </c>
    </row>
    <row r="103" spans="1:6" ht="13.5">
      <c r="A103" s="3118">
        <v>29</v>
      </c>
      <c r="B103" s="3792"/>
      <c r="C103" s="3092" t="s">
        <v>2709</v>
      </c>
      <c r="D103" s="3092" t="s">
        <v>2710</v>
      </c>
      <c r="E103" s="3118">
        <v>0.1</v>
      </c>
      <c r="F103" s="3118">
        <v>15</v>
      </c>
    </row>
    <row r="104" spans="1:6" ht="13.5">
      <c r="A104" s="3118">
        <v>30</v>
      </c>
      <c r="B104" s="3792"/>
      <c r="C104" s="3092" t="s">
        <v>2711</v>
      </c>
      <c r="D104" s="3092" t="s">
        <v>2712</v>
      </c>
      <c r="E104" s="3118">
        <v>0.1</v>
      </c>
      <c r="F104" s="3118">
        <v>15</v>
      </c>
    </row>
    <row r="105" spans="1:6" ht="24">
      <c r="A105" s="3118">
        <v>31</v>
      </c>
      <c r="B105" s="3792"/>
      <c r="C105" s="3092" t="s">
        <v>2713</v>
      </c>
      <c r="D105" s="3092" t="s">
        <v>2714</v>
      </c>
      <c r="E105" s="3118">
        <v>0.1</v>
      </c>
      <c r="F105" s="3118">
        <v>15</v>
      </c>
    </row>
    <row r="106" spans="1:6" ht="24">
      <c r="A106" s="3118">
        <v>32</v>
      </c>
      <c r="B106" s="3792"/>
      <c r="C106" s="3092" t="s">
        <v>2715</v>
      </c>
      <c r="D106" s="3092" t="s">
        <v>2716</v>
      </c>
      <c r="E106" s="3118">
        <v>0.1</v>
      </c>
      <c r="F106" s="3118">
        <v>15</v>
      </c>
    </row>
    <row r="107" spans="1:6" ht="24">
      <c r="A107" s="3118">
        <v>33</v>
      </c>
      <c r="B107" s="3792"/>
      <c r="C107" s="3092" t="s">
        <v>2717</v>
      </c>
      <c r="D107" s="3092" t="s">
        <v>2718</v>
      </c>
      <c r="E107" s="3118">
        <v>0.1</v>
      </c>
      <c r="F107" s="3118">
        <v>15</v>
      </c>
    </row>
    <row r="108" spans="1:6" ht="24">
      <c r="A108" s="3118">
        <v>34</v>
      </c>
      <c r="B108" s="3798"/>
      <c r="C108" s="3092" t="s">
        <v>2719</v>
      </c>
      <c r="D108" s="3092" t="s">
        <v>2720</v>
      </c>
      <c r="E108" s="3118">
        <v>0.1</v>
      </c>
      <c r="F108" s="3118">
        <v>15</v>
      </c>
    </row>
    <row r="109" spans="1:6" ht="24">
      <c r="A109" s="3118">
        <v>35</v>
      </c>
      <c r="B109" s="3793" t="s">
        <v>2721</v>
      </c>
      <c r="C109" s="3118" t="s">
        <v>2722</v>
      </c>
      <c r="D109" s="3092" t="s">
        <v>2723</v>
      </c>
      <c r="E109" s="3118">
        <v>0.15</v>
      </c>
      <c r="F109" s="3118">
        <v>20</v>
      </c>
    </row>
    <row r="110" spans="1:6" ht="13.5">
      <c r="A110" s="3118">
        <v>36</v>
      </c>
      <c r="B110" s="3792"/>
      <c r="C110" s="3118" t="s">
        <v>2724</v>
      </c>
      <c r="D110" s="3092" t="s">
        <v>2725</v>
      </c>
      <c r="E110" s="3118">
        <v>0.15</v>
      </c>
      <c r="F110" s="3118">
        <v>20</v>
      </c>
    </row>
    <row r="111" spans="1:6" ht="13.5">
      <c r="A111" s="3118">
        <v>37</v>
      </c>
      <c r="B111" s="3792"/>
      <c r="C111" s="3118" t="s">
        <v>2726</v>
      </c>
      <c r="D111" s="3092" t="s">
        <v>2727</v>
      </c>
      <c r="E111" s="3118">
        <v>0.15</v>
      </c>
      <c r="F111" s="3118">
        <v>20</v>
      </c>
    </row>
    <row r="112" spans="1:6" ht="13.5">
      <c r="A112" s="3118">
        <v>38</v>
      </c>
      <c r="B112" s="3792"/>
      <c r="C112" s="3118" t="s">
        <v>2728</v>
      </c>
      <c r="D112" s="3092" t="s">
        <v>2729</v>
      </c>
      <c r="E112" s="3118">
        <v>0.1</v>
      </c>
      <c r="F112" s="3118">
        <v>15</v>
      </c>
    </row>
    <row r="113" spans="1:6" ht="24">
      <c r="A113" s="3118">
        <v>39</v>
      </c>
      <c r="B113" s="3792"/>
      <c r="C113" s="3118" t="s">
        <v>2730</v>
      </c>
      <c r="D113" s="3092" t="s">
        <v>2731</v>
      </c>
      <c r="E113" s="3118">
        <v>0.1</v>
      </c>
      <c r="F113" s="3118">
        <v>15</v>
      </c>
    </row>
    <row r="114" spans="1:6" ht="24">
      <c r="A114" s="3118">
        <v>40</v>
      </c>
      <c r="B114" s="3798"/>
      <c r="C114" s="3118" t="s">
        <v>2732</v>
      </c>
      <c r="D114" s="3092" t="s">
        <v>2733</v>
      </c>
      <c r="E114" s="3118">
        <v>0.1</v>
      </c>
      <c r="F114" s="3118">
        <v>15</v>
      </c>
    </row>
    <row r="115" spans="1:6" ht="13.5">
      <c r="A115" s="3118">
        <v>41</v>
      </c>
      <c r="B115" s="3786" t="s">
        <v>2734</v>
      </c>
      <c r="C115" s="3118" t="s">
        <v>2735</v>
      </c>
      <c r="D115" s="3092" t="s">
        <v>2736</v>
      </c>
      <c r="E115" s="3118">
        <v>0.1</v>
      </c>
      <c r="F115" s="3118">
        <v>15</v>
      </c>
    </row>
    <row r="116" spans="1:6" ht="13.5">
      <c r="A116" s="3118">
        <v>42</v>
      </c>
      <c r="B116" s="3786"/>
      <c r="C116" s="3118" t="s">
        <v>2737</v>
      </c>
      <c r="D116" s="3092" t="s">
        <v>2738</v>
      </c>
      <c r="E116" s="3118">
        <v>0.1</v>
      </c>
      <c r="F116" s="3118">
        <v>15</v>
      </c>
    </row>
    <row r="117" spans="1:6" ht="24">
      <c r="A117" s="3118">
        <v>43</v>
      </c>
      <c r="B117" s="3786"/>
      <c r="C117" s="3118" t="s">
        <v>2739</v>
      </c>
      <c r="D117" s="3092" t="s">
        <v>2740</v>
      </c>
      <c r="E117" s="3118">
        <v>0.1</v>
      </c>
      <c r="F117" s="3118">
        <v>15</v>
      </c>
    </row>
    <row r="118" spans="1:6" ht="13.5">
      <c r="A118" s="3118">
        <v>44</v>
      </c>
      <c r="B118" s="3793" t="s">
        <v>2741</v>
      </c>
      <c r="C118" s="3118" t="s">
        <v>2742</v>
      </c>
      <c r="D118" s="3092" t="s">
        <v>2743</v>
      </c>
      <c r="E118" s="3118">
        <v>0.1</v>
      </c>
      <c r="F118" s="3118">
        <v>15</v>
      </c>
    </row>
    <row r="119" spans="1:6" ht="24">
      <c r="A119" s="3118">
        <v>45</v>
      </c>
      <c r="B119" s="3798"/>
      <c r="C119" s="3092" t="s">
        <v>2744</v>
      </c>
      <c r="D119" s="3092" t="s">
        <v>2745</v>
      </c>
      <c r="E119" s="3118">
        <v>0.1</v>
      </c>
      <c r="F119" s="3118">
        <v>15</v>
      </c>
    </row>
    <row r="120" spans="1:6" ht="24">
      <c r="A120" s="3118">
        <v>46</v>
      </c>
      <c r="B120" s="3793" t="s">
        <v>2746</v>
      </c>
      <c r="C120" s="3118" t="s">
        <v>2747</v>
      </c>
      <c r="D120" s="3092" t="s">
        <v>2748</v>
      </c>
      <c r="E120" s="3118">
        <v>0.1</v>
      </c>
      <c r="F120" s="3118">
        <v>15</v>
      </c>
    </row>
    <row r="121" spans="1:6" ht="24">
      <c r="A121" s="3118">
        <v>47</v>
      </c>
      <c r="B121" s="3798"/>
      <c r="C121" s="3118" t="s">
        <v>2749</v>
      </c>
      <c r="D121" s="3092" t="s">
        <v>2750</v>
      </c>
      <c r="E121" s="3118">
        <v>0.1</v>
      </c>
      <c r="F121" s="3118">
        <v>15</v>
      </c>
    </row>
    <row r="122" spans="1:6" ht="13.5">
      <c r="A122" s="3118">
        <v>48</v>
      </c>
      <c r="B122" s="3793" t="s">
        <v>2751</v>
      </c>
      <c r="C122" s="3118" t="s">
        <v>2752</v>
      </c>
      <c r="D122" s="3092" t="s">
        <v>2753</v>
      </c>
      <c r="E122" s="3118">
        <v>0.1</v>
      </c>
      <c r="F122" s="3118">
        <v>15</v>
      </c>
    </row>
    <row r="123" spans="1:6" ht="13.5">
      <c r="A123" s="3118">
        <v>49</v>
      </c>
      <c r="B123" s="3798"/>
      <c r="C123" s="3118" t="s">
        <v>2754</v>
      </c>
      <c r="D123" s="3092" t="s">
        <v>2755</v>
      </c>
      <c r="E123" s="3118">
        <v>0.1</v>
      </c>
      <c r="F123" s="3118">
        <v>15</v>
      </c>
    </row>
    <row r="124" spans="1:6" ht="24">
      <c r="A124" s="3118">
        <v>50</v>
      </c>
      <c r="B124" s="3786" t="s">
        <v>2756</v>
      </c>
      <c r="C124" s="3118" t="s">
        <v>2757</v>
      </c>
      <c r="D124" s="3092" t="s">
        <v>2758</v>
      </c>
      <c r="E124" s="3118">
        <v>0.1</v>
      </c>
      <c r="F124" s="3118">
        <v>15</v>
      </c>
    </row>
    <row r="125" spans="1:6" ht="24">
      <c r="A125" s="3118">
        <v>51</v>
      </c>
      <c r="B125" s="3786"/>
      <c r="C125" s="3118" t="s">
        <v>2759</v>
      </c>
      <c r="D125" s="3092" t="s">
        <v>2760</v>
      </c>
      <c r="E125" s="3118">
        <v>0.1</v>
      </c>
      <c r="F125" s="3118">
        <v>15</v>
      </c>
    </row>
    <row r="126" spans="1:6" ht="24">
      <c r="A126" s="3118">
        <v>52</v>
      </c>
      <c r="B126" s="3786" t="s">
        <v>2761</v>
      </c>
      <c r="C126" s="3118" t="s">
        <v>2762</v>
      </c>
      <c r="D126" s="3092" t="s">
        <v>2763</v>
      </c>
      <c r="E126" s="3118">
        <v>0.1</v>
      </c>
      <c r="F126" s="3118">
        <v>15</v>
      </c>
    </row>
    <row r="127" spans="1:6" ht="24">
      <c r="A127" s="3118">
        <v>53</v>
      </c>
      <c r="B127" s="3786"/>
      <c r="C127" s="3118" t="s">
        <v>2764</v>
      </c>
      <c r="D127" s="3092" t="s">
        <v>2765</v>
      </c>
      <c r="E127" s="3118">
        <v>0.1</v>
      </c>
      <c r="F127" s="3118">
        <v>15</v>
      </c>
    </row>
    <row r="128" spans="1:6" ht="13.5">
      <c r="A128" s="3118">
        <v>54</v>
      </c>
      <c r="B128" s="3118" t="s">
        <v>2766</v>
      </c>
      <c r="C128" s="3118" t="s">
        <v>2767</v>
      </c>
      <c r="D128" s="3092" t="s">
        <v>2768</v>
      </c>
      <c r="E128" s="3118">
        <v>0.1</v>
      </c>
      <c r="F128" s="3118">
        <v>15</v>
      </c>
    </row>
    <row r="129" spans="1:6" ht="13.5">
      <c r="A129" s="3118">
        <v>55</v>
      </c>
      <c r="B129" s="3786" t="s">
        <v>2769</v>
      </c>
      <c r="C129" s="3118" t="s">
        <v>2770</v>
      </c>
      <c r="D129" s="3092" t="s">
        <v>2771</v>
      </c>
      <c r="E129" s="3118">
        <v>0.1</v>
      </c>
      <c r="F129" s="3118">
        <v>15</v>
      </c>
    </row>
    <row r="130" spans="1:6" ht="13.5">
      <c r="A130" s="3118">
        <v>56</v>
      </c>
      <c r="B130" s="3786"/>
      <c r="C130" s="3118" t="s">
        <v>2772</v>
      </c>
      <c r="D130" s="3092" t="s">
        <v>2773</v>
      </c>
      <c r="E130" s="3118">
        <v>0.1</v>
      </c>
      <c r="F130" s="3118">
        <v>15</v>
      </c>
    </row>
    <row r="131" spans="1:6" ht="24">
      <c r="A131" s="3118">
        <v>57</v>
      </c>
      <c r="B131" s="3786"/>
      <c r="C131" s="3118" t="s">
        <v>2774</v>
      </c>
      <c r="D131" s="3092" t="s">
        <v>2775</v>
      </c>
      <c r="E131" s="3118">
        <v>0.1</v>
      </c>
      <c r="F131" s="3118">
        <v>15</v>
      </c>
    </row>
    <row r="132" spans="1:6" ht="24">
      <c r="A132" s="3118">
        <v>58</v>
      </c>
      <c r="B132" s="3786" t="s">
        <v>2776</v>
      </c>
      <c r="C132" s="3118" t="s">
        <v>2777</v>
      </c>
      <c r="D132" s="3092" t="s">
        <v>2778</v>
      </c>
      <c r="E132" s="3118">
        <v>0.1</v>
      </c>
      <c r="F132" s="3118">
        <v>15</v>
      </c>
    </row>
    <row r="133" spans="1:6" ht="13.5">
      <c r="A133" s="3118">
        <v>59</v>
      </c>
      <c r="B133" s="3786"/>
      <c r="C133" s="3118" t="s">
        <v>2779</v>
      </c>
      <c r="D133" s="3092" t="s">
        <v>2780</v>
      </c>
      <c r="E133" s="3118">
        <v>0.1</v>
      </c>
      <c r="F133" s="3118">
        <v>15</v>
      </c>
    </row>
    <row r="134" spans="1:6" ht="13.5">
      <c r="A134" s="3118">
        <v>60</v>
      </c>
      <c r="B134" s="3793" t="s">
        <v>2781</v>
      </c>
      <c r="C134" s="3118" t="s">
        <v>2782</v>
      </c>
      <c r="D134" s="3092" t="s">
        <v>2783</v>
      </c>
      <c r="E134" s="3118">
        <v>0.1</v>
      </c>
      <c r="F134" s="3118">
        <v>15</v>
      </c>
    </row>
    <row r="135" spans="1:6" ht="13.5">
      <c r="A135" s="3118">
        <v>61</v>
      </c>
      <c r="B135" s="3798"/>
      <c r="C135" s="3118" t="s">
        <v>2784</v>
      </c>
      <c r="D135" s="3092" t="s">
        <v>2785</v>
      </c>
      <c r="E135" s="3118">
        <v>0.1</v>
      </c>
      <c r="F135" s="3118">
        <v>15</v>
      </c>
    </row>
    <row r="136" spans="1:6" ht="24">
      <c r="A136" s="3118">
        <v>62</v>
      </c>
      <c r="B136" s="3118" t="s">
        <v>2786</v>
      </c>
      <c r="C136" s="3118" t="s">
        <v>2787</v>
      </c>
      <c r="D136" s="3092" t="s">
        <v>2788</v>
      </c>
      <c r="E136" s="3118">
        <v>0.1</v>
      </c>
      <c r="F136" s="3118">
        <v>15</v>
      </c>
    </row>
    <row r="137" spans="1:6" ht="13.5">
      <c r="A137" s="3118">
        <v>63</v>
      </c>
      <c r="B137" s="3786" t="s">
        <v>2789</v>
      </c>
      <c r="C137" s="3118" t="s">
        <v>2790</v>
      </c>
      <c r="D137" s="3092" t="s">
        <v>2791</v>
      </c>
      <c r="E137" s="3118">
        <v>0.1</v>
      </c>
      <c r="F137" s="3118">
        <v>15</v>
      </c>
    </row>
    <row r="138" spans="1:6" ht="13.5">
      <c r="A138" s="3118">
        <v>64</v>
      </c>
      <c r="B138" s="3786"/>
      <c r="C138" s="3118" t="s">
        <v>2792</v>
      </c>
      <c r="D138" s="3092" t="s">
        <v>2793</v>
      </c>
      <c r="E138" s="3118">
        <v>0.1</v>
      </c>
      <c r="F138" s="3118">
        <v>15</v>
      </c>
    </row>
    <row r="139" spans="1:6" ht="13.5">
      <c r="A139" s="3118">
        <v>65</v>
      </c>
      <c r="B139" s="3118" t="s">
        <v>2794</v>
      </c>
      <c r="C139" s="3118" t="s">
        <v>2795</v>
      </c>
      <c r="D139" s="3092" t="s">
        <v>2796</v>
      </c>
      <c r="E139" s="3118">
        <v>0.1</v>
      </c>
      <c r="F139" s="3118">
        <v>15</v>
      </c>
    </row>
    <row r="140" spans="1:6" ht="13.5">
      <c r="A140" s="3118"/>
      <c r="B140" s="3118"/>
      <c r="C140" s="3118"/>
      <c r="D140" s="3118"/>
      <c r="E140" s="3118" t="s">
        <v>2797</v>
      </c>
      <c r="F140" s="3118" t="s">
        <v>2797</v>
      </c>
    </row>
  </sheetData>
  <sheetProtection password="CEE9" sheet="1" objects="1" scenarios="1" formatCells="0" formatColumns="0" formatRows="0"/>
  <mergeCells count="21">
    <mergeCell ref="B132:B133"/>
    <mergeCell ref="B134:B135"/>
    <mergeCell ref="B137:B138"/>
    <mergeCell ref="B120:B121"/>
    <mergeCell ref="B122:B123"/>
    <mergeCell ref="B124:B125"/>
    <mergeCell ref="B126:B127"/>
    <mergeCell ref="B129:B131"/>
    <mergeCell ref="B75:B91"/>
    <mergeCell ref="B92:B108"/>
    <mergeCell ref="B109:B114"/>
    <mergeCell ref="B115:B117"/>
    <mergeCell ref="B118:B119"/>
    <mergeCell ref="B20:B27"/>
    <mergeCell ref="A29:A41"/>
    <mergeCell ref="B29:B38"/>
    <mergeCell ref="B39:B41"/>
    <mergeCell ref="A43:A53"/>
    <mergeCell ref="B43:B45"/>
    <mergeCell ref="B47:B53"/>
    <mergeCell ref="A20:A27"/>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2798</v>
      </c>
      <c r="B1" s="3127"/>
      <c r="C1" s="3127"/>
      <c r="D1" s="3127"/>
      <c r="E1" s="3127"/>
      <c r="F1" s="3127"/>
      <c r="G1" s="3127"/>
      <c r="H1" s="3127"/>
      <c r="I1" s="3127"/>
      <c r="J1" s="3127"/>
      <c r="K1" s="3127"/>
      <c r="L1" s="3127"/>
      <c r="M1" s="3127"/>
      <c r="N1" s="749"/>
    </row>
    <row r="2" spans="1:20">
      <c r="A2" s="3128" t="s">
        <v>2799</v>
      </c>
      <c r="B2" s="3129" t="s">
        <v>2595</v>
      </c>
      <c r="C2" s="3129" t="s">
        <v>2596</v>
      </c>
      <c r="D2" s="3129" t="s">
        <v>2597</v>
      </c>
      <c r="E2" s="3129" t="s">
        <v>2598</v>
      </c>
      <c r="F2" s="3129" t="s">
        <v>2599</v>
      </c>
      <c r="G2" s="3129" t="s">
        <v>2600</v>
      </c>
      <c r="H2" s="3130" t="s">
        <v>2601</v>
      </c>
      <c r="I2" s="3130" t="s">
        <v>2602</v>
      </c>
      <c r="J2" s="3131" t="s">
        <v>2603</v>
      </c>
      <c r="K2" s="3131" t="s">
        <v>2604</v>
      </c>
      <c r="L2" s="3131" t="s">
        <v>2605</v>
      </c>
      <c r="M2" s="3132" t="s">
        <v>2606</v>
      </c>
      <c r="Q2" s="3142" t="s">
        <v>2804</v>
      </c>
      <c r="R2" s="3142" t="s">
        <v>2805</v>
      </c>
      <c r="S2" s="3142" t="s">
        <v>2806</v>
      </c>
      <c r="T2" s="3142" t="s">
        <v>2807</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2800</v>
      </c>
      <c r="B93" s="3127"/>
      <c r="C93" s="3127"/>
      <c r="D93" s="3127"/>
      <c r="E93" s="3127"/>
      <c r="F93" s="3127"/>
      <c r="G93" s="3127"/>
      <c r="H93" s="3127"/>
      <c r="I93" s="3127"/>
      <c r="J93" s="3127"/>
      <c r="K93" s="3127"/>
      <c r="L93" s="3127"/>
      <c r="M93" s="3127"/>
    </row>
    <row r="94" spans="1:20">
      <c r="A94" s="3128" t="s">
        <v>2799</v>
      </c>
      <c r="B94" s="3129" t="s">
        <v>2595</v>
      </c>
      <c r="C94" s="3129" t="s">
        <v>2596</v>
      </c>
      <c r="D94" s="3129" t="s">
        <v>2597</v>
      </c>
      <c r="E94" s="3129" t="s">
        <v>2598</v>
      </c>
      <c r="F94" s="3129" t="s">
        <v>2599</v>
      </c>
      <c r="G94" s="3129" t="s">
        <v>2600</v>
      </c>
      <c r="H94" s="3130" t="s">
        <v>2601</v>
      </c>
      <c r="I94" s="3130" t="s">
        <v>2602</v>
      </c>
      <c r="J94" s="3131" t="s">
        <v>2603</v>
      </c>
      <c r="K94" s="3131" t="s">
        <v>2604</v>
      </c>
      <c r="L94" s="3131" t="s">
        <v>2605</v>
      </c>
      <c r="M94" s="3132" t="s">
        <v>2606</v>
      </c>
      <c r="N94" s="750">
        <f>SUMPRODUCT((A95:A184=ROUNDDOWN(基准地价修正!G3,1))*(B94:M94=基准地价修正!G2)*(B95:M184))</f>
        <v>0</v>
      </c>
      <c r="Q94" s="3142" t="s">
        <v>2804</v>
      </c>
      <c r="R94" s="3142" t="s">
        <v>2805</v>
      </c>
      <c r="S94" s="3142" t="s">
        <v>2806</v>
      </c>
      <c r="T94" s="3142" t="s">
        <v>2807</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2801</v>
      </c>
      <c r="B185" s="3127"/>
      <c r="C185" s="3127"/>
      <c r="D185" s="3127"/>
      <c r="E185" s="3127"/>
      <c r="F185" s="3127"/>
      <c r="G185" s="3127"/>
      <c r="H185" s="3127"/>
      <c r="I185" s="3127"/>
      <c r="J185" s="3127"/>
      <c r="K185" s="3127"/>
      <c r="L185" s="3127"/>
      <c r="M185" s="3127"/>
    </row>
    <row r="186" spans="1:20">
      <c r="A186" s="3128" t="s">
        <v>2799</v>
      </c>
      <c r="B186" s="3129" t="s">
        <v>2595</v>
      </c>
      <c r="C186" s="3129" t="s">
        <v>2596</v>
      </c>
      <c r="D186" s="3129" t="s">
        <v>2597</v>
      </c>
      <c r="E186" s="3129" t="s">
        <v>2598</v>
      </c>
      <c r="F186" s="3129" t="s">
        <v>2599</v>
      </c>
      <c r="G186" s="3129" t="s">
        <v>2600</v>
      </c>
      <c r="H186" s="3130" t="s">
        <v>2601</v>
      </c>
      <c r="I186" s="3130" t="s">
        <v>2602</v>
      </c>
      <c r="J186" s="3131" t="s">
        <v>2603</v>
      </c>
      <c r="K186" s="3131" t="s">
        <v>2604</v>
      </c>
      <c r="L186" s="3131" t="s">
        <v>2605</v>
      </c>
      <c r="M186" s="3132" t="s">
        <v>2606</v>
      </c>
      <c r="Q186" s="3142" t="s">
        <v>2804</v>
      </c>
      <c r="R186" s="3142" t="s">
        <v>2805</v>
      </c>
      <c r="S186" s="3142" t="s">
        <v>2806</v>
      </c>
      <c r="T186" s="3142" t="s">
        <v>2807</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2802</v>
      </c>
      <c r="B277" s="3127"/>
      <c r="C277" s="3127"/>
      <c r="D277" s="3127"/>
      <c r="E277" s="3127"/>
      <c r="F277" s="3127"/>
      <c r="G277" s="3127"/>
      <c r="H277" s="3127"/>
      <c r="I277" s="3127"/>
      <c r="J277" s="3127"/>
      <c r="K277" s="3127"/>
      <c r="L277" s="3127"/>
      <c r="M277" s="3127"/>
    </row>
    <row r="278" spans="1:21">
      <c r="A278" s="3128" t="s">
        <v>2799</v>
      </c>
      <c r="B278" s="3129" t="s">
        <v>2595</v>
      </c>
      <c r="C278" s="3129" t="s">
        <v>2596</v>
      </c>
      <c r="D278" s="3129" t="s">
        <v>2597</v>
      </c>
      <c r="E278" s="3129" t="s">
        <v>2598</v>
      </c>
      <c r="F278" s="3129" t="s">
        <v>2599</v>
      </c>
      <c r="G278" s="3129" t="s">
        <v>2600</v>
      </c>
      <c r="H278" s="3130" t="s">
        <v>2601</v>
      </c>
      <c r="I278" s="3130" t="s">
        <v>2602</v>
      </c>
      <c r="J278" s="3131" t="s">
        <v>2603</v>
      </c>
      <c r="K278" s="3131" t="s">
        <v>2604</v>
      </c>
      <c r="L278" s="3131" t="s">
        <v>2605</v>
      </c>
      <c r="M278" s="3132" t="s">
        <v>2606</v>
      </c>
      <c r="Q278" s="3142" t="s">
        <v>2804</v>
      </c>
      <c r="R278" s="3142" t="s">
        <v>2805</v>
      </c>
      <c r="S278" s="3142" t="s">
        <v>2808</v>
      </c>
      <c r="T278" s="3142" t="s">
        <v>2809</v>
      </c>
      <c r="U278" s="3142" t="s">
        <v>2807</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2803</v>
      </c>
      <c r="B369" s="3140"/>
      <c r="C369" s="3140"/>
      <c r="D369" s="3140"/>
      <c r="E369" s="3140"/>
      <c r="F369" s="3140"/>
      <c r="G369" s="3140"/>
      <c r="H369" s="3140"/>
      <c r="I369" s="3140"/>
      <c r="J369" s="3140"/>
      <c r="K369" s="3140"/>
      <c r="L369" s="3140"/>
      <c r="M369" s="3140"/>
    </row>
    <row r="370" spans="1:20">
      <c r="A370" s="3128" t="s">
        <v>2799</v>
      </c>
      <c r="B370" s="3129" t="s">
        <v>2595</v>
      </c>
      <c r="C370" s="3129" t="s">
        <v>2596</v>
      </c>
      <c r="D370" s="3129" t="s">
        <v>2597</v>
      </c>
      <c r="E370" s="3129" t="s">
        <v>2598</v>
      </c>
      <c r="F370" s="3129" t="s">
        <v>2599</v>
      </c>
      <c r="G370" s="3129" t="s">
        <v>2600</v>
      </c>
      <c r="H370" s="3130" t="s">
        <v>2601</v>
      </c>
      <c r="I370" s="3130" t="s">
        <v>2602</v>
      </c>
      <c r="J370" s="3131" t="s">
        <v>2603</v>
      </c>
      <c r="K370" s="3131" t="s">
        <v>2604</v>
      </c>
      <c r="L370" s="3131" t="s">
        <v>2605</v>
      </c>
      <c r="M370" s="3132" t="s">
        <v>2606</v>
      </c>
      <c r="N370" s="750">
        <f>SUMPRODUCT((A371:A460=ROUNDDOWN(基准地价修正!G3,1))*(B370:M370=基准地价修正!G2)*(B371:M460))</f>
        <v>0</v>
      </c>
      <c r="Q370" s="3142" t="s">
        <v>2804</v>
      </c>
      <c r="R370" s="3142" t="s">
        <v>2805</v>
      </c>
      <c r="S370" s="3142" t="s">
        <v>2806</v>
      </c>
      <c r="T370" s="3142" t="s">
        <v>2807</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t="e">
        <f ca="1">C52</f>
        <v>#VALUE!</v>
      </c>
      <c r="C2" s="2" t="s">
        <v>106</v>
      </c>
      <c r="D2" s="199"/>
      <c r="E2" s="199"/>
      <c r="F2" s="199"/>
      <c r="G2" s="199"/>
    </row>
    <row r="3" spans="1:7" s="200" customFormat="1" ht="18" customHeight="1" thickBot="1">
      <c r="A3" s="203" t="s">
        <v>58</v>
      </c>
      <c r="B3" s="204" t="e">
        <f ca="1">ROUND(B2*10000/'数据-汇总表'!E3,0)</f>
        <v>#VALUE!</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20000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0</v>
      </c>
      <c r="D7" s="220"/>
      <c r="E7" s="218"/>
      <c r="F7" s="221">
        <f>'数据-取费表'!B48+'数据-取费表'!B49</f>
        <v>0</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0</v>
      </c>
      <c r="D10" s="845">
        <f>'数据-汇总表'!E6</f>
        <v>0</v>
      </c>
      <c r="E10" s="225">
        <f>'数据-取费表'!B28</f>
        <v>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0</v>
      </c>
      <c r="D19" s="849">
        <f>'数据-汇总表'!E3</f>
        <v>0</v>
      </c>
      <c r="E19" s="211">
        <f>'数据-取费表'!B31</f>
        <v>0</v>
      </c>
      <c r="F19" s="231"/>
      <c r="G19" s="1" t="s">
        <v>436</v>
      </c>
    </row>
    <row r="20" spans="1:7" s="214" customFormat="1" ht="13.5" customHeight="1">
      <c r="A20" s="777" t="s">
        <v>419</v>
      </c>
      <c r="B20" s="210" t="s">
        <v>77</v>
      </c>
      <c r="C20" s="232">
        <f>ROUND((C5+C19)*F20,0)</f>
        <v>0</v>
      </c>
      <c r="D20" s="232"/>
      <c r="E20" s="232"/>
      <c r="F20" s="233">
        <f>'数据-取费表'!B37</f>
        <v>0</v>
      </c>
      <c r="G20" s="1067" t="s">
        <v>430</v>
      </c>
    </row>
    <row r="21" spans="1:7" s="214" customFormat="1" ht="13.5" customHeight="1">
      <c r="A21" s="777" t="s">
        <v>421</v>
      </c>
      <c r="B21" s="210" t="s">
        <v>78</v>
      </c>
      <c r="C21" s="235">
        <f>F21</f>
        <v>0</v>
      </c>
      <c r="D21" s="236" t="s">
        <v>99</v>
      </c>
      <c r="E21" s="232"/>
      <c r="F21" s="233">
        <f>'数据-取费表'!B38</f>
        <v>0</v>
      </c>
      <c r="G21" s="234" t="s">
        <v>79</v>
      </c>
    </row>
    <row r="22" spans="1:7" s="214" customFormat="1" ht="13.5" customHeight="1">
      <c r="A22" s="777" t="s">
        <v>341</v>
      </c>
      <c r="B22" s="210" t="s">
        <v>80</v>
      </c>
      <c r="C22" s="1104" t="e">
        <f ca="1">ROUND(SUM(C23:C25),0)</f>
        <v>#VALUE!</v>
      </c>
      <c r="D22" s="235" t="e">
        <f ca="1">C26</f>
        <v>#VALUE!</v>
      </c>
      <c r="E22" s="236" t="s">
        <v>99</v>
      </c>
      <c r="F22" s="237" t="e">
        <f ca="1">'数据-取费表'!B40</f>
        <v>#VALUE!</v>
      </c>
      <c r="G22" s="1067" t="str">
        <f>IF('数据-取费表'!B22&lt;=1,"单利计息","复利计息")</f>
        <v>单利计息</v>
      </c>
    </row>
    <row r="23" spans="1:7" s="214" customFormat="1" ht="13.5" customHeight="1">
      <c r="A23" s="780" t="s">
        <v>349</v>
      </c>
      <c r="B23" s="215" t="s">
        <v>423</v>
      </c>
      <c r="C23" s="1105" t="e">
        <f ca="1">ROUND(IF('数据-取费表'!B22&lt;=1,C5*F22*'数据-取费表'!B23,C5*(POWER((1+F22),'数据-取费表'!B23)-1)),0)</f>
        <v>#VALUE!</v>
      </c>
      <c r="D23" s="238"/>
      <c r="E23" s="238"/>
      <c r="F23" s="239"/>
      <c r="G23" s="240" t="s">
        <v>81</v>
      </c>
    </row>
    <row r="24" spans="1:7" s="214" customFormat="1" ht="13.5" customHeight="1">
      <c r="A24" s="780" t="s">
        <v>347</v>
      </c>
      <c r="B24" s="215" t="s">
        <v>418</v>
      </c>
      <c r="C24" s="1105" t="e">
        <f ca="1">ROUND(IF('数据-取费表'!B22&lt;=1,C19*F22*('数据-取费表'!B19/2+'数据-取费表'!B21),C19*(POWER((1+F22),('数据-取费表'!B19/2+'数据-取费表'!B21))-1)),0)</f>
        <v>#VALUE!</v>
      </c>
      <c r="D24" s="238"/>
      <c r="E24" s="238"/>
      <c r="F24" s="239"/>
      <c r="G24" s="240" t="s">
        <v>82</v>
      </c>
    </row>
    <row r="25" spans="1:7" s="214" customFormat="1" ht="24">
      <c r="A25" s="780" t="s">
        <v>348</v>
      </c>
      <c r="B25" s="215" t="s">
        <v>420</v>
      </c>
      <c r="C25" s="1105" t="e">
        <f ca="1">ROUND(IF('数据-取费表'!B22&lt;=1,C20*F22*'数据-取费表'!B23/2,C20*(POWER((1+F22),'数据-取费表'!B23/2)-1)),0)</f>
        <v>#VALUE!</v>
      </c>
      <c r="D25" s="238"/>
      <c r="E25" s="241"/>
      <c r="F25" s="239"/>
      <c r="G25" s="242" t="s">
        <v>83</v>
      </c>
    </row>
    <row r="26" spans="1:7" s="214" customFormat="1">
      <c r="A26" s="780" t="s">
        <v>350</v>
      </c>
      <c r="B26" s="215" t="s">
        <v>422</v>
      </c>
      <c r="C26" s="238" t="e">
        <f ca="1">ROUND(IF('数据-取费表'!B22&lt;=1,F21*F22*'数据-取费表'!B23/2,F21*(POWER((1+F22),'数据-取费表'!B23/2)-1)),4)</f>
        <v>#VALUE!</v>
      </c>
      <c r="D26" s="238"/>
      <c r="E26" s="241"/>
      <c r="F26" s="239"/>
      <c r="G26" s="243"/>
    </row>
    <row r="27" spans="1:7" s="214" customFormat="1" ht="24.75">
      <c r="A27" s="777" t="s">
        <v>342</v>
      </c>
      <c r="B27" s="244" t="s">
        <v>85</v>
      </c>
      <c r="C27" s="245" t="e">
        <f>C28</f>
        <v>#DIV/0!</v>
      </c>
      <c r="D27" s="235" t="e">
        <f>C29</f>
        <v>#DIV/0!</v>
      </c>
      <c r="E27" s="236" t="s">
        <v>99</v>
      </c>
      <c r="F27" s="246" t="e">
        <f>'数据-取费表'!Q16</f>
        <v>#DIV/0!</v>
      </c>
      <c r="G27" s="247" t="s">
        <v>431</v>
      </c>
    </row>
    <row r="28" spans="1:7" s="214" customFormat="1" ht="13.5" customHeight="1">
      <c r="A28" s="780" t="s">
        <v>349</v>
      </c>
      <c r="B28" s="248" t="s">
        <v>424</v>
      </c>
      <c r="C28" s="249" t="e">
        <f>ROUND((C5+C19+C20)*F27*'数据-取费表'!B21/'数据-取费表'!B20,0)</f>
        <v>#DIV/0!</v>
      </c>
      <c r="D28" s="235"/>
      <c r="E28" s="236"/>
      <c r="F28" s="246"/>
      <c r="G28" s="247"/>
    </row>
    <row r="29" spans="1:7" s="214" customFormat="1" ht="13.5" customHeight="1">
      <c r="A29" s="780" t="s">
        <v>347</v>
      </c>
      <c r="B29" s="248" t="s">
        <v>425</v>
      </c>
      <c r="C29" s="238" t="e">
        <f>ROUND(C21*F27*'数据-取费表'!B21/'数据-取费表'!B20,4)</f>
        <v>#DIV/0!</v>
      </c>
      <c r="D29" s="235"/>
      <c r="E29" s="236"/>
      <c r="F29" s="246"/>
      <c r="G29" s="247"/>
    </row>
    <row r="30" spans="1:7" s="214" customFormat="1" ht="13.5" customHeight="1">
      <c r="A30" s="777" t="s">
        <v>343</v>
      </c>
      <c r="B30" s="210" t="s">
        <v>31</v>
      </c>
      <c r="C30" s="235">
        <f>F30</f>
        <v>0</v>
      </c>
      <c r="D30" s="236" t="s">
        <v>100</v>
      </c>
      <c r="E30" s="241"/>
      <c r="F30" s="237">
        <f>'数据-取费表'!B41</f>
        <v>0</v>
      </c>
      <c r="G30" s="234" t="s">
        <v>86</v>
      </c>
    </row>
    <row r="31" spans="1:7" ht="16.5" customHeight="1">
      <c r="A31" s="209">
        <v>1</v>
      </c>
      <c r="B31" s="210" t="s">
        <v>101</v>
      </c>
      <c r="C31" s="211" t="e">
        <f ca="1">ROUND((C5+C19+C20+C22+C27)/(1-C21-D22-D27-C30/(1+'数据-取费表'!B42)),0)</f>
        <v>#VALUE!</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0</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0</v>
      </c>
      <c r="D34" s="217"/>
      <c r="E34" s="220"/>
      <c r="F34" s="257">
        <f>IF('数据-取费表'!B24=0,1,'数据-取费表'!N16)</f>
        <v>1</v>
      </c>
      <c r="G34" s="219" t="s">
        <v>89</v>
      </c>
    </row>
    <row r="35" spans="1:7" ht="13.5" customHeight="1">
      <c r="A35" s="780" t="s">
        <v>351</v>
      </c>
      <c r="B35" s="215" t="s">
        <v>33</v>
      </c>
      <c r="C35" s="220">
        <f>ROUND(C34*F35,0)</f>
        <v>0</v>
      </c>
      <c r="D35" s="220"/>
      <c r="E35" s="220"/>
      <c r="F35" s="259">
        <f>'数据-取费表'!B33</f>
        <v>0</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0</v>
      </c>
      <c r="D37" s="217">
        <f>'数据-汇总表'!E3</f>
        <v>0</v>
      </c>
      <c r="E37" s="249">
        <f>'数据-取费表'!B35</f>
        <v>0</v>
      </c>
      <c r="F37" s="259"/>
      <c r="G37" s="261" t="s">
        <v>92</v>
      </c>
    </row>
    <row r="38" spans="1:7" ht="13.5" customHeight="1">
      <c r="A38" s="780" t="s">
        <v>354</v>
      </c>
      <c r="B38" s="215" t="s">
        <v>36</v>
      </c>
      <c r="C38" s="220">
        <f>ROUND(C34*F38,0)</f>
        <v>0</v>
      </c>
      <c r="D38" s="220"/>
      <c r="E38" s="220"/>
      <c r="F38" s="259">
        <f>'数据-取费表'!B36</f>
        <v>0</v>
      </c>
      <c r="G38" s="219" t="s">
        <v>90</v>
      </c>
    </row>
    <row r="39" spans="1:7" s="214" customFormat="1" ht="13.5" customHeight="1">
      <c r="A39" s="777" t="s">
        <v>338</v>
      </c>
      <c r="B39" s="210" t="s">
        <v>77</v>
      </c>
      <c r="C39" s="232">
        <f>ROUND(C33*F20,0)</f>
        <v>0</v>
      </c>
      <c r="D39" s="232"/>
      <c r="E39" s="232"/>
      <c r="F39" s="233"/>
      <c r="G39" s="1067" t="s">
        <v>433</v>
      </c>
    </row>
    <row r="40" spans="1:7" s="214" customFormat="1" ht="13.5" customHeight="1">
      <c r="A40" s="777" t="s">
        <v>339</v>
      </c>
      <c r="B40" s="210" t="s">
        <v>78</v>
      </c>
      <c r="C40" s="262">
        <f>F21</f>
        <v>0</v>
      </c>
      <c r="D40" s="236" t="s">
        <v>102</v>
      </c>
      <c r="E40" s="232"/>
      <c r="F40" s="233"/>
      <c r="G40" s="234" t="s">
        <v>93</v>
      </c>
    </row>
    <row r="41" spans="1:7" s="214" customFormat="1" ht="13.5" customHeight="1">
      <c r="A41" s="777" t="s">
        <v>340</v>
      </c>
      <c r="B41" s="210" t="s">
        <v>80</v>
      </c>
      <c r="C41" s="232" t="e">
        <f ca="1">ROUND(SUM(C42:C43),0)</f>
        <v>#VALUE!</v>
      </c>
      <c r="D41" s="235" t="e">
        <f ca="1">C44</f>
        <v>#VALUE!</v>
      </c>
      <c r="E41" s="236" t="s">
        <v>102</v>
      </c>
      <c r="F41" s="237"/>
      <c r="G41" s="1067" t="str">
        <f>IF('数据-取费表'!B22&lt;=1,"单利计息","复利计息")</f>
        <v>单利计息</v>
      </c>
    </row>
    <row r="42" spans="1:7" ht="13.5" customHeight="1">
      <c r="A42" s="780" t="s">
        <v>349</v>
      </c>
      <c r="B42" s="215" t="s">
        <v>423</v>
      </c>
      <c r="C42" s="238" t="e">
        <f ca="1">ROUND(IF('数据-取费表'!B22&lt;=1,C33*F22*'数据-取费表'!B21/2,C33*(POWER((1+F22),'数据-取费表'!B21/2)-1)),0)</f>
        <v>#VALUE!</v>
      </c>
      <c r="D42" s="238"/>
      <c r="E42" s="238"/>
      <c r="F42" s="239"/>
      <c r="G42" s="3661" t="s">
        <v>94</v>
      </c>
    </row>
    <row r="43" spans="1:7" ht="13.5" customHeight="1">
      <c r="A43" s="780" t="s">
        <v>347</v>
      </c>
      <c r="B43" s="215" t="s">
        <v>426</v>
      </c>
      <c r="C43" s="238" t="e">
        <f ca="1">ROUND(IF('数据-取费表'!B22&lt;=1,C39*F22*'数据-取费表'!B21/2,C39*(POWER((1+F22),'数据-取费表'!B21/2)-1)),0)</f>
        <v>#VALUE!</v>
      </c>
      <c r="D43" s="238"/>
      <c r="E43" s="238"/>
      <c r="F43" s="239"/>
      <c r="G43" s="3662"/>
    </row>
    <row r="44" spans="1:7" ht="13.5" customHeight="1">
      <c r="A44" s="780" t="s">
        <v>348</v>
      </c>
      <c r="B44" s="215" t="s">
        <v>428</v>
      </c>
      <c r="C44" s="238" t="e">
        <f ca="1">ROUND(IF('数据-取费表'!B22&lt;=1,C40*F22*'数据-取费表'!B21/2,C40*(POWER((1+F22),'数据-取费表'!B21/2)-1)),4)</f>
        <v>#VALUE!</v>
      </c>
      <c r="D44" s="238"/>
      <c r="E44" s="238"/>
      <c r="F44" s="239"/>
      <c r="G44" s="3663"/>
    </row>
    <row r="45" spans="1:7" s="214" customFormat="1" ht="13.5" customHeight="1">
      <c r="A45" s="777" t="s">
        <v>341</v>
      </c>
      <c r="B45" s="244" t="s">
        <v>85</v>
      </c>
      <c r="C45" s="245" t="e">
        <f>C46</f>
        <v>#DIV/0!</v>
      </c>
      <c r="D45" s="235" t="e">
        <f>C47</f>
        <v>#DIV/0!</v>
      </c>
      <c r="E45" s="236" t="s">
        <v>102</v>
      </c>
      <c r="F45" s="246"/>
      <c r="G45" s="247" t="s">
        <v>434</v>
      </c>
    </row>
    <row r="46" spans="1:7" s="214" customFormat="1" ht="13.5" customHeight="1">
      <c r="A46" s="780" t="s">
        <v>349</v>
      </c>
      <c r="B46" s="248" t="s">
        <v>427</v>
      </c>
      <c r="C46" s="249" t="e">
        <f>ROUND((C33+C39)*F27,0)</f>
        <v>#DIV/0!</v>
      </c>
      <c r="D46" s="263"/>
      <c r="E46" s="236"/>
      <c r="F46" s="246"/>
      <c r="G46" s="247"/>
    </row>
    <row r="47" spans="1:7" s="214" customFormat="1" ht="13.5" customHeight="1">
      <c r="A47" s="780" t="s">
        <v>347</v>
      </c>
      <c r="B47" s="248" t="s">
        <v>429</v>
      </c>
      <c r="C47" s="238" t="e">
        <f>ROUND(C40*F27,4)</f>
        <v>#DIV/0!</v>
      </c>
      <c r="D47" s="263"/>
      <c r="E47" s="236"/>
      <c r="F47" s="246"/>
      <c r="G47" s="247"/>
    </row>
    <row r="48" spans="1:7" s="214" customFormat="1" ht="13.5" customHeight="1">
      <c r="A48" s="777" t="s">
        <v>342</v>
      </c>
      <c r="B48" s="210" t="s">
        <v>95</v>
      </c>
      <c r="C48" s="262">
        <f>F30</f>
        <v>0</v>
      </c>
      <c r="D48" s="236" t="s">
        <v>103</v>
      </c>
      <c r="E48" s="232"/>
      <c r="F48" s="237"/>
      <c r="G48" s="234" t="s">
        <v>96</v>
      </c>
    </row>
    <row r="49" spans="1:7" ht="16.5" customHeight="1">
      <c r="A49" s="777" t="s">
        <v>343</v>
      </c>
      <c r="B49" s="210" t="s">
        <v>104</v>
      </c>
      <c r="C49" s="232" t="e">
        <f ca="1">ROUND((C33+C39+C41+C45)/(1-C40-D41-D45-C48/(1+'数据-取费表'!B42)),0)</f>
        <v>#VALUE!</v>
      </c>
      <c r="D49" s="232"/>
      <c r="E49" s="232"/>
      <c r="F49" s="264"/>
      <c r="G49" s="234" t="s">
        <v>435</v>
      </c>
    </row>
    <row r="50" spans="1:7" s="258" customFormat="1" ht="24">
      <c r="A50" s="777" t="s">
        <v>344</v>
      </c>
      <c r="B50" s="210" t="s">
        <v>97</v>
      </c>
      <c r="C50" s="232"/>
      <c r="D50" s="232"/>
      <c r="E50" s="232"/>
      <c r="F50" s="264" t="e">
        <f>IF('数据-取费表'!B24=0,'数据-取费表'!N16,1)</f>
        <v>#DIV/0!</v>
      </c>
      <c r="G50" s="247" t="s">
        <v>98</v>
      </c>
    </row>
    <row r="51" spans="1:7" ht="16.5" customHeight="1">
      <c r="A51" s="777" t="s">
        <v>345</v>
      </c>
      <c r="B51" s="210" t="s">
        <v>105</v>
      </c>
      <c r="C51" s="232" t="e">
        <f ca="1">ROUND(C49*F50,0)</f>
        <v>#VALUE!</v>
      </c>
      <c r="D51" s="232"/>
      <c r="E51" s="232"/>
      <c r="F51" s="264"/>
      <c r="G51" s="234" t="s">
        <v>37</v>
      </c>
    </row>
    <row r="52" spans="1:7" s="208" customFormat="1" ht="16.5" thickBot="1">
      <c r="A52" s="265" t="s">
        <v>38</v>
      </c>
      <c r="B52" s="266"/>
      <c r="C52" s="267" t="e">
        <f ca="1">C31+C51</f>
        <v>#VALUE!</v>
      </c>
      <c r="D52" s="266"/>
      <c r="E52" s="266"/>
      <c r="F52" s="266"/>
      <c r="G52" s="268"/>
    </row>
    <row r="55" spans="1:7" ht="15">
      <c r="B55" s="270" t="s">
        <v>39</v>
      </c>
      <c r="C55" s="271"/>
    </row>
    <row r="56" spans="1:7">
      <c r="B56" s="273" t="s">
        <v>40</v>
      </c>
      <c r="C56" s="274" t="e">
        <f ca="1">ROUND(C51/C52,3)</f>
        <v>#VALUE!</v>
      </c>
    </row>
    <row r="57" spans="1:7">
      <c r="B57" s="273" t="s">
        <v>41</v>
      </c>
      <c r="C57" s="275" t="e">
        <f ca="1">1-C56</f>
        <v>#VALUE!</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8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83"/>
      <c r="C2" s="3483"/>
      <c r="D2" s="3483"/>
      <c r="E2" s="3483"/>
    </row>
    <row r="3" spans="1:5" ht="18">
      <c r="A3" s="3484" t="str">
        <f>IF(项目基本情况!B9="房地产市场价值","估价结果一览表（市场价值不需“结果表-1”）","估价结果一览表")</f>
        <v>估价结果一览表</v>
      </c>
      <c r="B3" s="3484"/>
      <c r="C3" s="3484"/>
      <c r="D3" s="3484"/>
      <c r="E3" s="3484"/>
    </row>
    <row r="4" spans="1:5" ht="19.5" thickBot="1">
      <c r="A4" s="1493"/>
      <c r="B4" s="3482" t="s">
        <v>917</v>
      </c>
      <c r="C4" s="3482"/>
      <c r="D4" s="3482"/>
      <c r="E4" s="1493"/>
    </row>
    <row r="5" spans="1:5" ht="16.5" thickTop="1">
      <c r="A5" s="1491"/>
      <c r="B5" s="3480" t="s">
        <v>909</v>
      </c>
      <c r="C5" s="1494" t="s">
        <v>910</v>
      </c>
      <c r="D5" s="850" t="e">
        <f ca="1">结果表!H101</f>
        <v>#REF!</v>
      </c>
      <c r="E5" s="1491"/>
    </row>
    <row r="6" spans="1:5" ht="15.75">
      <c r="A6" s="1491"/>
      <c r="B6" s="3480"/>
      <c r="C6" s="1494" t="s">
        <v>911</v>
      </c>
      <c r="D6" s="850" t="e">
        <f ca="1">NUMBERSTRING(INT(D5*10000),2)&amp;"元整"</f>
        <v>#REF!</v>
      </c>
      <c r="E6" s="1491"/>
    </row>
    <row r="7" spans="1:5" ht="15.75">
      <c r="A7" s="1491"/>
      <c r="B7" s="3485"/>
      <c r="C7" s="1495" t="s">
        <v>912</v>
      </c>
      <c r="D7" s="851" t="e">
        <f ca="1">结果表!H102</f>
        <v>#REF!</v>
      </c>
      <c r="E7" s="1491"/>
    </row>
    <row r="8" spans="1:5" ht="15.75">
      <c r="A8" s="1491"/>
      <c r="B8" s="3486" t="str">
        <f>结果表!E103</f>
        <v>2.估价师知悉的法定优先受偿款</v>
      </c>
      <c r="C8" s="1496" t="s">
        <v>913</v>
      </c>
      <c r="D8" s="851">
        <f>结果表!H103</f>
        <v>0</v>
      </c>
      <c r="E8" s="1491"/>
    </row>
    <row r="9" spans="1:5" ht="15.75">
      <c r="A9" s="1491"/>
      <c r="B9" s="3488"/>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79" t="str">
        <f>结果表!E107</f>
        <v>3.房地产抵押价值</v>
      </c>
      <c r="C13" s="1499" t="s">
        <v>910</v>
      </c>
      <c r="D13" s="853" t="e">
        <f ca="1">结果表!H107</f>
        <v>#REF!</v>
      </c>
      <c r="E13" s="1491"/>
    </row>
    <row r="14" spans="1:5" ht="15.75">
      <c r="A14" s="1491"/>
      <c r="B14" s="3480"/>
      <c r="C14" s="1494" t="s">
        <v>911</v>
      </c>
      <c r="D14" s="850" t="e">
        <f ca="1">NUMBERSTRING(INT(D13*10000),2)&amp;"元整"</f>
        <v>#REF!</v>
      </c>
      <c r="E14" s="1491"/>
    </row>
    <row r="15" spans="1:5" ht="15">
      <c r="A15" s="1491"/>
      <c r="B15" s="3485"/>
      <c r="C15" s="1495" t="s">
        <v>921</v>
      </c>
      <c r="D15" s="859" t="e">
        <f ca="1">结果表!H108</f>
        <v>#REF!</v>
      </c>
      <c r="E15" s="1491"/>
    </row>
    <row r="16" spans="1:5" ht="15">
      <c r="A16" s="1491"/>
      <c r="B16" s="3486" t="str">
        <f>结果表!E109</f>
        <v>——</v>
      </c>
      <c r="C16" s="1499" t="s">
        <v>922</v>
      </c>
      <c r="D16" s="1500" t="str">
        <f>结果表!H109</f>
        <v>——</v>
      </c>
      <c r="E16" s="1491"/>
    </row>
    <row r="17" spans="1:5" ht="15.75">
      <c r="A17" s="1491"/>
      <c r="B17" s="3487"/>
      <c r="C17" s="1494" t="s">
        <v>923</v>
      </c>
      <c r="D17" s="850" t="e">
        <f>NUMBERSTRING(INT(D16*10000),2)&amp;"元整"</f>
        <v>#VALUE!</v>
      </c>
      <c r="E17" s="1491"/>
    </row>
    <row r="18" spans="1:5" ht="15">
      <c r="A18" s="1491"/>
      <c r="B18" s="3488"/>
      <c r="C18" s="1495" t="s">
        <v>912</v>
      </c>
      <c r="D18" s="859" t="str">
        <f>结果表!H110</f>
        <v>——</v>
      </c>
      <c r="E18" s="1491"/>
    </row>
    <row r="19" spans="1:5" ht="15.75">
      <c r="A19" s="1491"/>
      <c r="B19" s="3479" t="str">
        <f>结果表!E111</f>
        <v>——</v>
      </c>
      <c r="C19" s="1499" t="s">
        <v>910</v>
      </c>
      <c r="D19" s="851" t="str">
        <f>结果表!H111</f>
        <v>——</v>
      </c>
      <c r="E19" s="1491"/>
    </row>
    <row r="20" spans="1:5" ht="15.75">
      <c r="A20" s="1491"/>
      <c r="B20" s="3480"/>
      <c r="C20" s="1494" t="s">
        <v>923</v>
      </c>
      <c r="D20" s="850" t="e">
        <f>NUMBERSTRING(INT(D19*10000),2)&amp;"元整"</f>
        <v>#VALUE!</v>
      </c>
      <c r="E20" s="1491"/>
    </row>
    <row r="21" spans="1:5" ht="15.75" thickBot="1">
      <c r="A21" s="1491"/>
      <c r="B21" s="3481"/>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99" t="s">
        <v>3181</v>
      </c>
      <c r="B1" s="3799"/>
    </row>
    <row r="2" spans="1:7" ht="14.25" thickBot="1">
      <c r="A2" s="3255"/>
      <c r="B2" s="3255"/>
    </row>
    <row r="3" spans="1:7" ht="14.25" thickBot="1">
      <c r="A3" s="3255"/>
      <c r="B3" s="3255"/>
      <c r="C3" s="3256" t="s">
        <v>2811</v>
      </c>
      <c r="D3" s="3256" t="s">
        <v>2867</v>
      </c>
      <c r="E3" s="3256" t="s">
        <v>2813</v>
      </c>
      <c r="F3" s="3256" t="s">
        <v>2868</v>
      </c>
      <c r="G3" s="3256" t="s">
        <v>2631</v>
      </c>
    </row>
    <row r="4" spans="1:7" ht="14.25" thickBot="1">
      <c r="A4" s="3257" t="s">
        <v>2866</v>
      </c>
      <c r="B4" s="3258" t="s">
        <v>2872</v>
      </c>
      <c r="C4" s="3256"/>
      <c r="D4" s="3256"/>
      <c r="E4" s="3256"/>
      <c r="F4" s="3256"/>
      <c r="G4" s="3256"/>
    </row>
    <row r="5" spans="1:7">
      <c r="A5" s="3259" t="s">
        <v>2840</v>
      </c>
      <c r="B5" s="3260" t="s">
        <v>2854</v>
      </c>
      <c r="C5" s="3261">
        <v>9.8000000000000004E-2</v>
      </c>
      <c r="D5" s="3261">
        <v>8.6999999999999994E-2</v>
      </c>
      <c r="E5" s="3261">
        <v>8.6999999999999994E-2</v>
      </c>
      <c r="F5" s="3261">
        <v>9.8000000000000004E-2</v>
      </c>
      <c r="G5" s="3262">
        <v>9.5000000000000001E-2</v>
      </c>
    </row>
    <row r="6" spans="1:7">
      <c r="A6" s="3263" t="s">
        <v>144</v>
      </c>
      <c r="B6" s="3264" t="s">
        <v>2869</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2855</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2905</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2923</v>
      </c>
      <c r="C29" s="3273"/>
      <c r="D29" s="3269">
        <v>5.1999999999999998E-2</v>
      </c>
      <c r="E29" s="3269">
        <v>7.0000000000000007E-2</v>
      </c>
      <c r="F29" s="3273"/>
      <c r="G29" s="3271">
        <v>7.0999999999999994E-2</v>
      </c>
    </row>
    <row r="30" spans="1:7">
      <c r="A30" s="3274" t="s">
        <v>296</v>
      </c>
      <c r="B30" s="3260" t="s">
        <v>2856</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2842</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2926</v>
      </c>
      <c r="C50" s="3265">
        <v>9.8000000000000004E-2</v>
      </c>
      <c r="D50" s="3265">
        <v>7.2999999999999995E-2</v>
      </c>
      <c r="E50" s="3265">
        <v>7.0999999999999994E-2</v>
      </c>
      <c r="F50" s="3276"/>
      <c r="G50" s="3266">
        <v>7.2999999999999995E-2</v>
      </c>
    </row>
    <row r="51" spans="1:7">
      <c r="A51" s="3275" t="s">
        <v>296</v>
      </c>
      <c r="B51" s="3264" t="s">
        <v>2928</v>
      </c>
      <c r="C51" s="3265">
        <v>9.9000000000000005E-2</v>
      </c>
      <c r="D51" s="3265">
        <v>8.5000000000000006E-2</v>
      </c>
      <c r="E51" s="3265">
        <v>6.3E-2</v>
      </c>
      <c r="F51" s="3276"/>
      <c r="G51" s="3266">
        <v>9.6000000000000002E-2</v>
      </c>
    </row>
    <row r="52" spans="1:7">
      <c r="A52" s="3275" t="s">
        <v>296</v>
      </c>
      <c r="B52" s="3264" t="s">
        <v>2932</v>
      </c>
      <c r="C52" s="3265">
        <v>7.3999999999999996E-2</v>
      </c>
      <c r="D52" s="3265">
        <v>9.6000000000000002E-2</v>
      </c>
      <c r="E52" s="3265">
        <v>0.05</v>
      </c>
      <c r="F52" s="3276"/>
      <c r="G52" s="3266">
        <v>9.8000000000000004E-2</v>
      </c>
    </row>
    <row r="53" spans="1:7">
      <c r="A53" s="3275" t="s">
        <v>296</v>
      </c>
      <c r="B53" s="3264" t="s">
        <v>2937</v>
      </c>
      <c r="C53" s="3265">
        <v>8.5999999999999993E-2</v>
      </c>
      <c r="D53" s="3276"/>
      <c r="E53" s="3265">
        <v>9.1999999999999998E-2</v>
      </c>
      <c r="F53" s="3276"/>
      <c r="G53" s="3277"/>
    </row>
    <row r="54" spans="1:7" ht="14.25" thickBot="1">
      <c r="A54" s="3278" t="s">
        <v>296</v>
      </c>
      <c r="B54" s="3268" t="s">
        <v>2940</v>
      </c>
      <c r="C54" s="3269">
        <v>9.6000000000000002E-2</v>
      </c>
      <c r="D54" s="3270"/>
      <c r="E54" s="3279"/>
      <c r="F54" s="3270"/>
      <c r="G54" s="3280"/>
    </row>
    <row r="55" spans="1:7">
      <c r="A55" s="3274" t="s">
        <v>110</v>
      </c>
      <c r="B55" s="3260" t="s">
        <v>2857</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2938</v>
      </c>
      <c r="C78" s="3265">
        <v>0.1</v>
      </c>
      <c r="D78" s="3265">
        <v>8.5000000000000006E-2</v>
      </c>
      <c r="E78" s="3265">
        <v>9.6000000000000002E-2</v>
      </c>
      <c r="F78" s="3276"/>
      <c r="G78" s="3266">
        <v>9.6000000000000002E-2</v>
      </c>
    </row>
    <row r="79" spans="1:7">
      <c r="A79" s="3275" t="s">
        <v>110</v>
      </c>
      <c r="B79" s="3264" t="s">
        <v>2941</v>
      </c>
      <c r="C79" s="3265">
        <v>0.05</v>
      </c>
      <c r="D79" s="3265">
        <v>9.6000000000000002E-2</v>
      </c>
      <c r="E79" s="3265">
        <v>9.5000000000000001E-2</v>
      </c>
      <c r="F79" s="3276"/>
      <c r="G79" s="3266">
        <v>9.8000000000000004E-2</v>
      </c>
    </row>
    <row r="80" spans="1:7">
      <c r="A80" s="3275" t="s">
        <v>110</v>
      </c>
      <c r="B80" s="3264" t="s">
        <v>2945</v>
      </c>
      <c r="C80" s="3265">
        <v>8.5999999999999993E-2</v>
      </c>
      <c r="D80" s="3281"/>
      <c r="E80" s="3265">
        <v>0.1</v>
      </c>
      <c r="F80" s="3276"/>
      <c r="G80" s="3277"/>
    </row>
    <row r="81" spans="1:7">
      <c r="A81" s="3275" t="s">
        <v>110</v>
      </c>
      <c r="B81" s="3264" t="s">
        <v>2950</v>
      </c>
      <c r="C81" s="3265">
        <v>9.6000000000000002E-2</v>
      </c>
      <c r="D81" s="3276"/>
      <c r="E81" s="3265">
        <v>9.8000000000000004E-2</v>
      </c>
      <c r="F81" s="3276"/>
      <c r="G81" s="3277"/>
    </row>
    <row r="82" spans="1:7">
      <c r="A82" s="3275" t="s">
        <v>110</v>
      </c>
      <c r="B82" s="3264" t="s">
        <v>2957</v>
      </c>
      <c r="C82" s="3281"/>
      <c r="D82" s="3276"/>
      <c r="E82" s="3265">
        <v>7.6999999999999999E-2</v>
      </c>
      <c r="F82" s="3276"/>
      <c r="G82" s="3277"/>
    </row>
    <row r="83" spans="1:7">
      <c r="A83" s="3275" t="s">
        <v>110</v>
      </c>
      <c r="B83" s="3264" t="s">
        <v>2963</v>
      </c>
      <c r="C83" s="3276"/>
      <c r="D83" s="3276"/>
      <c r="E83" s="3276"/>
      <c r="F83" s="3265">
        <v>0.1</v>
      </c>
      <c r="G83" s="3282"/>
    </row>
    <row r="84" spans="1:7">
      <c r="A84" s="3275" t="s">
        <v>110</v>
      </c>
      <c r="B84" s="3264" t="s">
        <v>2970</v>
      </c>
      <c r="C84" s="3276"/>
      <c r="D84" s="3276"/>
      <c r="E84" s="3276"/>
      <c r="F84" s="3265">
        <v>0.1</v>
      </c>
      <c r="G84" s="3282"/>
    </row>
    <row r="85" spans="1:7">
      <c r="A85" s="3275" t="s">
        <v>110</v>
      </c>
      <c r="B85" s="3264" t="s">
        <v>2977</v>
      </c>
      <c r="C85" s="3276"/>
      <c r="D85" s="3276"/>
      <c r="E85" s="3276"/>
      <c r="F85" s="3265">
        <v>0.1</v>
      </c>
      <c r="G85" s="3282"/>
    </row>
    <row r="86" spans="1:7" ht="14.25" thickBot="1">
      <c r="A86" s="3278" t="s">
        <v>110</v>
      </c>
      <c r="B86" s="3268" t="s">
        <v>2982</v>
      </c>
      <c r="C86" s="3269">
        <v>9.8000000000000004E-2</v>
      </c>
      <c r="D86" s="3269">
        <v>9.8000000000000004E-2</v>
      </c>
      <c r="E86" s="3269">
        <v>9.6000000000000002E-2</v>
      </c>
      <c r="F86" s="3279"/>
      <c r="G86" s="3271">
        <v>0.1</v>
      </c>
    </row>
    <row r="87" spans="1:7">
      <c r="A87" s="3274" t="s">
        <v>303</v>
      </c>
      <c r="B87" s="3260" t="s">
        <v>2858</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2951</v>
      </c>
      <c r="C113" s="3265">
        <v>0.1</v>
      </c>
      <c r="D113" s="3265">
        <v>0.1</v>
      </c>
      <c r="E113" s="3276"/>
      <c r="F113" s="3276"/>
      <c r="G113" s="3266">
        <v>0.1</v>
      </c>
    </row>
    <row r="114" spans="1:7">
      <c r="A114" s="3275" t="s">
        <v>303</v>
      </c>
      <c r="B114" s="3264" t="s">
        <v>2958</v>
      </c>
      <c r="C114" s="3265">
        <v>9.7000000000000003E-2</v>
      </c>
      <c r="D114" s="3265">
        <v>9.7000000000000003E-2</v>
      </c>
      <c r="E114" s="3276"/>
      <c r="F114" s="3276"/>
      <c r="G114" s="3266">
        <v>9.9000000000000005E-2</v>
      </c>
    </row>
    <row r="115" spans="1:7">
      <c r="A115" s="3275" t="s">
        <v>303</v>
      </c>
      <c r="B115" s="3264" t="s">
        <v>2964</v>
      </c>
      <c r="C115" s="3265">
        <v>0.1</v>
      </c>
      <c r="D115" s="3265">
        <v>0.1</v>
      </c>
      <c r="E115" s="3276"/>
      <c r="F115" s="3276"/>
      <c r="G115" s="3266">
        <v>0.1</v>
      </c>
    </row>
    <row r="116" spans="1:7">
      <c r="A116" s="3275" t="s">
        <v>303</v>
      </c>
      <c r="B116" s="3264" t="s">
        <v>2971</v>
      </c>
      <c r="C116" s="3265">
        <v>0.1</v>
      </c>
      <c r="D116" s="3265">
        <v>0.1</v>
      </c>
      <c r="E116" s="3276"/>
      <c r="F116" s="3276"/>
      <c r="G116" s="3266">
        <v>0.1</v>
      </c>
    </row>
    <row r="117" spans="1:7">
      <c r="A117" s="3275" t="s">
        <v>303</v>
      </c>
      <c r="B117" s="3264" t="s">
        <v>2978</v>
      </c>
      <c r="C117" s="3265">
        <v>9.7000000000000003E-2</v>
      </c>
      <c r="D117" s="3265">
        <v>9.7000000000000003E-2</v>
      </c>
      <c r="E117" s="3276"/>
      <c r="F117" s="3276"/>
      <c r="G117" s="3266">
        <v>9.7000000000000003E-2</v>
      </c>
    </row>
    <row r="118" spans="1:7">
      <c r="A118" s="3275" t="s">
        <v>303</v>
      </c>
      <c r="B118" s="3264" t="s">
        <v>2983</v>
      </c>
      <c r="C118" s="3265">
        <v>0.1</v>
      </c>
      <c r="D118" s="3265">
        <v>0.1</v>
      </c>
      <c r="E118" s="3276"/>
      <c r="F118" s="3276"/>
      <c r="G118" s="3266">
        <v>0.1</v>
      </c>
    </row>
    <row r="119" spans="1:7">
      <c r="A119" s="3275" t="s">
        <v>303</v>
      </c>
      <c r="B119" s="3264" t="s">
        <v>2987</v>
      </c>
      <c r="C119" s="3265">
        <v>5.0999999999999997E-2</v>
      </c>
      <c r="D119" s="3265">
        <v>5.1999999999999998E-2</v>
      </c>
      <c r="E119" s="3276"/>
      <c r="F119" s="3281"/>
      <c r="G119" s="3266">
        <v>0.06</v>
      </c>
    </row>
    <row r="120" spans="1:7">
      <c r="A120" s="3275" t="s">
        <v>303</v>
      </c>
      <c r="B120" s="3264" t="s">
        <v>2991</v>
      </c>
      <c r="C120" s="3276"/>
      <c r="D120" s="3276"/>
      <c r="E120" s="3276"/>
      <c r="F120" s="3265">
        <v>0.1</v>
      </c>
      <c r="G120" s="3282"/>
    </row>
    <row r="121" spans="1:7">
      <c r="A121" s="3275" t="s">
        <v>303</v>
      </c>
      <c r="B121" s="3264" t="s">
        <v>2996</v>
      </c>
      <c r="C121" s="3276"/>
      <c r="D121" s="3276"/>
      <c r="E121" s="3276"/>
      <c r="F121" s="3265">
        <v>0.1</v>
      </c>
      <c r="G121" s="3282"/>
    </row>
    <row r="122" spans="1:7">
      <c r="A122" s="3275" t="s">
        <v>303</v>
      </c>
      <c r="B122" s="3264" t="s">
        <v>3001</v>
      </c>
      <c r="C122" s="3265">
        <v>0.1</v>
      </c>
      <c r="D122" s="3265">
        <v>0.1</v>
      </c>
      <c r="E122" s="3265">
        <v>9.8000000000000004E-2</v>
      </c>
      <c r="F122" s="3265">
        <v>0.1</v>
      </c>
      <c r="G122" s="3266">
        <v>0.1</v>
      </c>
    </row>
    <row r="123" spans="1:7">
      <c r="A123" s="3275" t="s">
        <v>303</v>
      </c>
      <c r="B123" s="3264" t="s">
        <v>3006</v>
      </c>
      <c r="C123" s="3265">
        <v>0.1</v>
      </c>
      <c r="D123" s="3265">
        <v>0.1</v>
      </c>
      <c r="E123" s="3265">
        <v>9.8000000000000004E-2</v>
      </c>
      <c r="F123" s="3265">
        <v>0.1</v>
      </c>
      <c r="G123" s="3266">
        <v>0.1</v>
      </c>
    </row>
    <row r="124" spans="1:7">
      <c r="A124" s="3275" t="s">
        <v>303</v>
      </c>
      <c r="B124" s="3264" t="s">
        <v>3011</v>
      </c>
      <c r="C124" s="3265">
        <v>0.1</v>
      </c>
      <c r="D124" s="3265">
        <v>0.1</v>
      </c>
      <c r="E124" s="3265">
        <v>9.8000000000000004E-2</v>
      </c>
      <c r="F124" s="3281"/>
      <c r="G124" s="3266">
        <v>0.1</v>
      </c>
    </row>
    <row r="125" spans="1:7">
      <c r="A125" s="3275" t="s">
        <v>303</v>
      </c>
      <c r="B125" s="3264" t="s">
        <v>3016</v>
      </c>
      <c r="C125" s="3265">
        <v>9.8000000000000004E-2</v>
      </c>
      <c r="D125" s="3265">
        <v>9.8000000000000004E-2</v>
      </c>
      <c r="E125" s="3265">
        <v>9.6000000000000002E-2</v>
      </c>
      <c r="F125" s="3281"/>
      <c r="G125" s="3266">
        <v>0.1</v>
      </c>
    </row>
    <row r="126" spans="1:7" ht="14.25" thickBot="1">
      <c r="A126" s="3278" t="s">
        <v>303</v>
      </c>
      <c r="B126" s="3268" t="s">
        <v>3182</v>
      </c>
      <c r="C126" s="3269">
        <v>0.1</v>
      </c>
      <c r="D126" s="3269">
        <v>0.1</v>
      </c>
      <c r="E126" s="3269">
        <v>9.8000000000000004E-2</v>
      </c>
      <c r="F126" s="3269">
        <v>0.1</v>
      </c>
      <c r="G126" s="3271">
        <v>0.1</v>
      </c>
    </row>
    <row r="127" spans="1:7">
      <c r="A127" s="3274" t="s">
        <v>29</v>
      </c>
      <c r="B127" s="3260" t="s">
        <v>2859</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2929</v>
      </c>
      <c r="C148" s="3265">
        <v>0.13</v>
      </c>
      <c r="D148" s="3265">
        <v>0.13</v>
      </c>
      <c r="E148" s="3265">
        <v>0.13</v>
      </c>
      <c r="F148" s="3276"/>
      <c r="G148" s="3266">
        <v>0.13</v>
      </c>
    </row>
    <row r="149" spans="1:7">
      <c r="A149" s="3275" t="s">
        <v>29</v>
      </c>
      <c r="B149" s="3264" t="s">
        <v>2933</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2952</v>
      </c>
      <c r="C153" s="3265">
        <v>0.13</v>
      </c>
      <c r="D153" s="3265">
        <v>0.13</v>
      </c>
      <c r="E153" s="3265">
        <v>0.13</v>
      </c>
      <c r="F153" s="3265">
        <v>0.13</v>
      </c>
      <c r="G153" s="3266">
        <v>0.13</v>
      </c>
    </row>
    <row r="154" spans="1:7">
      <c r="A154" s="3275" t="s">
        <v>29</v>
      </c>
      <c r="B154" s="3264" t="s">
        <v>2959</v>
      </c>
      <c r="C154" s="3265">
        <v>0.121</v>
      </c>
      <c r="D154" s="3265">
        <v>0.121</v>
      </c>
      <c r="E154" s="3265">
        <v>0.105</v>
      </c>
      <c r="F154" s="3265">
        <v>0.121</v>
      </c>
      <c r="G154" s="3266">
        <v>0.123</v>
      </c>
    </row>
    <row r="155" spans="1:7">
      <c r="A155" s="3275" t="s">
        <v>29</v>
      </c>
      <c r="B155" s="3264" t="s">
        <v>2965</v>
      </c>
      <c r="C155" s="3265">
        <v>0.1</v>
      </c>
      <c r="D155" s="3265">
        <v>0.1</v>
      </c>
      <c r="E155" s="3265">
        <v>0.1</v>
      </c>
      <c r="F155" s="3265">
        <v>0.1</v>
      </c>
      <c r="G155" s="3266">
        <v>0.1</v>
      </c>
    </row>
    <row r="156" spans="1:7">
      <c r="A156" s="3275" t="s">
        <v>29</v>
      </c>
      <c r="B156" s="3264" t="s">
        <v>2972</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2992</v>
      </c>
      <c r="C160" s="3265">
        <v>0.13</v>
      </c>
      <c r="D160" s="3265">
        <v>0.13</v>
      </c>
      <c r="E160" s="3265">
        <v>0.124</v>
      </c>
      <c r="F160" s="3265">
        <v>0.126</v>
      </c>
      <c r="G160" s="3266">
        <v>0.13</v>
      </c>
    </row>
    <row r="161" spans="1:7">
      <c r="A161" s="3275" t="s">
        <v>29</v>
      </c>
      <c r="B161" s="3264" t="s">
        <v>2997</v>
      </c>
      <c r="C161" s="3265">
        <v>0.13</v>
      </c>
      <c r="D161" s="3265">
        <v>0.13</v>
      </c>
      <c r="E161" s="3265">
        <v>0.124</v>
      </c>
      <c r="F161" s="3265">
        <v>0.127</v>
      </c>
      <c r="G161" s="3266">
        <v>0.13</v>
      </c>
    </row>
    <row r="162" spans="1:7">
      <c r="A162" s="3275" t="s">
        <v>29</v>
      </c>
      <c r="B162" s="3264" t="s">
        <v>3002</v>
      </c>
      <c r="C162" s="3265">
        <v>0.1</v>
      </c>
      <c r="D162" s="3265">
        <v>0.1</v>
      </c>
      <c r="E162" s="3265">
        <v>0.1</v>
      </c>
      <c r="F162" s="3265">
        <v>0.121</v>
      </c>
      <c r="G162" s="3266">
        <v>0.105</v>
      </c>
    </row>
    <row r="163" spans="1:7">
      <c r="A163" s="3275" t="s">
        <v>29</v>
      </c>
      <c r="B163" s="3264" t="s">
        <v>3007</v>
      </c>
      <c r="C163" s="3265">
        <v>0.1</v>
      </c>
      <c r="D163" s="3265">
        <v>0.1</v>
      </c>
      <c r="E163" s="3265">
        <v>0.1</v>
      </c>
      <c r="F163" s="3265">
        <v>0.1</v>
      </c>
      <c r="G163" s="3266">
        <v>0.1</v>
      </c>
    </row>
    <row r="164" spans="1:7">
      <c r="A164" s="3275" t="s">
        <v>29</v>
      </c>
      <c r="B164" s="3264" t="s">
        <v>3012</v>
      </c>
      <c r="C164" s="3281"/>
      <c r="D164" s="3281"/>
      <c r="E164" s="3281"/>
      <c r="F164" s="3265">
        <v>0.1</v>
      </c>
      <c r="G164" s="3277"/>
    </row>
    <row r="165" spans="1:7">
      <c r="A165" s="3275" t="s">
        <v>29</v>
      </c>
      <c r="B165" s="3264" t="s">
        <v>3183</v>
      </c>
      <c r="C165" s="3265">
        <v>0.126</v>
      </c>
      <c r="D165" s="3265">
        <v>0.126</v>
      </c>
      <c r="E165" s="3265">
        <v>0.11899999999999999</v>
      </c>
      <c r="F165" s="3265">
        <v>0.13</v>
      </c>
      <c r="G165" s="3266">
        <v>0.128</v>
      </c>
    </row>
    <row r="166" spans="1:7">
      <c r="A166" s="3275" t="s">
        <v>29</v>
      </c>
      <c r="B166" s="3264" t="s">
        <v>3022</v>
      </c>
      <c r="C166" s="3265">
        <v>0.129</v>
      </c>
      <c r="D166" s="3265">
        <v>0.129</v>
      </c>
      <c r="E166" s="3265">
        <v>0.123</v>
      </c>
      <c r="F166" s="3265">
        <v>0.128</v>
      </c>
      <c r="G166" s="3266">
        <v>0.13</v>
      </c>
    </row>
    <row r="167" spans="1:7">
      <c r="A167" s="3275" t="s">
        <v>29</v>
      </c>
      <c r="B167" s="3264" t="s">
        <v>3026</v>
      </c>
      <c r="C167" s="3265">
        <v>0.125</v>
      </c>
      <c r="D167" s="3265">
        <v>0.125</v>
      </c>
      <c r="E167" s="3265">
        <v>0.11700000000000001</v>
      </c>
      <c r="F167" s="3265">
        <v>0.13</v>
      </c>
      <c r="G167" s="3266">
        <v>0.126</v>
      </c>
    </row>
    <row r="168" spans="1:7">
      <c r="A168" s="3275" t="s">
        <v>29</v>
      </c>
      <c r="B168" s="3264" t="s">
        <v>3031</v>
      </c>
      <c r="C168" s="3265">
        <v>0.128</v>
      </c>
      <c r="D168" s="3265">
        <v>0.128</v>
      </c>
      <c r="E168" s="3265">
        <v>0.123</v>
      </c>
      <c r="F168" s="3276"/>
      <c r="G168" s="3266">
        <v>0.13</v>
      </c>
    </row>
    <row r="169" spans="1:7">
      <c r="A169" s="3275" t="s">
        <v>29</v>
      </c>
      <c r="B169" s="3264" t="s">
        <v>3184</v>
      </c>
      <c r="C169" s="3281"/>
      <c r="D169" s="3281"/>
      <c r="E169" s="3281"/>
      <c r="F169" s="3265">
        <v>0.05</v>
      </c>
      <c r="G169" s="3277"/>
    </row>
    <row r="170" spans="1:7">
      <c r="A170" s="3275" t="s">
        <v>29</v>
      </c>
      <c r="B170" s="3264" t="s">
        <v>3185</v>
      </c>
      <c r="C170" s="3281"/>
      <c r="D170" s="3281"/>
      <c r="E170" s="3281"/>
      <c r="F170" s="3265">
        <v>0.05</v>
      </c>
      <c r="G170" s="3277"/>
    </row>
    <row r="171" spans="1:7">
      <c r="A171" s="3275" t="s">
        <v>29</v>
      </c>
      <c r="B171" s="3264" t="s">
        <v>3186</v>
      </c>
      <c r="C171" s="3281"/>
      <c r="D171" s="3281"/>
      <c r="E171" s="3281"/>
      <c r="F171" s="3265">
        <v>0.05</v>
      </c>
      <c r="G171" s="3282"/>
    </row>
    <row r="172" spans="1:7">
      <c r="A172" s="3275" t="s">
        <v>29</v>
      </c>
      <c r="B172" s="3264" t="s">
        <v>3187</v>
      </c>
      <c r="C172" s="3281"/>
      <c r="D172" s="3281"/>
      <c r="E172" s="3281"/>
      <c r="F172" s="3265">
        <v>0.05</v>
      </c>
      <c r="G172" s="3282"/>
    </row>
    <row r="173" spans="1:7">
      <c r="A173" s="3275" t="s">
        <v>29</v>
      </c>
      <c r="B173" s="3264" t="s">
        <v>3188</v>
      </c>
      <c r="C173" s="3281"/>
      <c r="D173" s="3281"/>
      <c r="E173" s="3281"/>
      <c r="F173" s="3265">
        <v>0.05</v>
      </c>
      <c r="G173" s="3277"/>
    </row>
    <row r="174" spans="1:7">
      <c r="A174" s="3275" t="s">
        <v>29</v>
      </c>
      <c r="B174" s="3264" t="s">
        <v>3189</v>
      </c>
      <c r="C174" s="3281"/>
      <c r="D174" s="3281"/>
      <c r="E174" s="3281"/>
      <c r="F174" s="3265">
        <v>0.05</v>
      </c>
      <c r="G174" s="3277"/>
    </row>
    <row r="175" spans="1:7">
      <c r="A175" s="3275" t="s">
        <v>29</v>
      </c>
      <c r="B175" s="3264" t="s">
        <v>3190</v>
      </c>
      <c r="C175" s="3281"/>
      <c r="D175" s="3281"/>
      <c r="E175" s="3281"/>
      <c r="F175" s="3265">
        <v>0.05</v>
      </c>
      <c r="G175" s="3277"/>
    </row>
    <row r="176" spans="1:7">
      <c r="A176" s="3275" t="s">
        <v>29</v>
      </c>
      <c r="B176" s="3264" t="s">
        <v>3191</v>
      </c>
      <c r="C176" s="3281"/>
      <c r="D176" s="3281"/>
      <c r="E176" s="3281"/>
      <c r="F176" s="3265">
        <v>0.05</v>
      </c>
      <c r="G176" s="3277"/>
    </row>
    <row r="177" spans="1:7">
      <c r="A177" s="3275" t="s">
        <v>29</v>
      </c>
      <c r="B177" s="3264" t="s">
        <v>3192</v>
      </c>
      <c r="C177" s="3276"/>
      <c r="D177" s="3276"/>
      <c r="E177" s="3276"/>
      <c r="F177" s="3265">
        <v>0.05</v>
      </c>
      <c r="G177" s="3282"/>
    </row>
    <row r="178" spans="1:7">
      <c r="A178" s="3275" t="s">
        <v>29</v>
      </c>
      <c r="B178" s="3264" t="s">
        <v>3193</v>
      </c>
      <c r="C178" s="3276"/>
      <c r="D178" s="3276"/>
      <c r="E178" s="3276"/>
      <c r="F178" s="3265">
        <v>0.05</v>
      </c>
      <c r="G178" s="3282"/>
    </row>
    <row r="179" spans="1:7">
      <c r="A179" s="3275" t="s">
        <v>29</v>
      </c>
      <c r="B179" s="3264" t="s">
        <v>3194</v>
      </c>
      <c r="C179" s="3276"/>
      <c r="D179" s="3276"/>
      <c r="E179" s="3276"/>
      <c r="F179" s="3265">
        <v>0.05</v>
      </c>
      <c r="G179" s="3282"/>
    </row>
    <row r="180" spans="1:7">
      <c r="A180" s="3275" t="s">
        <v>29</v>
      </c>
      <c r="B180" s="3264" t="s">
        <v>3195</v>
      </c>
      <c r="C180" s="3276"/>
      <c r="D180" s="3276"/>
      <c r="E180" s="3276"/>
      <c r="F180" s="3265">
        <v>0.05</v>
      </c>
      <c r="G180" s="3282"/>
    </row>
    <row r="181" spans="1:7">
      <c r="A181" s="3275" t="s">
        <v>29</v>
      </c>
      <c r="B181" s="3264" t="s">
        <v>3196</v>
      </c>
      <c r="C181" s="3276"/>
      <c r="D181" s="3276"/>
      <c r="E181" s="3276"/>
      <c r="F181" s="3265">
        <v>0.05</v>
      </c>
      <c r="G181" s="3282"/>
    </row>
    <row r="182" spans="1:7">
      <c r="A182" s="3275" t="s">
        <v>29</v>
      </c>
      <c r="B182" s="3264" t="s">
        <v>3197</v>
      </c>
      <c r="C182" s="3276"/>
      <c r="D182" s="3276"/>
      <c r="E182" s="3276"/>
      <c r="F182" s="3265">
        <v>0.05</v>
      </c>
      <c r="G182" s="3282"/>
    </row>
    <row r="183" spans="1:7">
      <c r="A183" s="3275" t="s">
        <v>29</v>
      </c>
      <c r="B183" s="3264" t="s">
        <v>3198</v>
      </c>
      <c r="C183" s="3276"/>
      <c r="D183" s="3276"/>
      <c r="E183" s="3276"/>
      <c r="F183" s="3265">
        <v>0.05</v>
      </c>
      <c r="G183" s="3282"/>
    </row>
    <row r="184" spans="1:7">
      <c r="A184" s="3275" t="s">
        <v>29</v>
      </c>
      <c r="B184" s="3264" t="s">
        <v>3199</v>
      </c>
      <c r="C184" s="3276"/>
      <c r="D184" s="3276"/>
      <c r="E184" s="3276"/>
      <c r="F184" s="3265">
        <v>0.05</v>
      </c>
      <c r="G184" s="3282"/>
    </row>
    <row r="185" spans="1:7">
      <c r="A185" s="3275" t="s">
        <v>29</v>
      </c>
      <c r="B185" s="3264" t="s">
        <v>3200</v>
      </c>
      <c r="C185" s="3276"/>
      <c r="D185" s="3276"/>
      <c r="E185" s="3276"/>
      <c r="F185" s="3265">
        <v>0.05</v>
      </c>
      <c r="G185" s="3282"/>
    </row>
    <row r="186" spans="1:7">
      <c r="A186" s="3275" t="s">
        <v>29</v>
      </c>
      <c r="B186" s="3264" t="s">
        <v>3201</v>
      </c>
      <c r="C186" s="3276"/>
      <c r="D186" s="3276"/>
      <c r="E186" s="3276"/>
      <c r="F186" s="3265">
        <v>0.05</v>
      </c>
      <c r="G186" s="3282"/>
    </row>
    <row r="187" spans="1:7">
      <c r="A187" s="3275" t="s">
        <v>29</v>
      </c>
      <c r="B187" s="3264" t="s">
        <v>3202</v>
      </c>
      <c r="C187" s="3276"/>
      <c r="D187" s="3276"/>
      <c r="E187" s="3276"/>
      <c r="F187" s="3265">
        <v>0.05</v>
      </c>
      <c r="G187" s="3282"/>
    </row>
    <row r="188" spans="1:7">
      <c r="A188" s="3275" t="s">
        <v>29</v>
      </c>
      <c r="B188" s="3264" t="s">
        <v>3203</v>
      </c>
      <c r="C188" s="3276"/>
      <c r="D188" s="3276"/>
      <c r="E188" s="3276"/>
      <c r="F188" s="3265">
        <v>0.05</v>
      </c>
      <c r="G188" s="3282"/>
    </row>
    <row r="189" spans="1:7" ht="14.25" thickBot="1">
      <c r="A189" s="3278" t="s">
        <v>29</v>
      </c>
      <c r="B189" s="3268" t="s">
        <v>3204</v>
      </c>
      <c r="C189" s="3270"/>
      <c r="D189" s="3270"/>
      <c r="E189" s="3270"/>
      <c r="F189" s="3269">
        <v>0.05</v>
      </c>
      <c r="G189" s="3283"/>
    </row>
    <row r="190" spans="1:7">
      <c r="A190" s="3274" t="s">
        <v>304</v>
      </c>
      <c r="B190" s="3260" t="s">
        <v>2860</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2896</v>
      </c>
      <c r="C199" s="3265">
        <v>0.13</v>
      </c>
      <c r="D199" s="3265">
        <v>0.13</v>
      </c>
      <c r="E199" s="3265">
        <v>0.13</v>
      </c>
      <c r="F199" s="3265">
        <v>0.13</v>
      </c>
      <c r="G199" s="3266">
        <v>0.13</v>
      </c>
    </row>
    <row r="200" spans="1:7">
      <c r="A200" s="3275" t="s">
        <v>304</v>
      </c>
      <c r="B200" s="3264" t="s">
        <v>2899</v>
      </c>
      <c r="C200" s="3281"/>
      <c r="D200" s="3281"/>
      <c r="E200" s="3281"/>
      <c r="F200" s="3265">
        <v>0.13</v>
      </c>
      <c r="G200" s="3277"/>
    </row>
    <row r="201" spans="1:7">
      <c r="A201" s="3275" t="s">
        <v>304</v>
      </c>
      <c r="B201" s="3264" t="s">
        <v>2904</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2907</v>
      </c>
      <c r="C203" s="3265">
        <v>0.129</v>
      </c>
      <c r="D203" s="3265">
        <v>0.129</v>
      </c>
      <c r="E203" s="3265">
        <v>0.13</v>
      </c>
      <c r="F203" s="3265">
        <v>0.13</v>
      </c>
      <c r="G203" s="3266">
        <v>0.13</v>
      </c>
    </row>
    <row r="204" spans="1:7">
      <c r="A204" s="3275" t="s">
        <v>304</v>
      </c>
      <c r="B204" s="3264" t="s">
        <v>2910</v>
      </c>
      <c r="C204" s="3265">
        <v>0.129</v>
      </c>
      <c r="D204" s="3265">
        <v>0.129</v>
      </c>
      <c r="E204" s="3265">
        <v>0.123</v>
      </c>
      <c r="F204" s="3265">
        <v>0.13</v>
      </c>
      <c r="G204" s="3266">
        <v>0.13</v>
      </c>
    </row>
    <row r="205" spans="1:7">
      <c r="A205" s="3275" t="s">
        <v>304</v>
      </c>
      <c r="B205" s="3264" t="s">
        <v>2912</v>
      </c>
      <c r="C205" s="3265">
        <v>0.13</v>
      </c>
      <c r="D205" s="3265">
        <v>0.13</v>
      </c>
      <c r="E205" s="3265">
        <v>0.13</v>
      </c>
      <c r="F205" s="3265">
        <v>0.13</v>
      </c>
      <c r="G205" s="3266">
        <v>0.13</v>
      </c>
    </row>
    <row r="206" spans="1:7">
      <c r="A206" s="3275" t="s">
        <v>304</v>
      </c>
      <c r="B206" s="3264" t="s">
        <v>2915</v>
      </c>
      <c r="C206" s="3265">
        <v>0.13</v>
      </c>
      <c r="D206" s="3265">
        <v>0.13</v>
      </c>
      <c r="E206" s="3265">
        <v>0.13</v>
      </c>
      <c r="F206" s="3265">
        <v>0.128</v>
      </c>
      <c r="G206" s="3266">
        <v>0.13</v>
      </c>
    </row>
    <row r="207" spans="1:7">
      <c r="A207" s="3275" t="s">
        <v>304</v>
      </c>
      <c r="B207" s="3264" t="s">
        <v>2917</v>
      </c>
      <c r="C207" s="3265">
        <v>0.13</v>
      </c>
      <c r="D207" s="3265">
        <v>0.13</v>
      </c>
      <c r="E207" s="3265">
        <v>0.13</v>
      </c>
      <c r="F207" s="3265">
        <v>0.13</v>
      </c>
      <c r="G207" s="3266">
        <v>0.13</v>
      </c>
    </row>
    <row r="208" spans="1:7">
      <c r="A208" s="3275" t="s">
        <v>304</v>
      </c>
      <c r="B208" s="3264" t="s">
        <v>2920</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2927</v>
      </c>
      <c r="C210" s="3265">
        <v>0.121</v>
      </c>
      <c r="D210" s="3265">
        <v>0.121</v>
      </c>
      <c r="E210" s="3265">
        <v>0.125</v>
      </c>
      <c r="F210" s="3265">
        <v>0.13</v>
      </c>
      <c r="G210" s="3266">
        <v>0.123</v>
      </c>
    </row>
    <row r="211" spans="1:7">
      <c r="A211" s="3275" t="s">
        <v>304</v>
      </c>
      <c r="B211" s="3264" t="s">
        <v>2930</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2942</v>
      </c>
      <c r="C214" s="3265">
        <v>0.128</v>
      </c>
      <c r="D214" s="3265">
        <v>0.128</v>
      </c>
      <c r="E214" s="3265">
        <v>0.13</v>
      </c>
      <c r="F214" s="3265">
        <v>0.13</v>
      </c>
      <c r="G214" s="3266">
        <v>0.13</v>
      </c>
    </row>
    <row r="215" spans="1:7">
      <c r="A215" s="3275" t="s">
        <v>304</v>
      </c>
      <c r="B215" s="3264" t="s">
        <v>2946</v>
      </c>
      <c r="C215" s="3265">
        <v>0.13</v>
      </c>
      <c r="D215" s="3265">
        <v>0.13</v>
      </c>
      <c r="E215" s="3265">
        <v>0.13</v>
      </c>
      <c r="F215" s="3265">
        <v>0.129</v>
      </c>
      <c r="G215" s="3266">
        <v>0.13</v>
      </c>
    </row>
    <row r="216" spans="1:7">
      <c r="A216" s="3275" t="s">
        <v>304</v>
      </c>
      <c r="B216" s="3264" t="s">
        <v>2953</v>
      </c>
      <c r="C216" s="3265">
        <v>0.13</v>
      </c>
      <c r="D216" s="3265">
        <v>0.13</v>
      </c>
      <c r="E216" s="3265">
        <v>0.13</v>
      </c>
      <c r="F216" s="3265">
        <v>0.13</v>
      </c>
      <c r="G216" s="3266">
        <v>0.13</v>
      </c>
    </row>
    <row r="217" spans="1:7">
      <c r="A217" s="3275" t="s">
        <v>304</v>
      </c>
      <c r="B217" s="3264" t="s">
        <v>2960</v>
      </c>
      <c r="C217" s="3265">
        <v>0.129</v>
      </c>
      <c r="D217" s="3265">
        <v>0.129</v>
      </c>
      <c r="E217" s="3265">
        <v>0.13</v>
      </c>
      <c r="F217" s="3265">
        <v>0.13</v>
      </c>
      <c r="G217" s="3266">
        <v>0.13</v>
      </c>
    </row>
    <row r="218" spans="1:7">
      <c r="A218" s="3275" t="s">
        <v>304</v>
      </c>
      <c r="B218" s="3264" t="s">
        <v>2966</v>
      </c>
      <c r="C218" s="3276"/>
      <c r="D218" s="3276"/>
      <c r="E218" s="3276"/>
      <c r="F218" s="3265">
        <v>0.05</v>
      </c>
      <c r="G218" s="3282"/>
    </row>
    <row r="219" spans="1:7">
      <c r="A219" s="3275" t="s">
        <v>304</v>
      </c>
      <c r="B219" s="3264" t="s">
        <v>2973</v>
      </c>
      <c r="C219" s="3276"/>
      <c r="D219" s="3276"/>
      <c r="E219" s="3276"/>
      <c r="F219" s="3265">
        <v>0.05</v>
      </c>
      <c r="G219" s="3282"/>
    </row>
    <row r="220" spans="1:7">
      <c r="A220" s="3275" t="s">
        <v>304</v>
      </c>
      <c r="B220" s="3264" t="s">
        <v>2979</v>
      </c>
      <c r="C220" s="3276"/>
      <c r="D220" s="3276"/>
      <c r="E220" s="3276"/>
      <c r="F220" s="3265">
        <v>0.05</v>
      </c>
      <c r="G220" s="3282"/>
    </row>
    <row r="221" spans="1:7">
      <c r="A221" s="3275" t="s">
        <v>304</v>
      </c>
      <c r="B221" s="3264" t="s">
        <v>2984</v>
      </c>
      <c r="C221" s="3276"/>
      <c r="D221" s="3276"/>
      <c r="E221" s="3276"/>
      <c r="F221" s="3265">
        <v>0.05</v>
      </c>
      <c r="G221" s="3282"/>
    </row>
    <row r="222" spans="1:7">
      <c r="A222" s="3275" t="s">
        <v>304</v>
      </c>
      <c r="B222" s="3264" t="s">
        <v>2988</v>
      </c>
      <c r="C222" s="3276"/>
      <c r="D222" s="3276"/>
      <c r="E222" s="3276"/>
      <c r="F222" s="3265">
        <v>0.05</v>
      </c>
      <c r="G222" s="3282"/>
    </row>
    <row r="223" spans="1:7">
      <c r="A223" s="3275" t="s">
        <v>304</v>
      </c>
      <c r="B223" s="3264" t="s">
        <v>2993</v>
      </c>
      <c r="C223" s="3276"/>
      <c r="D223" s="3276"/>
      <c r="E223" s="3276"/>
      <c r="F223" s="3265">
        <v>0.05</v>
      </c>
      <c r="G223" s="3282"/>
    </row>
    <row r="224" spans="1:7">
      <c r="A224" s="3275" t="s">
        <v>304</v>
      </c>
      <c r="B224" s="3264" t="s">
        <v>2998</v>
      </c>
      <c r="C224" s="3276"/>
      <c r="D224" s="3276"/>
      <c r="E224" s="3276"/>
      <c r="F224" s="3265">
        <v>0.05</v>
      </c>
      <c r="G224" s="3282"/>
    </row>
    <row r="225" spans="1:7">
      <c r="A225" s="3275" t="s">
        <v>304</v>
      </c>
      <c r="B225" s="3264" t="s">
        <v>3003</v>
      </c>
      <c r="C225" s="3276"/>
      <c r="D225" s="3276"/>
      <c r="E225" s="3276"/>
      <c r="F225" s="3265">
        <v>0.05</v>
      </c>
      <c r="G225" s="3282"/>
    </row>
    <row r="226" spans="1:7">
      <c r="A226" s="3275" t="s">
        <v>304</v>
      </c>
      <c r="B226" s="3264" t="s">
        <v>3205</v>
      </c>
      <c r="C226" s="3276"/>
      <c r="D226" s="3276"/>
      <c r="E226" s="3276"/>
      <c r="F226" s="3265">
        <v>0.05</v>
      </c>
      <c r="G226" s="3282"/>
    </row>
    <row r="227" spans="1:7">
      <c r="A227" s="3275" t="s">
        <v>304</v>
      </c>
      <c r="B227" s="3264" t="s">
        <v>3206</v>
      </c>
      <c r="C227" s="3276"/>
      <c r="D227" s="3276"/>
      <c r="E227" s="3276"/>
      <c r="F227" s="3265">
        <v>0.05</v>
      </c>
      <c r="G227" s="3282"/>
    </row>
    <row r="228" spans="1:7">
      <c r="A228" s="3275" t="s">
        <v>304</v>
      </c>
      <c r="B228" s="3264" t="s">
        <v>3207</v>
      </c>
      <c r="C228" s="3276"/>
      <c r="D228" s="3276"/>
      <c r="E228" s="3276"/>
      <c r="F228" s="3265">
        <v>0.05</v>
      </c>
      <c r="G228" s="3282"/>
    </row>
    <row r="229" spans="1:7">
      <c r="A229" s="3275" t="s">
        <v>304</v>
      </c>
      <c r="B229" s="3264" t="s">
        <v>3208</v>
      </c>
      <c r="C229" s="3276"/>
      <c r="D229" s="3276"/>
      <c r="E229" s="3276"/>
      <c r="F229" s="3265">
        <v>0.05</v>
      </c>
      <c r="G229" s="3282"/>
    </row>
    <row r="230" spans="1:7">
      <c r="A230" s="3275" t="s">
        <v>304</v>
      </c>
      <c r="B230" s="3264" t="s">
        <v>3209</v>
      </c>
      <c r="C230" s="3276"/>
      <c r="D230" s="3276"/>
      <c r="E230" s="3276"/>
      <c r="F230" s="3265">
        <v>0.05</v>
      </c>
      <c r="G230" s="3282"/>
    </row>
    <row r="231" spans="1:7">
      <c r="A231" s="3275" t="s">
        <v>304</v>
      </c>
      <c r="B231" s="3264" t="s">
        <v>3210</v>
      </c>
      <c r="C231" s="3276"/>
      <c r="D231" s="3276"/>
      <c r="E231" s="3276"/>
      <c r="F231" s="3265">
        <v>0.05</v>
      </c>
      <c r="G231" s="3282"/>
    </row>
    <row r="232" spans="1:7">
      <c r="A232" s="3275" t="s">
        <v>304</v>
      </c>
      <c r="B232" s="3264" t="s">
        <v>3211</v>
      </c>
      <c r="C232" s="3276"/>
      <c r="D232" s="3276"/>
      <c r="E232" s="3276"/>
      <c r="F232" s="3265">
        <v>0.05</v>
      </c>
      <c r="G232" s="3282"/>
    </row>
    <row r="233" spans="1:7" ht="14.25" thickBot="1">
      <c r="A233" s="3278" t="s">
        <v>304</v>
      </c>
      <c r="B233" s="3268" t="s">
        <v>3212</v>
      </c>
      <c r="C233" s="3270"/>
      <c r="D233" s="3270"/>
      <c r="E233" s="3270"/>
      <c r="F233" s="3269">
        <v>0.05</v>
      </c>
      <c r="G233" s="3283"/>
    </row>
    <row r="234" spans="1:7">
      <c r="A234" s="3274" t="s">
        <v>305</v>
      </c>
      <c r="B234" s="3260" t="s">
        <v>2861</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2881</v>
      </c>
      <c r="C238" s="3265">
        <v>0.14899999999999999</v>
      </c>
      <c r="D238" s="3265">
        <v>0.14899999999999999</v>
      </c>
      <c r="E238" s="3265">
        <v>0.15</v>
      </c>
      <c r="F238" s="3265">
        <v>0.15</v>
      </c>
      <c r="G238" s="3266">
        <v>0.15</v>
      </c>
    </row>
    <row r="239" spans="1:7">
      <c r="A239" s="3275" t="s">
        <v>305</v>
      </c>
      <c r="B239" s="3264" t="s">
        <v>2885</v>
      </c>
      <c r="C239" s="3265">
        <v>0.15</v>
      </c>
      <c r="D239" s="3265">
        <v>0.15</v>
      </c>
      <c r="E239" s="3265">
        <v>0.15</v>
      </c>
      <c r="F239" s="3265">
        <v>0.15</v>
      </c>
      <c r="G239" s="3266">
        <v>0.15</v>
      </c>
    </row>
    <row r="240" spans="1:7">
      <c r="A240" s="3275" t="s">
        <v>305</v>
      </c>
      <c r="B240" s="3264" t="s">
        <v>2890</v>
      </c>
      <c r="C240" s="3265">
        <v>0.15</v>
      </c>
      <c r="D240" s="3265">
        <v>0.15</v>
      </c>
      <c r="E240" s="3265">
        <v>0.15</v>
      </c>
      <c r="F240" s="3265">
        <v>0.15</v>
      </c>
      <c r="G240" s="3266">
        <v>0.15</v>
      </c>
    </row>
    <row r="241" spans="1:7">
      <c r="A241" s="3275" t="s">
        <v>305</v>
      </c>
      <c r="B241" s="3264" t="s">
        <v>2894</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2900</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2908</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2913</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2921</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2934</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2943</v>
      </c>
      <c r="C258" s="3265">
        <v>0.14299999999999999</v>
      </c>
      <c r="D258" s="3265">
        <v>0.14299999999999999</v>
      </c>
      <c r="E258" s="3265">
        <v>0.15</v>
      </c>
      <c r="F258" s="3265">
        <v>0.14799999999999999</v>
      </c>
      <c r="G258" s="3266">
        <v>0.14599999999999999</v>
      </c>
    </row>
    <row r="259" spans="1:7">
      <c r="A259" s="3275" t="s">
        <v>305</v>
      </c>
      <c r="B259" s="3264" t="s">
        <v>2947</v>
      </c>
      <c r="C259" s="3265">
        <v>0.14399999999999999</v>
      </c>
      <c r="D259" s="3265">
        <v>0.14399999999999999</v>
      </c>
      <c r="E259" s="3265">
        <v>0.14899999999999999</v>
      </c>
      <c r="F259" s="3265">
        <v>0.14699999999999999</v>
      </c>
      <c r="G259" s="3266">
        <v>0.14599999999999999</v>
      </c>
    </row>
    <row r="260" spans="1:7">
      <c r="A260" s="3275" t="s">
        <v>305</v>
      </c>
      <c r="B260" s="3264" t="s">
        <v>2954</v>
      </c>
      <c r="C260" s="3265">
        <v>0.109</v>
      </c>
      <c r="D260" s="3265">
        <v>0.111</v>
      </c>
      <c r="E260" s="3265">
        <v>0.13100000000000001</v>
      </c>
      <c r="F260" s="3265">
        <v>0.126</v>
      </c>
      <c r="G260" s="3266">
        <v>0.11899999999999999</v>
      </c>
    </row>
    <row r="261" spans="1:7">
      <c r="A261" s="3275" t="s">
        <v>305</v>
      </c>
      <c r="B261" s="3264" t="s">
        <v>2961</v>
      </c>
      <c r="C261" s="3265">
        <v>0.1</v>
      </c>
      <c r="D261" s="3265">
        <v>0.1</v>
      </c>
      <c r="E261" s="3265">
        <v>0.11799999999999999</v>
      </c>
      <c r="F261" s="3265">
        <v>0.108</v>
      </c>
      <c r="G261" s="3266">
        <v>0.107</v>
      </c>
    </row>
    <row r="262" spans="1:7">
      <c r="A262" s="3275" t="s">
        <v>305</v>
      </c>
      <c r="B262" s="3264" t="s">
        <v>2967</v>
      </c>
      <c r="C262" s="3265">
        <v>0.1</v>
      </c>
      <c r="D262" s="3265">
        <v>0.1</v>
      </c>
      <c r="E262" s="3265">
        <v>0.1</v>
      </c>
      <c r="F262" s="3265">
        <v>0.14099999999999999</v>
      </c>
      <c r="G262" s="3266">
        <v>0.1</v>
      </c>
    </row>
    <row r="263" spans="1:7">
      <c r="A263" s="3275" t="s">
        <v>305</v>
      </c>
      <c r="B263" s="3264" t="s">
        <v>2974</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2985</v>
      </c>
      <c r="C265" s="3276"/>
      <c r="D265" s="3276"/>
      <c r="E265" s="3276"/>
      <c r="F265" s="3265">
        <v>0.05</v>
      </c>
      <c r="G265" s="3282"/>
    </row>
    <row r="266" spans="1:7">
      <c r="A266" s="3275" t="s">
        <v>305</v>
      </c>
      <c r="B266" s="3264" t="s">
        <v>2989</v>
      </c>
      <c r="C266" s="3276"/>
      <c r="D266" s="3276"/>
      <c r="E266" s="3276"/>
      <c r="F266" s="3265">
        <v>0.05</v>
      </c>
      <c r="G266" s="3282"/>
    </row>
    <row r="267" spans="1:7">
      <c r="A267" s="3275" t="s">
        <v>305</v>
      </c>
      <c r="B267" s="3264" t="s">
        <v>2994</v>
      </c>
      <c r="C267" s="3276"/>
      <c r="D267" s="3276"/>
      <c r="E267" s="3276"/>
      <c r="F267" s="3265">
        <v>0.05</v>
      </c>
      <c r="G267" s="3282"/>
    </row>
    <row r="268" spans="1:7">
      <c r="A268" s="3275" t="s">
        <v>305</v>
      </c>
      <c r="B268" s="3264" t="s">
        <v>2999</v>
      </c>
      <c r="C268" s="3276"/>
      <c r="D268" s="3276"/>
      <c r="E268" s="3276"/>
      <c r="F268" s="3265">
        <v>0.05</v>
      </c>
      <c r="G268" s="3282"/>
    </row>
    <row r="269" spans="1:7">
      <c r="A269" s="3275" t="s">
        <v>305</v>
      </c>
      <c r="B269" s="3264" t="s">
        <v>3004</v>
      </c>
      <c r="C269" s="3276"/>
      <c r="D269" s="3276"/>
      <c r="E269" s="3276"/>
      <c r="F269" s="3265">
        <v>0.05</v>
      </c>
      <c r="G269" s="3282"/>
    </row>
    <row r="270" spans="1:7">
      <c r="A270" s="3275" t="s">
        <v>305</v>
      </c>
      <c r="B270" s="3264" t="s">
        <v>3009</v>
      </c>
      <c r="C270" s="3276"/>
      <c r="D270" s="3276"/>
      <c r="E270" s="3276"/>
      <c r="F270" s="3265">
        <v>0.05</v>
      </c>
      <c r="G270" s="3282"/>
    </row>
    <row r="271" spans="1:7">
      <c r="A271" s="3275" t="s">
        <v>305</v>
      </c>
      <c r="B271" s="3264" t="s">
        <v>3213</v>
      </c>
      <c r="C271" s="3276"/>
      <c r="D271" s="3276"/>
      <c r="E271" s="3276"/>
      <c r="F271" s="3265">
        <v>0.05</v>
      </c>
      <c r="G271" s="3282"/>
    </row>
    <row r="272" spans="1:7">
      <c r="A272" s="3275" t="s">
        <v>305</v>
      </c>
      <c r="B272" s="3264" t="s">
        <v>3214</v>
      </c>
      <c r="C272" s="3276"/>
      <c r="D272" s="3276"/>
      <c r="E272" s="3276"/>
      <c r="F272" s="3265">
        <v>0.05</v>
      </c>
      <c r="G272" s="3282"/>
    </row>
    <row r="273" spans="1:7">
      <c r="A273" s="3275" t="s">
        <v>305</v>
      </c>
      <c r="B273" s="3264" t="s">
        <v>3215</v>
      </c>
      <c r="C273" s="3276"/>
      <c r="D273" s="3276"/>
      <c r="E273" s="3276"/>
      <c r="F273" s="3265">
        <v>0.05</v>
      </c>
      <c r="G273" s="3282"/>
    </row>
    <row r="274" spans="1:7">
      <c r="A274" s="3275" t="s">
        <v>305</v>
      </c>
      <c r="B274" s="3264" t="s">
        <v>3216</v>
      </c>
      <c r="C274" s="3276"/>
      <c r="D274" s="3276"/>
      <c r="E274" s="3276"/>
      <c r="F274" s="3265">
        <v>0.05</v>
      </c>
      <c r="G274" s="3282"/>
    </row>
    <row r="275" spans="1:7">
      <c r="A275" s="3275" t="s">
        <v>305</v>
      </c>
      <c r="B275" s="3264" t="s">
        <v>3217</v>
      </c>
      <c r="C275" s="3276"/>
      <c r="D275" s="3276"/>
      <c r="E275" s="3276"/>
      <c r="F275" s="3265">
        <v>0.05</v>
      </c>
      <c r="G275" s="3282"/>
    </row>
    <row r="276" spans="1:7" ht="14.25" thickBot="1">
      <c r="A276" s="3278" t="s">
        <v>305</v>
      </c>
      <c r="B276" s="3268" t="s">
        <v>3218</v>
      </c>
      <c r="C276" s="3270"/>
      <c r="D276" s="3270"/>
      <c r="E276" s="3270"/>
      <c r="F276" s="3269">
        <v>0.05</v>
      </c>
      <c r="G276" s="3283"/>
    </row>
    <row r="277" spans="1:7">
      <c r="A277" s="3274" t="s">
        <v>306</v>
      </c>
      <c r="B277" s="3260" t="s">
        <v>2862</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2874</v>
      </c>
      <c r="C279" s="3265">
        <v>0.15</v>
      </c>
      <c r="D279" s="3265">
        <v>0.15</v>
      </c>
      <c r="E279" s="3265">
        <v>0.15</v>
      </c>
      <c r="F279" s="3265">
        <v>0.15</v>
      </c>
      <c r="G279" s="3266">
        <v>0.15</v>
      </c>
    </row>
    <row r="280" spans="1:7">
      <c r="A280" s="3275" t="s">
        <v>306</v>
      </c>
      <c r="B280" s="3264" t="s">
        <v>2878</v>
      </c>
      <c r="C280" s="3265">
        <v>0.15</v>
      </c>
      <c r="D280" s="3265">
        <v>0.15</v>
      </c>
      <c r="E280" s="3265">
        <v>0.15</v>
      </c>
      <c r="F280" s="3265">
        <v>0.15</v>
      </c>
      <c r="G280" s="3266">
        <v>0.15</v>
      </c>
    </row>
    <row r="281" spans="1:7">
      <c r="A281" s="3275" t="s">
        <v>306</v>
      </c>
      <c r="B281" s="3264" t="s">
        <v>2882</v>
      </c>
      <c r="C281" s="3265">
        <v>0.15</v>
      </c>
      <c r="D281" s="3265">
        <v>0.15</v>
      </c>
      <c r="E281" s="3265">
        <v>0.15</v>
      </c>
      <c r="F281" s="3265">
        <v>0.15</v>
      </c>
      <c r="G281" s="3266">
        <v>0.15</v>
      </c>
    </row>
    <row r="282" spans="1:7">
      <c r="A282" s="3275" t="s">
        <v>306</v>
      </c>
      <c r="B282" s="3264" t="s">
        <v>2886</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2901</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2906</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2916</v>
      </c>
      <c r="C293" s="3265">
        <v>0.15</v>
      </c>
      <c r="D293" s="3265">
        <v>0.15</v>
      </c>
      <c r="E293" s="3265">
        <v>0.15</v>
      </c>
      <c r="F293" s="3265">
        <v>0.14499999999999999</v>
      </c>
      <c r="G293" s="3266">
        <v>0.15</v>
      </c>
    </row>
    <row r="294" spans="1:7">
      <c r="A294" s="3275" t="s">
        <v>306</v>
      </c>
      <c r="B294" s="3264" t="s">
        <v>2918</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2935</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2948</v>
      </c>
      <c r="C302" s="3265">
        <v>0.15</v>
      </c>
      <c r="D302" s="3265">
        <v>0.15</v>
      </c>
      <c r="E302" s="3265">
        <v>0.15</v>
      </c>
      <c r="F302" s="3265">
        <v>0.14699999999999999</v>
      </c>
      <c r="G302" s="3266">
        <v>0.15</v>
      </c>
    </row>
    <row r="303" spans="1:7">
      <c r="A303" s="3275" t="s">
        <v>306</v>
      </c>
      <c r="B303" s="3264" t="s">
        <v>2955</v>
      </c>
      <c r="C303" s="3265">
        <v>0.15</v>
      </c>
      <c r="D303" s="3265">
        <v>0.15</v>
      </c>
      <c r="E303" s="3265">
        <v>0.15</v>
      </c>
      <c r="F303" s="3265">
        <v>0.14199999999999999</v>
      </c>
      <c r="G303" s="3266">
        <v>0.15</v>
      </c>
    </row>
    <row r="304" spans="1:7">
      <c r="A304" s="3275" t="s">
        <v>306</v>
      </c>
      <c r="B304" s="3264" t="s">
        <v>2962</v>
      </c>
      <c r="C304" s="3265">
        <v>0.15</v>
      </c>
      <c r="D304" s="3265">
        <v>0.15</v>
      </c>
      <c r="E304" s="3265">
        <v>0.15</v>
      </c>
      <c r="F304" s="3265">
        <v>0.14499999999999999</v>
      </c>
      <c r="G304" s="3266">
        <v>0.15</v>
      </c>
    </row>
    <row r="305" spans="1:7">
      <c r="A305" s="3275" t="s">
        <v>306</v>
      </c>
      <c r="B305" s="3264" t="s">
        <v>2968</v>
      </c>
      <c r="C305" s="3265">
        <v>0.15</v>
      </c>
      <c r="D305" s="3265">
        <v>0.15</v>
      </c>
      <c r="E305" s="3265">
        <v>0.15</v>
      </c>
      <c r="F305" s="3265">
        <v>0.111</v>
      </c>
      <c r="G305" s="3266">
        <v>0.15</v>
      </c>
    </row>
    <row r="306" spans="1:7">
      <c r="A306" s="3275" t="s">
        <v>306</v>
      </c>
      <c r="B306" s="3264" t="s">
        <v>2975</v>
      </c>
      <c r="C306" s="3265">
        <v>0.15</v>
      </c>
      <c r="D306" s="3265">
        <v>0.15</v>
      </c>
      <c r="E306" s="3265">
        <v>0.15</v>
      </c>
      <c r="F306" s="3265">
        <v>0.126</v>
      </c>
      <c r="G306" s="3266">
        <v>0.15</v>
      </c>
    </row>
    <row r="307" spans="1:7">
      <c r="A307" s="3275" t="s">
        <v>306</v>
      </c>
      <c r="B307" s="3264" t="s">
        <v>2980</v>
      </c>
      <c r="C307" s="3265">
        <v>0.15</v>
      </c>
      <c r="D307" s="3265">
        <v>0.15</v>
      </c>
      <c r="E307" s="3265">
        <v>0.15</v>
      </c>
      <c r="F307" s="3265">
        <v>0.12</v>
      </c>
      <c r="G307" s="3266">
        <v>0.15</v>
      </c>
    </row>
    <row r="308" spans="1:7">
      <c r="A308" s="3275" t="s">
        <v>306</v>
      </c>
      <c r="B308" s="3264" t="s">
        <v>2986</v>
      </c>
      <c r="C308" s="3265">
        <v>0.15</v>
      </c>
      <c r="D308" s="3265">
        <v>0.15</v>
      </c>
      <c r="E308" s="3265">
        <v>0.15</v>
      </c>
      <c r="F308" s="3265">
        <v>0.13</v>
      </c>
      <c r="G308" s="3266">
        <v>0.15</v>
      </c>
    </row>
    <row r="309" spans="1:7">
      <c r="A309" s="3275" t="s">
        <v>306</v>
      </c>
      <c r="B309" s="3264" t="s">
        <v>2990</v>
      </c>
      <c r="C309" s="3265">
        <v>0.15</v>
      </c>
      <c r="D309" s="3265">
        <v>0.15</v>
      </c>
      <c r="E309" s="3265">
        <v>0.15</v>
      </c>
      <c r="F309" s="3265">
        <v>0.14099999999999999</v>
      </c>
      <c r="G309" s="3266">
        <v>0.15</v>
      </c>
    </row>
    <row r="310" spans="1:7">
      <c r="A310" s="3275" t="s">
        <v>306</v>
      </c>
      <c r="B310" s="3264" t="s">
        <v>2995</v>
      </c>
      <c r="C310" s="3265">
        <v>0.15</v>
      </c>
      <c r="D310" s="3265">
        <v>0.15</v>
      </c>
      <c r="E310" s="3265">
        <v>0.15</v>
      </c>
      <c r="F310" s="3265">
        <v>0.15</v>
      </c>
      <c r="G310" s="3266">
        <v>0.15</v>
      </c>
    </row>
    <row r="311" spans="1:7">
      <c r="A311" s="3275" t="s">
        <v>306</v>
      </c>
      <c r="B311" s="3264" t="s">
        <v>3000</v>
      </c>
      <c r="C311" s="3265">
        <v>0.13200000000000001</v>
      </c>
      <c r="D311" s="3265">
        <v>0.13300000000000001</v>
      </c>
      <c r="E311" s="3265">
        <v>0.14499999999999999</v>
      </c>
      <c r="F311" s="3265">
        <v>0.14199999999999999</v>
      </c>
      <c r="G311" s="3266">
        <v>0.14000000000000001</v>
      </c>
    </row>
    <row r="312" spans="1:7">
      <c r="A312" s="3275" t="s">
        <v>306</v>
      </c>
      <c r="B312" s="3264" t="s">
        <v>3005</v>
      </c>
      <c r="C312" s="3265">
        <v>0.13800000000000001</v>
      </c>
      <c r="D312" s="3265">
        <v>0.14000000000000001</v>
      </c>
      <c r="E312" s="3265">
        <v>0.14599999999999999</v>
      </c>
      <c r="F312" s="3265">
        <v>0.14899999999999999</v>
      </c>
      <c r="G312" s="3266">
        <v>0.14199999999999999</v>
      </c>
    </row>
    <row r="313" spans="1:7">
      <c r="A313" s="3275" t="s">
        <v>306</v>
      </c>
      <c r="B313" s="3264" t="s">
        <v>3010</v>
      </c>
      <c r="C313" s="3265">
        <v>0.125</v>
      </c>
      <c r="D313" s="3265">
        <v>0.127</v>
      </c>
      <c r="E313" s="3265">
        <v>0.14399999999999999</v>
      </c>
      <c r="F313" s="3265">
        <v>0.115</v>
      </c>
      <c r="G313" s="3266">
        <v>0.13600000000000001</v>
      </c>
    </row>
    <row r="314" spans="1:7">
      <c r="A314" s="3275" t="s">
        <v>306</v>
      </c>
      <c r="B314" s="3264" t="s">
        <v>3219</v>
      </c>
      <c r="C314" s="3281"/>
      <c r="D314" s="3281"/>
      <c r="E314" s="3281"/>
      <c r="F314" s="3265">
        <v>0.05</v>
      </c>
      <c r="G314" s="3282"/>
    </row>
    <row r="315" spans="1:7">
      <c r="A315" s="3275" t="s">
        <v>306</v>
      </c>
      <c r="B315" s="3264" t="s">
        <v>3220</v>
      </c>
      <c r="C315" s="3281"/>
      <c r="D315" s="3281"/>
      <c r="E315" s="3281"/>
      <c r="F315" s="3265">
        <v>0.05</v>
      </c>
      <c r="G315" s="3282"/>
    </row>
    <row r="316" spans="1:7">
      <c r="A316" s="3275" t="s">
        <v>306</v>
      </c>
      <c r="B316" s="3264" t="s">
        <v>3221</v>
      </c>
      <c r="C316" s="3276"/>
      <c r="D316" s="3276"/>
      <c r="E316" s="3276"/>
      <c r="F316" s="3265">
        <v>0.05</v>
      </c>
      <c r="G316" s="3282"/>
    </row>
    <row r="317" spans="1:7">
      <c r="A317" s="3275" t="s">
        <v>306</v>
      </c>
      <c r="B317" s="3264" t="s">
        <v>3222</v>
      </c>
      <c r="C317" s="3276"/>
      <c r="D317" s="3276"/>
      <c r="E317" s="3276"/>
      <c r="F317" s="3265">
        <v>0.05</v>
      </c>
      <c r="G317" s="3282"/>
    </row>
    <row r="318" spans="1:7">
      <c r="A318" s="3275" t="s">
        <v>306</v>
      </c>
      <c r="B318" s="3264" t="s">
        <v>3223</v>
      </c>
      <c r="C318" s="3276"/>
      <c r="D318" s="3276"/>
      <c r="E318" s="3276"/>
      <c r="F318" s="3265">
        <v>0.05</v>
      </c>
      <c r="G318" s="3282"/>
    </row>
    <row r="319" spans="1:7">
      <c r="A319" s="3275" t="s">
        <v>306</v>
      </c>
      <c r="B319" s="3264" t="s">
        <v>3224</v>
      </c>
      <c r="C319" s="3276"/>
      <c r="D319" s="3276"/>
      <c r="E319" s="3276"/>
      <c r="F319" s="3265">
        <v>0.05</v>
      </c>
      <c r="G319" s="3282"/>
    </row>
    <row r="320" spans="1:7">
      <c r="A320" s="3275" t="s">
        <v>306</v>
      </c>
      <c r="B320" s="3264" t="s">
        <v>3225</v>
      </c>
      <c r="C320" s="3276"/>
      <c r="D320" s="3276"/>
      <c r="E320" s="3276"/>
      <c r="F320" s="3265">
        <v>0.05</v>
      </c>
      <c r="G320" s="3282"/>
    </row>
    <row r="321" spans="1:7">
      <c r="A321" s="3275" t="s">
        <v>306</v>
      </c>
      <c r="B321" s="3264" t="s">
        <v>3226</v>
      </c>
      <c r="C321" s="3276"/>
      <c r="D321" s="3276"/>
      <c r="E321" s="3276"/>
      <c r="F321" s="3265">
        <v>0.05</v>
      </c>
      <c r="G321" s="3282"/>
    </row>
    <row r="322" spans="1:7">
      <c r="A322" s="3275" t="s">
        <v>306</v>
      </c>
      <c r="B322" s="3264" t="s">
        <v>3227</v>
      </c>
      <c r="C322" s="3276"/>
      <c r="D322" s="3276"/>
      <c r="E322" s="3276"/>
      <c r="F322" s="3265">
        <v>0.05</v>
      </c>
      <c r="G322" s="3282"/>
    </row>
    <row r="323" spans="1:7">
      <c r="A323" s="3275" t="s">
        <v>306</v>
      </c>
      <c r="B323" s="3264" t="s">
        <v>3228</v>
      </c>
      <c r="C323" s="3276"/>
      <c r="D323" s="3276"/>
      <c r="E323" s="3276"/>
      <c r="F323" s="3265">
        <v>0.05</v>
      </c>
      <c r="G323" s="3282"/>
    </row>
    <row r="324" spans="1:7">
      <c r="A324" s="3275" t="s">
        <v>306</v>
      </c>
      <c r="B324" s="3264" t="s">
        <v>3229</v>
      </c>
      <c r="C324" s="3276"/>
      <c r="D324" s="3276"/>
      <c r="E324" s="3276"/>
      <c r="F324" s="3265">
        <v>0.05</v>
      </c>
      <c r="G324" s="3282"/>
    </row>
    <row r="325" spans="1:7">
      <c r="A325" s="3275" t="s">
        <v>306</v>
      </c>
      <c r="B325" s="3264" t="s">
        <v>3230</v>
      </c>
      <c r="C325" s="3276"/>
      <c r="D325" s="3276"/>
      <c r="E325" s="3276"/>
      <c r="F325" s="3265">
        <v>0.05</v>
      </c>
      <c r="G325" s="3282"/>
    </row>
    <row r="326" spans="1:7" ht="14.25" thickBot="1">
      <c r="A326" s="3278" t="s">
        <v>306</v>
      </c>
      <c r="B326" s="3268" t="s">
        <v>3231</v>
      </c>
      <c r="C326" s="3270"/>
      <c r="D326" s="3270"/>
      <c r="E326" s="3270"/>
      <c r="F326" s="3269">
        <v>0.05</v>
      </c>
      <c r="G326" s="3283"/>
    </row>
    <row r="327" spans="1:7">
      <c r="A327" s="3274" t="s">
        <v>307</v>
      </c>
      <c r="B327" s="3260" t="s">
        <v>2863</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2875</v>
      </c>
      <c r="C329" s="3265">
        <v>0.15</v>
      </c>
      <c r="D329" s="3265">
        <v>0.15</v>
      </c>
      <c r="E329" s="3265">
        <v>0.15</v>
      </c>
      <c r="F329" s="3265">
        <v>0.15</v>
      </c>
      <c r="G329" s="3266">
        <v>0.15</v>
      </c>
    </row>
    <row r="330" spans="1:7">
      <c r="A330" s="3275" t="s">
        <v>307</v>
      </c>
      <c r="B330" s="3264" t="s">
        <v>2879</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2887</v>
      </c>
      <c r="C332" s="3265">
        <v>0.15</v>
      </c>
      <c r="D332" s="3265">
        <v>0.15</v>
      </c>
      <c r="E332" s="3265">
        <v>0.15</v>
      </c>
      <c r="F332" s="3265">
        <v>0.15</v>
      </c>
      <c r="G332" s="3266">
        <v>0.15</v>
      </c>
    </row>
    <row r="333" spans="1:7">
      <c r="A333" s="3275" t="s">
        <v>307</v>
      </c>
      <c r="B333" s="3264" t="s">
        <v>2891</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2897</v>
      </c>
      <c r="C336" s="3265">
        <v>0.15</v>
      </c>
      <c r="D336" s="3265">
        <v>0.15</v>
      </c>
      <c r="E336" s="3265">
        <v>0.15</v>
      </c>
      <c r="F336" s="3265">
        <v>0.14199999999999999</v>
      </c>
      <c r="G336" s="3266">
        <v>0.15</v>
      </c>
    </row>
    <row r="337" spans="1:7">
      <c r="A337" s="3275" t="s">
        <v>307</v>
      </c>
      <c r="B337" s="3264" t="s">
        <v>2902</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2909</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2914</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2922</v>
      </c>
      <c r="C345" s="3265">
        <v>0.15</v>
      </c>
      <c r="D345" s="3265">
        <v>0.15</v>
      </c>
      <c r="E345" s="3265">
        <v>0.15</v>
      </c>
      <c r="F345" s="3265">
        <v>0.13800000000000001</v>
      </c>
      <c r="G345" s="3266">
        <v>0.15</v>
      </c>
    </row>
    <row r="346" spans="1:7">
      <c r="A346" s="3275" t="s">
        <v>307</v>
      </c>
      <c r="B346" s="3264" t="s">
        <v>2924</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2931</v>
      </c>
      <c r="C348" s="3265">
        <v>0.15</v>
      </c>
      <c r="D348" s="3265">
        <v>0.15</v>
      </c>
      <c r="E348" s="3265">
        <v>0.15</v>
      </c>
      <c r="F348" s="3265">
        <v>0.14399999999999999</v>
      </c>
      <c r="G348" s="3266">
        <v>0.15</v>
      </c>
    </row>
    <row r="349" spans="1:7">
      <c r="A349" s="3275" t="s">
        <v>307</v>
      </c>
      <c r="B349" s="3264" t="s">
        <v>2936</v>
      </c>
      <c r="C349" s="3265">
        <v>0.15</v>
      </c>
      <c r="D349" s="3265">
        <v>0.15</v>
      </c>
      <c r="E349" s="3265">
        <v>0.15</v>
      </c>
      <c r="F349" s="3265">
        <v>0.15</v>
      </c>
      <c r="G349" s="3266">
        <v>0.15</v>
      </c>
    </row>
    <row r="350" spans="1:7">
      <c r="A350" s="3275" t="s">
        <v>307</v>
      </c>
      <c r="B350" s="3264" t="s">
        <v>2939</v>
      </c>
      <c r="C350" s="3265">
        <v>0.15</v>
      </c>
      <c r="D350" s="3265">
        <v>0.15</v>
      </c>
      <c r="E350" s="3265">
        <v>0.15</v>
      </c>
      <c r="F350" s="3265">
        <v>0.14699999999999999</v>
      </c>
      <c r="G350" s="3266">
        <v>0.15</v>
      </c>
    </row>
    <row r="351" spans="1:7">
      <c r="A351" s="3275" t="s">
        <v>307</v>
      </c>
      <c r="B351" s="3264" t="s">
        <v>2944</v>
      </c>
      <c r="C351" s="3265">
        <v>0.15</v>
      </c>
      <c r="D351" s="3265">
        <v>0.15</v>
      </c>
      <c r="E351" s="3265">
        <v>0.15</v>
      </c>
      <c r="F351" s="3265">
        <v>0.13</v>
      </c>
      <c r="G351" s="3266">
        <v>0.15</v>
      </c>
    </row>
    <row r="352" spans="1:7">
      <c r="A352" s="3275" t="s">
        <v>307</v>
      </c>
      <c r="B352" s="3264" t="s">
        <v>2949</v>
      </c>
      <c r="C352" s="3265">
        <v>0.15</v>
      </c>
      <c r="D352" s="3265">
        <v>0.15</v>
      </c>
      <c r="E352" s="3265">
        <v>0.15</v>
      </c>
      <c r="F352" s="3265">
        <v>0.14599999999999999</v>
      </c>
      <c r="G352" s="3266">
        <v>0.15</v>
      </c>
    </row>
    <row r="353" spans="1:7">
      <c r="A353" s="3275" t="s">
        <v>307</v>
      </c>
      <c r="B353" s="3264" t="s">
        <v>2956</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2969</v>
      </c>
      <c r="C355" s="3265">
        <v>0.15</v>
      </c>
      <c r="D355" s="3265">
        <v>0.15</v>
      </c>
      <c r="E355" s="3265">
        <v>0.15</v>
      </c>
      <c r="F355" s="3265">
        <v>0.15</v>
      </c>
      <c r="G355" s="3266">
        <v>0.15</v>
      </c>
    </row>
    <row r="356" spans="1:7">
      <c r="A356" s="3275" t="s">
        <v>307</v>
      </c>
      <c r="B356" s="3264" t="s">
        <v>2976</v>
      </c>
      <c r="C356" s="3265">
        <v>0.15</v>
      </c>
      <c r="D356" s="3265">
        <v>0.15</v>
      </c>
      <c r="E356" s="3265">
        <v>0.15</v>
      </c>
      <c r="F356" s="3265">
        <v>0.15</v>
      </c>
      <c r="G356" s="3266">
        <v>0.15</v>
      </c>
    </row>
    <row r="357" spans="1:7" ht="14.25" thickBot="1">
      <c r="A357" s="3278" t="s">
        <v>307</v>
      </c>
      <c r="B357" s="3268" t="s">
        <v>2981</v>
      </c>
      <c r="C357" s="3269">
        <v>0.126</v>
      </c>
      <c r="D357" s="3269">
        <v>0.127</v>
      </c>
      <c r="E357" s="3269">
        <v>0.14299999999999999</v>
      </c>
      <c r="F357" s="3269">
        <v>0.125</v>
      </c>
      <c r="G357" s="3271">
        <v>0.129</v>
      </c>
    </row>
    <row r="358" spans="1:7">
      <c r="A358" s="3274" t="s">
        <v>2850</v>
      </c>
      <c r="B358" s="3260" t="s">
        <v>2864</v>
      </c>
      <c r="C358" s="3261">
        <v>0.15</v>
      </c>
      <c r="D358" s="3261">
        <v>0.15</v>
      </c>
      <c r="E358" s="3261">
        <v>0.15</v>
      </c>
      <c r="F358" s="3261">
        <v>0.15</v>
      </c>
      <c r="G358" s="3262">
        <v>0.15</v>
      </c>
    </row>
    <row r="359" spans="1:7">
      <c r="A359" s="3275" t="s">
        <v>2850</v>
      </c>
      <c r="B359" s="3264" t="s">
        <v>2870</v>
      </c>
      <c r="C359" s="3265">
        <v>0.1</v>
      </c>
      <c r="D359" s="3265">
        <v>0.1</v>
      </c>
      <c r="E359" s="3265">
        <v>0.1</v>
      </c>
      <c r="F359" s="3265">
        <v>0.1</v>
      </c>
      <c r="G359" s="3266">
        <v>0.1</v>
      </c>
    </row>
    <row r="360" spans="1:7">
      <c r="A360" s="3275" t="s">
        <v>2850</v>
      </c>
      <c r="B360" s="3264" t="s">
        <v>2876</v>
      </c>
      <c r="C360" s="3265">
        <v>0.15</v>
      </c>
      <c r="D360" s="3265">
        <v>0.15</v>
      </c>
      <c r="E360" s="3265">
        <v>0.15</v>
      </c>
      <c r="F360" s="3265">
        <v>0.14899999999999999</v>
      </c>
      <c r="G360" s="3266">
        <v>0.15</v>
      </c>
    </row>
    <row r="361" spans="1:7">
      <c r="A361" s="3275" t="s">
        <v>2850</v>
      </c>
      <c r="B361" s="3264" t="s">
        <v>153</v>
      </c>
      <c r="C361" s="3265">
        <v>0.15</v>
      </c>
      <c r="D361" s="3265">
        <v>0.15</v>
      </c>
      <c r="E361" s="3265">
        <v>0.15</v>
      </c>
      <c r="F361" s="3265">
        <v>0.115</v>
      </c>
      <c r="G361" s="3266">
        <v>0.15</v>
      </c>
    </row>
    <row r="362" spans="1:7">
      <c r="A362" s="3275" t="s">
        <v>2850</v>
      </c>
      <c r="B362" s="3264" t="s">
        <v>2883</v>
      </c>
      <c r="C362" s="3265">
        <v>0.15</v>
      </c>
      <c r="D362" s="3265">
        <v>0.15</v>
      </c>
      <c r="E362" s="3265">
        <v>0.15</v>
      </c>
      <c r="F362" s="3265">
        <v>0.106</v>
      </c>
      <c r="G362" s="3266">
        <v>0.15</v>
      </c>
    </row>
    <row r="363" spans="1:7">
      <c r="A363" s="3275" t="s">
        <v>2850</v>
      </c>
      <c r="B363" s="3264" t="s">
        <v>2888</v>
      </c>
      <c r="C363" s="3265">
        <v>0.15</v>
      </c>
      <c r="D363" s="3265">
        <v>0.15</v>
      </c>
      <c r="E363" s="3265">
        <v>0.15</v>
      </c>
      <c r="F363" s="3265">
        <v>0.14699999999999999</v>
      </c>
      <c r="G363" s="3266">
        <v>0.15</v>
      </c>
    </row>
    <row r="364" spans="1:7">
      <c r="A364" s="3275" t="s">
        <v>2850</v>
      </c>
      <c r="B364" s="3264" t="s">
        <v>2892</v>
      </c>
      <c r="C364" s="3265">
        <v>0.15</v>
      </c>
      <c r="D364" s="3265">
        <v>0.15</v>
      </c>
      <c r="E364" s="3265">
        <v>0.15</v>
      </c>
      <c r="F364" s="3265">
        <v>0.14799999999999999</v>
      </c>
      <c r="G364" s="3266">
        <v>0.15</v>
      </c>
    </row>
    <row r="365" spans="1:7">
      <c r="A365" s="3275" t="s">
        <v>2850</v>
      </c>
      <c r="B365" s="3264" t="s">
        <v>200</v>
      </c>
      <c r="C365" s="3265">
        <v>0.15</v>
      </c>
      <c r="D365" s="3265">
        <v>0.15</v>
      </c>
      <c r="E365" s="3265">
        <v>0.15</v>
      </c>
      <c r="F365" s="3265">
        <v>0.15</v>
      </c>
      <c r="G365" s="3266">
        <v>0.15</v>
      </c>
    </row>
    <row r="366" spans="1:7">
      <c r="A366" s="3275" t="s">
        <v>2850</v>
      </c>
      <c r="B366" s="3264" t="s">
        <v>2895</v>
      </c>
      <c r="C366" s="3265">
        <v>0.15</v>
      </c>
      <c r="D366" s="3265">
        <v>0.15</v>
      </c>
      <c r="E366" s="3265">
        <v>0.15</v>
      </c>
      <c r="F366" s="3265">
        <v>0.15</v>
      </c>
      <c r="G366" s="3266">
        <v>0.15</v>
      </c>
    </row>
    <row r="367" spans="1:7">
      <c r="A367" s="3275" t="s">
        <v>2850</v>
      </c>
      <c r="B367" s="3264" t="s">
        <v>2898</v>
      </c>
      <c r="C367" s="3265">
        <v>0.15</v>
      </c>
      <c r="D367" s="3265">
        <v>0.15</v>
      </c>
      <c r="E367" s="3265">
        <v>0.15</v>
      </c>
      <c r="F367" s="3265">
        <v>0.14699999999999999</v>
      </c>
      <c r="G367" s="3266">
        <v>0.15</v>
      </c>
    </row>
    <row r="368" spans="1:7">
      <c r="A368" s="3275" t="s">
        <v>2850</v>
      </c>
      <c r="B368" s="3264" t="s">
        <v>2903</v>
      </c>
      <c r="C368" s="3265">
        <v>0.15</v>
      </c>
      <c r="D368" s="3265">
        <v>0.15</v>
      </c>
      <c r="E368" s="3265">
        <v>0.15</v>
      </c>
      <c r="F368" s="3265">
        <v>0.13600000000000001</v>
      </c>
      <c r="G368" s="3266">
        <v>0.15</v>
      </c>
    </row>
    <row r="369" spans="1:7">
      <c r="A369" s="3275" t="s">
        <v>2850</v>
      </c>
      <c r="B369" s="3264" t="s">
        <v>214</v>
      </c>
      <c r="C369" s="3265">
        <v>0.15</v>
      </c>
      <c r="D369" s="3265">
        <v>0.15</v>
      </c>
      <c r="E369" s="3265">
        <v>0.15</v>
      </c>
      <c r="F369" s="3265">
        <v>0.14399999999999999</v>
      </c>
      <c r="G369" s="3266">
        <v>0.15</v>
      </c>
    </row>
    <row r="370" spans="1:7">
      <c r="A370" s="3275" t="s">
        <v>2850</v>
      </c>
      <c r="B370" s="3264" t="s">
        <v>221</v>
      </c>
      <c r="C370" s="3265">
        <v>0.15</v>
      </c>
      <c r="D370" s="3265">
        <v>0.15</v>
      </c>
      <c r="E370" s="3265">
        <v>0.15</v>
      </c>
      <c r="F370" s="3265">
        <v>0.14599999999999999</v>
      </c>
      <c r="G370" s="3266">
        <v>0.15</v>
      </c>
    </row>
    <row r="371" spans="1:7">
      <c r="A371" s="3275" t="s">
        <v>2850</v>
      </c>
      <c r="B371" s="3264" t="s">
        <v>229</v>
      </c>
      <c r="C371" s="3265">
        <v>0.15</v>
      </c>
      <c r="D371" s="3265">
        <v>0.15</v>
      </c>
      <c r="E371" s="3265">
        <v>0.15</v>
      </c>
      <c r="F371" s="3265">
        <v>0.12</v>
      </c>
      <c r="G371" s="3266">
        <v>0.15</v>
      </c>
    </row>
    <row r="372" spans="1:7">
      <c r="A372" s="3275" t="s">
        <v>2850</v>
      </c>
      <c r="B372" s="3264" t="s">
        <v>2911</v>
      </c>
      <c r="C372" s="3265">
        <v>0.15</v>
      </c>
      <c r="D372" s="3265">
        <v>0.15</v>
      </c>
      <c r="E372" s="3265">
        <v>0.15</v>
      </c>
      <c r="F372" s="3265">
        <v>0.14299999999999999</v>
      </c>
      <c r="G372" s="3266">
        <v>0.15</v>
      </c>
    </row>
    <row r="373" spans="1:7">
      <c r="A373" s="3275" t="s">
        <v>2850</v>
      </c>
      <c r="B373" s="3264" t="s">
        <v>258</v>
      </c>
      <c r="C373" s="3265">
        <v>0.15</v>
      </c>
      <c r="D373" s="3265">
        <v>0.15</v>
      </c>
      <c r="E373" s="3265">
        <v>0.15</v>
      </c>
      <c r="F373" s="3265">
        <v>0.14599999999999999</v>
      </c>
      <c r="G373" s="3266">
        <v>0.15</v>
      </c>
    </row>
    <row r="374" spans="1:7">
      <c r="A374" s="3275" t="s">
        <v>2850</v>
      </c>
      <c r="B374" s="3264" t="s">
        <v>266</v>
      </c>
      <c r="C374" s="3265">
        <v>0.15</v>
      </c>
      <c r="D374" s="3265">
        <v>0.15</v>
      </c>
      <c r="E374" s="3265">
        <v>0.15</v>
      </c>
      <c r="F374" s="3265">
        <v>0.14399999999999999</v>
      </c>
      <c r="G374" s="3266">
        <v>0.15</v>
      </c>
    </row>
    <row r="375" spans="1:7">
      <c r="A375" s="3275" t="s">
        <v>2850</v>
      </c>
      <c r="B375" s="3264" t="s">
        <v>2919</v>
      </c>
      <c r="C375" s="3265">
        <v>0.15</v>
      </c>
      <c r="D375" s="3265">
        <v>0.15</v>
      </c>
      <c r="E375" s="3265">
        <v>0.15</v>
      </c>
      <c r="F375" s="3265">
        <v>0.13</v>
      </c>
      <c r="G375" s="3266">
        <v>0.15</v>
      </c>
    </row>
    <row r="376" spans="1:7">
      <c r="A376" s="3275" t="s">
        <v>2850</v>
      </c>
      <c r="B376" s="3264" t="s">
        <v>277</v>
      </c>
      <c r="C376" s="3265">
        <v>0.15</v>
      </c>
      <c r="D376" s="3265">
        <v>0.15</v>
      </c>
      <c r="E376" s="3265">
        <v>0.15</v>
      </c>
      <c r="F376" s="3265">
        <v>0.14199999999999999</v>
      </c>
      <c r="G376" s="3266">
        <v>0.15</v>
      </c>
    </row>
    <row r="377" spans="1:7" ht="14.25" thickBot="1">
      <c r="A377" s="3278" t="s">
        <v>2850</v>
      </c>
      <c r="B377" s="3268" t="s">
        <v>2925</v>
      </c>
      <c r="C377" s="3269">
        <v>0.15</v>
      </c>
      <c r="D377" s="3269">
        <v>0.15</v>
      </c>
      <c r="E377" s="3269">
        <v>0.15</v>
      </c>
      <c r="F377" s="3269">
        <v>0.14000000000000001</v>
      </c>
      <c r="G377" s="3271">
        <v>0.15</v>
      </c>
    </row>
    <row r="378" spans="1:7">
      <c r="A378" s="3274" t="s">
        <v>2851</v>
      </c>
      <c r="B378" s="3260" t="s">
        <v>2865</v>
      </c>
      <c r="C378" s="3261">
        <v>0.15</v>
      </c>
      <c r="D378" s="3261">
        <v>0.15</v>
      </c>
      <c r="E378" s="3261">
        <v>0.15</v>
      </c>
      <c r="F378" s="3261">
        <v>0.107</v>
      </c>
      <c r="G378" s="3262">
        <v>0.15</v>
      </c>
    </row>
    <row r="379" spans="1:7">
      <c r="A379" s="3275" t="s">
        <v>2851</v>
      </c>
      <c r="B379" s="3264" t="s">
        <v>2871</v>
      </c>
      <c r="C379" s="3265">
        <v>0.15</v>
      </c>
      <c r="D379" s="3265">
        <v>0.15</v>
      </c>
      <c r="E379" s="3265">
        <v>0.15</v>
      </c>
      <c r="F379" s="3265">
        <v>0.115</v>
      </c>
      <c r="G379" s="3266">
        <v>0.14899999999999999</v>
      </c>
    </row>
    <row r="380" spans="1:7">
      <c r="A380" s="3275" t="s">
        <v>2851</v>
      </c>
      <c r="B380" s="3264" t="s">
        <v>2877</v>
      </c>
      <c r="C380" s="3265">
        <v>0.15</v>
      </c>
      <c r="D380" s="3265">
        <v>0.15</v>
      </c>
      <c r="E380" s="3265">
        <v>0.15</v>
      </c>
      <c r="F380" s="3265">
        <v>0.1</v>
      </c>
      <c r="G380" s="3266">
        <v>0.14799999999999999</v>
      </c>
    </row>
    <row r="381" spans="1:7">
      <c r="A381" s="3275" t="s">
        <v>2851</v>
      </c>
      <c r="B381" s="3264" t="s">
        <v>2880</v>
      </c>
      <c r="C381" s="3265">
        <v>0.15</v>
      </c>
      <c r="D381" s="3265">
        <v>0.15</v>
      </c>
      <c r="E381" s="3265">
        <v>0.15</v>
      </c>
      <c r="F381" s="3265">
        <v>0.126</v>
      </c>
      <c r="G381" s="3266">
        <v>0.15</v>
      </c>
    </row>
    <row r="382" spans="1:7">
      <c r="A382" s="3275" t="s">
        <v>2851</v>
      </c>
      <c r="B382" s="3264" t="s">
        <v>2884</v>
      </c>
      <c r="C382" s="3265">
        <v>0.15</v>
      </c>
      <c r="D382" s="3265">
        <v>0.15</v>
      </c>
      <c r="E382" s="3265">
        <v>0.15</v>
      </c>
      <c r="F382" s="3265">
        <v>0.15</v>
      </c>
      <c r="G382" s="3266">
        <v>0.15</v>
      </c>
    </row>
    <row r="383" spans="1:7">
      <c r="A383" s="3275" t="s">
        <v>2851</v>
      </c>
      <c r="B383" s="3264" t="s">
        <v>2889</v>
      </c>
      <c r="C383" s="3265">
        <v>0.15</v>
      </c>
      <c r="D383" s="3265">
        <v>0.15</v>
      </c>
      <c r="E383" s="3265">
        <v>0.15</v>
      </c>
      <c r="F383" s="3265">
        <v>0.14699999999999999</v>
      </c>
      <c r="G383" s="3266">
        <v>0.15</v>
      </c>
    </row>
    <row r="384" spans="1:7" ht="14.25" thickBot="1">
      <c r="A384" s="3285" t="s">
        <v>2851</v>
      </c>
      <c r="B384" s="3286" t="s">
        <v>2893</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800" t="s">
        <v>3232</v>
      </c>
      <c r="B1" s="3800"/>
      <c r="C1" s="3800"/>
      <c r="D1" s="3800"/>
      <c r="E1" s="3800"/>
      <c r="F1" s="3801"/>
    </row>
    <row r="2" spans="1:6">
      <c r="A2" s="3291" t="s">
        <v>3233</v>
      </c>
      <c r="B2" s="3292"/>
      <c r="C2" s="3292"/>
      <c r="D2" s="3292"/>
      <c r="E2" s="3292"/>
      <c r="F2" s="3292"/>
    </row>
    <row r="3" spans="1:6">
      <c r="A3" s="3291" t="s">
        <v>3234</v>
      </c>
      <c r="B3" s="3292"/>
      <c r="C3" s="3292"/>
      <c r="D3" s="3292"/>
      <c r="E3" s="3292"/>
      <c r="F3" s="3293" t="s">
        <v>3235</v>
      </c>
    </row>
    <row r="4" spans="1:6">
      <c r="A4" s="3294" t="s">
        <v>672</v>
      </c>
      <c r="B4" s="3294" t="s">
        <v>673</v>
      </c>
      <c r="C4" s="3294" t="s">
        <v>21</v>
      </c>
      <c r="D4" s="3294" t="s">
        <v>674</v>
      </c>
      <c r="E4" s="3294" t="s">
        <v>3</v>
      </c>
      <c r="F4" s="3294" t="s">
        <v>3236</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90" zoomScaleNormal="90" workbookViewId="0">
      <selection activeCell="I17" sqref="I17"/>
    </sheetView>
  </sheetViews>
  <sheetFormatPr defaultRowHeight="13.5"/>
  <cols>
    <col min="1" max="1" width="13.875" customWidth="1"/>
    <col min="11" max="17" width="0" hidden="1" customWidth="1"/>
    <col min="25" max="30" width="0" hidden="1" customWidth="1"/>
  </cols>
  <sheetData>
    <row r="1" spans="1:44">
      <c r="A1" s="3221">
        <f>基准地价修正!G23</f>
        <v>45861</v>
      </c>
      <c r="B1" s="3210" t="s">
        <v>3378</v>
      </c>
      <c r="C1" s="3211"/>
      <c r="D1" s="3211"/>
      <c r="E1" s="3211"/>
      <c r="F1" s="3211"/>
      <c r="G1" s="3211"/>
      <c r="H1" s="3211"/>
      <c r="I1" s="3211"/>
      <c r="J1" s="3165"/>
      <c r="K1" s="3211" t="s">
        <v>454</v>
      </c>
      <c r="L1" s="3211"/>
      <c r="M1" s="3211"/>
      <c r="N1" s="3211"/>
      <c r="O1" s="3211"/>
      <c r="P1" s="3211"/>
      <c r="Q1" s="3165"/>
      <c r="R1" s="3802" t="s">
        <v>456</v>
      </c>
      <c r="S1" s="3803"/>
      <c r="T1" s="3803"/>
      <c r="U1" s="3803"/>
      <c r="V1" s="3803"/>
      <c r="W1" s="3803"/>
      <c r="X1" s="3165"/>
      <c r="Y1" s="3802" t="s">
        <v>457</v>
      </c>
      <c r="Z1" s="3803"/>
      <c r="AA1" s="3803"/>
      <c r="AB1" s="3803"/>
      <c r="AC1" s="3803"/>
      <c r="AD1" s="3803"/>
    </row>
    <row r="2" spans="1:44" s="3143" customFormat="1" ht="14.25" thickBot="1">
      <c r="B2" s="3144"/>
      <c r="C2" s="3145"/>
      <c r="D2" s="3146" t="s">
        <v>2810</v>
      </c>
      <c r="E2" s="3147" t="s">
        <v>2811</v>
      </c>
      <c r="F2" s="3147" t="s">
        <v>2812</v>
      </c>
      <c r="G2" s="3147" t="s">
        <v>2813</v>
      </c>
      <c r="H2" s="3147" t="s">
        <v>2814</v>
      </c>
      <c r="I2" s="3147" t="s">
        <v>2631</v>
      </c>
      <c r="J2" s="3148"/>
      <c r="K2" s="3146" t="s">
        <v>2810</v>
      </c>
      <c r="L2" s="3147" t="s">
        <v>2811</v>
      </c>
      <c r="M2" s="3147" t="s">
        <v>2812</v>
      </c>
      <c r="N2" s="3147" t="s">
        <v>2813</v>
      </c>
      <c r="O2" s="3147" t="s">
        <v>2815</v>
      </c>
      <c r="P2" s="3147" t="s">
        <v>2631</v>
      </c>
      <c r="Q2" s="3148"/>
      <c r="R2" s="3146" t="s">
        <v>2810</v>
      </c>
      <c r="S2" s="3147" t="s">
        <v>2811</v>
      </c>
      <c r="T2" s="3147" t="s">
        <v>2812</v>
      </c>
      <c r="U2" s="3147" t="s">
        <v>2816</v>
      </c>
      <c r="V2" s="3147" t="s">
        <v>2817</v>
      </c>
      <c r="W2" s="3147" t="s">
        <v>2631</v>
      </c>
      <c r="X2" s="3148"/>
      <c r="Y2" s="3146" t="s">
        <v>2810</v>
      </c>
      <c r="Z2" s="3147" t="s">
        <v>2811</v>
      </c>
      <c r="AA2" s="3147" t="s">
        <v>2812</v>
      </c>
      <c r="AB2" s="3147" t="s">
        <v>2818</v>
      </c>
      <c r="AC2" s="3147" t="s">
        <v>2817</v>
      </c>
      <c r="AD2" s="3147" t="s">
        <v>2631</v>
      </c>
      <c r="AF2" t="s">
        <v>3405</v>
      </c>
      <c r="AG2" t="s">
        <v>673</v>
      </c>
      <c r="AH2" t="s">
        <v>21</v>
      </c>
      <c r="AI2" t="s">
        <v>3406</v>
      </c>
      <c r="AJ2" t="s">
        <v>3</v>
      </c>
      <c r="AK2" t="s">
        <v>3407</v>
      </c>
      <c r="AM2" t="s">
        <v>3405</v>
      </c>
      <c r="AN2" t="s">
        <v>673</v>
      </c>
      <c r="AO2" t="s">
        <v>21</v>
      </c>
      <c r="AP2" t="s">
        <v>3406</v>
      </c>
      <c r="AQ2" t="s">
        <v>3</v>
      </c>
      <c r="AR2" t="s">
        <v>3407</v>
      </c>
    </row>
    <row r="3" spans="1:44" s="3161" customFormat="1" ht="12.75">
      <c r="A3" s="3149" t="s">
        <v>2819</v>
      </c>
      <c r="B3" s="3150"/>
      <c r="C3" s="3151"/>
      <c r="D3" s="3151">
        <f>ROUND(AVERAGEIF(D4:D24,"&lt;&gt;0"),2)</f>
        <v>0.37</v>
      </c>
      <c r="E3" s="3151">
        <f t="shared" ref="E3:H3" si="0">ROUND(AVERAGEIF(E4:E24,"&lt;&gt;0"),2)</f>
        <v>0.16</v>
      </c>
      <c r="F3" s="3151">
        <f t="shared" si="0"/>
        <v>-0.12</v>
      </c>
      <c r="G3" s="3151">
        <f t="shared" si="0"/>
        <v>0.44</v>
      </c>
      <c r="H3" s="3151">
        <f t="shared" si="0"/>
        <v>0.5</v>
      </c>
      <c r="I3" s="3151">
        <f>F3</f>
        <v>-0.12</v>
      </c>
      <c r="J3" s="3152"/>
      <c r="K3" s="3153">
        <f>ROUND(AVERAGEIF(K4:K24,"&lt;&gt;0"),4)</f>
        <v>3.7000000000000002E-3</v>
      </c>
      <c r="L3" s="3154">
        <f t="shared" ref="L3:O3" si="1">ROUND(AVERAGEIF(L4:L24,"&lt;&gt;0"),4)</f>
        <v>1.6000000000000001E-3</v>
      </c>
      <c r="M3" s="3154">
        <f t="shared" si="1"/>
        <v>-1.1999999999999999E-3</v>
      </c>
      <c r="N3" s="3154">
        <f t="shared" si="1"/>
        <v>4.4000000000000003E-3</v>
      </c>
      <c r="O3" s="3154">
        <f t="shared" si="1"/>
        <v>5.0000000000000001E-3</v>
      </c>
      <c r="P3" s="3154">
        <f>M3</f>
        <v>-1.1999999999999999E-3</v>
      </c>
      <c r="Q3" s="3152"/>
      <c r="R3" s="3155">
        <f>ROUND(SUMPRODUCT(PRODUCT(1+K4:K24)),4)</f>
        <v>1.0680000000000001</v>
      </c>
      <c r="S3" s="3156">
        <f t="shared" ref="S3:V3" si="2">ROUND(SUMPRODUCT(PRODUCT(1+L4:L24)),4)</f>
        <v>1.0290999999999999</v>
      </c>
      <c r="T3" s="3156">
        <f t="shared" si="2"/>
        <v>0.97850000000000004</v>
      </c>
      <c r="U3" s="3156">
        <f t="shared" si="2"/>
        <v>1.0807</v>
      </c>
      <c r="V3" s="3156">
        <f t="shared" si="2"/>
        <v>1.093</v>
      </c>
      <c r="W3" s="3155">
        <f>T3</f>
        <v>0.97850000000000004</v>
      </c>
      <c r="X3" s="3152"/>
      <c r="Y3" s="3157">
        <f>ROUND(AVERAGEIF(Y11:Y24,"&lt;&gt;0"),4)</f>
        <v>8.3999999999999995E-3</v>
      </c>
      <c r="Z3" s="3158">
        <f t="shared" ref="Z3:AC3" si="3">ROUND(AVERAGEIF(Z11:Z24,"&lt;&gt;0"),4)</f>
        <v>3.5000000000000001E-3</v>
      </c>
      <c r="AA3" s="3159">
        <f t="shared" si="3"/>
        <v>8.0000000000000004E-4</v>
      </c>
      <c r="AB3" s="3157">
        <f t="shared" si="3"/>
        <v>9.1000000000000004E-3</v>
      </c>
      <c r="AC3" s="3160">
        <f t="shared" si="3"/>
        <v>6.1000000000000004E-3</v>
      </c>
      <c r="AD3" s="3157">
        <f>AA3</f>
        <v>8.0000000000000004E-4</v>
      </c>
    </row>
    <row r="4" spans="1:44"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44" s="3185" customFormat="1">
      <c r="A5" s="2205" t="s">
        <v>3404</v>
      </c>
      <c r="B5" s="3177">
        <v>2025</v>
      </c>
      <c r="C5" s="3178">
        <v>4</v>
      </c>
      <c r="D5" s="3179">
        <v>0</v>
      </c>
      <c r="E5" s="3179">
        <v>0</v>
      </c>
      <c r="F5" s="3179">
        <v>0</v>
      </c>
      <c r="G5" s="3179">
        <v>0</v>
      </c>
      <c r="H5" s="3179">
        <v>0</v>
      </c>
      <c r="I5" s="3180">
        <f t="shared" ref="I5" si="4">F5</f>
        <v>0</v>
      </c>
      <c r="J5" s="3181"/>
      <c r="K5" s="3182">
        <f t="shared" ref="K5" si="5">D5/100</f>
        <v>0</v>
      </c>
      <c r="L5" s="3172">
        <f t="shared" ref="L5" si="6">E5/100</f>
        <v>0</v>
      </c>
      <c r="M5" s="3172">
        <f t="shared" ref="M5" si="7">F5/100</f>
        <v>0</v>
      </c>
      <c r="N5" s="3172">
        <f t="shared" ref="N5" si="8">G5/100</f>
        <v>0</v>
      </c>
      <c r="O5" s="3172">
        <f t="shared" ref="O5" si="9">H5/100</f>
        <v>0</v>
      </c>
      <c r="P5" s="3172">
        <f t="shared" ref="P5:P11" si="10">M5</f>
        <v>0</v>
      </c>
      <c r="Q5" s="3181"/>
      <c r="R5" s="3183">
        <f>ROUND(IF(项目基本情况!$B$8="出让",SUMPRODUCT(PRODUCT(1+K5:$K$24)),SUMPRODUCT(PRODUCT(1+K5:$K$23))),4)</f>
        <v>1.0577000000000001</v>
      </c>
      <c r="S5" s="3183">
        <f>ROUND(IF(项目基本情况!$B$8="出让",SUMPRODUCT(PRODUCT(1+L5:$L$24)),SUMPRODUCT(PRODUCT(1+L5:$L$23))),4)</f>
        <v>1.0275000000000001</v>
      </c>
      <c r="T5" s="3183">
        <f>ROUND(IF(项目基本情况!$B$8="出让",SUMPRODUCT(PRODUCT(1+M5:$M$24)),SUMPRODUCT(PRODUCT(1+M5:$M$23))),4)</f>
        <v>0.98089999999999999</v>
      </c>
      <c r="U5" s="3183">
        <f>ROUND(IF(项目基本情况!$B$8="出让",SUMPRODUCT(PRODUCT(1+N5:$N$24)),SUMPRODUCT(PRODUCT(1+N5:$N$23))),4)</f>
        <v>1.0689</v>
      </c>
      <c r="V5" s="3183">
        <f>ROUND(IF(项目基本情况!$B$8="出让",SUMPRODUCT(PRODUCT(1+O5:$O$24)),SUMPRODUCT(PRODUCT(1+O5:$O$23))),4)</f>
        <v>1.0891</v>
      </c>
      <c r="W5" s="3183">
        <f t="shared" ref="W5:W11" si="11">T5</f>
        <v>0.98089999999999999</v>
      </c>
      <c r="X5" s="3181"/>
      <c r="Y5" s="3184">
        <f t="shared" ref="Y5:Y11" si="12">IF(D5=0,0,ROUND(AVERAGE(D5:D18)/100,4))</f>
        <v>0</v>
      </c>
      <c r="Z5" s="3184">
        <f t="shared" ref="Z5" si="13">IF(E5=0,0,ROUND(AVERAGE(E5:E18)/100,4))</f>
        <v>0</v>
      </c>
      <c r="AA5" s="3184">
        <f t="shared" ref="AA5" si="14">IF(F5=0,0,ROUND(AVERAGE(F5:F18)/100,4))</f>
        <v>0</v>
      </c>
      <c r="AB5" s="3184">
        <f t="shared" ref="AB5" si="15">IF(G5=0,0,ROUND(AVERAGE(G5:G18)/100,4))</f>
        <v>0</v>
      </c>
      <c r="AC5" s="3184">
        <f t="shared" ref="AC5" si="16">IF(H5=0,0,ROUND(AVERAGE(H5:H18)/100,4))</f>
        <v>0</v>
      </c>
      <c r="AD5" s="3184">
        <f t="shared" ref="AD5" si="17">AA5</f>
        <v>0</v>
      </c>
      <c r="AF5" s="3458">
        <f>$AF$24*R5</f>
        <v>105.77000000000001</v>
      </c>
      <c r="AG5" s="3458">
        <f t="shared" ref="AG5:AK5" si="18">$AF$24*S5</f>
        <v>102.75000000000001</v>
      </c>
      <c r="AH5" s="3458">
        <f t="shared" si="18"/>
        <v>98.09</v>
      </c>
      <c r="AI5" s="3458">
        <f t="shared" si="18"/>
        <v>106.89</v>
      </c>
      <c r="AJ5" s="3458">
        <f t="shared" si="18"/>
        <v>108.91</v>
      </c>
      <c r="AK5" s="3458">
        <f t="shared" si="18"/>
        <v>98.09</v>
      </c>
      <c r="AM5" s="3464">
        <v>100</v>
      </c>
      <c r="AN5" s="3464">
        <v>100</v>
      </c>
      <c r="AO5" s="3464">
        <v>100</v>
      </c>
      <c r="AP5" s="3464">
        <v>100</v>
      </c>
      <c r="AQ5" s="3464">
        <v>100</v>
      </c>
      <c r="AR5" s="3464">
        <v>100</v>
      </c>
    </row>
    <row r="6" spans="1:44" s="3185" customFormat="1" ht="12.75">
      <c r="A6" s="2205" t="s">
        <v>3403</v>
      </c>
      <c r="B6" s="3177">
        <v>2025</v>
      </c>
      <c r="C6" s="3178">
        <v>3</v>
      </c>
      <c r="D6" s="3179">
        <v>0</v>
      </c>
      <c r="E6" s="3179">
        <v>0</v>
      </c>
      <c r="F6" s="3179">
        <v>0</v>
      </c>
      <c r="G6" s="3179">
        <v>0</v>
      </c>
      <c r="H6" s="3179">
        <v>0</v>
      </c>
      <c r="I6" s="3180">
        <f t="shared" ref="I6" si="19">F6</f>
        <v>0</v>
      </c>
      <c r="J6" s="3181"/>
      <c r="K6" s="3182">
        <f t="shared" ref="K6" si="20">D6/100</f>
        <v>0</v>
      </c>
      <c r="L6" s="3172">
        <f t="shared" ref="L6" si="21">E6/100</f>
        <v>0</v>
      </c>
      <c r="M6" s="3172">
        <f t="shared" ref="M6" si="22">F6/100</f>
        <v>0</v>
      </c>
      <c r="N6" s="3172">
        <f t="shared" ref="N6" si="23">G6/100</f>
        <v>0</v>
      </c>
      <c r="O6" s="3172">
        <f t="shared" ref="O6" si="24">H6/100</f>
        <v>0</v>
      </c>
      <c r="P6" s="3172">
        <f t="shared" si="10"/>
        <v>0</v>
      </c>
      <c r="Q6" s="3181"/>
      <c r="R6" s="3183">
        <f>ROUND(IF(项目基本情况!$B$8="出让",SUMPRODUCT(PRODUCT(1+K6:$K$24)),SUMPRODUCT(PRODUCT(1+K6:$K$23))),4)</f>
        <v>1.0577000000000001</v>
      </c>
      <c r="S6" s="3183">
        <f>ROUND(IF(项目基本情况!$B$8="出让",SUMPRODUCT(PRODUCT(1+L6:$L$24)),SUMPRODUCT(PRODUCT(1+L6:$L$23))),4)</f>
        <v>1.0275000000000001</v>
      </c>
      <c r="T6" s="3183">
        <f>ROUND(IF(项目基本情况!$B$8="出让",SUMPRODUCT(PRODUCT(1+M6:$M$24)),SUMPRODUCT(PRODUCT(1+M6:$M$23))),4)</f>
        <v>0.98089999999999999</v>
      </c>
      <c r="U6" s="3183">
        <f>ROUND(IF(项目基本情况!$B$8="出让",SUMPRODUCT(PRODUCT(1+N6:$N$24)),SUMPRODUCT(PRODUCT(1+N6:$N$23))),4)</f>
        <v>1.0689</v>
      </c>
      <c r="V6" s="3183">
        <f>ROUND(IF(项目基本情况!$B$8="出让",SUMPRODUCT(PRODUCT(1+O6:$O$24)),SUMPRODUCT(PRODUCT(1+O6:$O$23))),4)</f>
        <v>1.0891</v>
      </c>
      <c r="W6" s="3183">
        <f t="shared" si="11"/>
        <v>0.98089999999999999</v>
      </c>
      <c r="X6" s="3181"/>
      <c r="Y6" s="3184">
        <f t="shared" si="12"/>
        <v>0</v>
      </c>
      <c r="Z6" s="3184">
        <f t="shared" ref="Z6" si="25">IF(E6=0,0,ROUND(AVERAGE(E6:E19)/100,4))</f>
        <v>0</v>
      </c>
      <c r="AA6" s="3184">
        <f t="shared" ref="AA6" si="26">IF(F6=0,0,ROUND(AVERAGE(F6:F19)/100,4))</f>
        <v>0</v>
      </c>
      <c r="AB6" s="3184">
        <f t="shared" ref="AB6" si="27">IF(G6=0,0,ROUND(AVERAGE(G6:G19)/100,4))</f>
        <v>0</v>
      </c>
      <c r="AC6" s="3184">
        <f t="shared" ref="AC6" si="28">IF(H6=0,0,ROUND(AVERAGE(H6:H19)/100,4))</f>
        <v>0</v>
      </c>
      <c r="AD6" s="3184">
        <f t="shared" ref="AD6" si="29">AA6</f>
        <v>0</v>
      </c>
      <c r="AF6" s="3458">
        <f t="shared" ref="AF6:AF23" si="30">$AF$24*R6</f>
        <v>105.77000000000001</v>
      </c>
      <c r="AG6" s="3458">
        <f t="shared" ref="AG6:AG23" si="31">$AF$24*S6</f>
        <v>102.75000000000001</v>
      </c>
      <c r="AH6" s="3458">
        <f t="shared" ref="AH6:AH23" si="32">$AF$24*T6</f>
        <v>98.09</v>
      </c>
      <c r="AI6" s="3458">
        <f t="shared" ref="AI6:AI23" si="33">$AF$24*U6</f>
        <v>106.89</v>
      </c>
      <c r="AJ6" s="3458">
        <f t="shared" ref="AJ6:AJ23" si="34">$AF$24*V6</f>
        <v>108.91</v>
      </c>
      <c r="AK6" s="3458">
        <f t="shared" ref="AK6:AK23" si="35">$AF$24*W6</f>
        <v>98.09</v>
      </c>
      <c r="AM6" s="3458">
        <f>AM5/(1+D5/100)</f>
        <v>100</v>
      </c>
      <c r="AN6" s="3458">
        <f t="shared" ref="AN6:AR6" si="36">AN5/(1+E5/100)</f>
        <v>100</v>
      </c>
      <c r="AO6" s="3458">
        <f t="shared" si="36"/>
        <v>100</v>
      </c>
      <c r="AP6" s="3458">
        <f t="shared" si="36"/>
        <v>100</v>
      </c>
      <c r="AQ6" s="3458">
        <f t="shared" si="36"/>
        <v>100</v>
      </c>
      <c r="AR6" s="3458">
        <f t="shared" si="36"/>
        <v>100</v>
      </c>
    </row>
    <row r="7" spans="1:44" s="3195" customFormat="1" ht="12.75">
      <c r="A7" s="3186" t="s">
        <v>3402</v>
      </c>
      <c r="B7" s="3187">
        <v>2025</v>
      </c>
      <c r="C7" s="3188">
        <v>2</v>
      </c>
      <c r="D7" s="3189">
        <v>0.05</v>
      </c>
      <c r="E7" s="3189">
        <v>-0.62</v>
      </c>
      <c r="F7" s="3189">
        <v>-1.05</v>
      </c>
      <c r="G7" s="3189">
        <v>0.09</v>
      </c>
      <c r="H7" s="3190">
        <v>0.17</v>
      </c>
      <c r="I7" s="3191">
        <f t="shared" ref="I7" si="37">F7</f>
        <v>-1.05</v>
      </c>
      <c r="J7" s="3192"/>
      <c r="K7" s="3193">
        <f t="shared" ref="K7" si="38">D7/100</f>
        <v>5.0000000000000001E-4</v>
      </c>
      <c r="L7" s="3194">
        <f t="shared" ref="L7" si="39">E7/100</f>
        <v>-6.1999999999999998E-3</v>
      </c>
      <c r="M7" s="3194">
        <f t="shared" ref="M7" si="40">F7/100</f>
        <v>-1.0500000000000001E-2</v>
      </c>
      <c r="N7" s="3194">
        <f t="shared" ref="N7" si="41">G7/100</f>
        <v>8.9999999999999998E-4</v>
      </c>
      <c r="O7" s="3194">
        <f t="shared" ref="O7" si="42">H7/100</f>
        <v>1.7000000000000001E-3</v>
      </c>
      <c r="P7" s="3194">
        <f t="shared" si="10"/>
        <v>-1.0500000000000001E-2</v>
      </c>
      <c r="Q7" s="3192"/>
      <c r="R7" s="3192">
        <f>ROUND(IF(项目基本情况!$B$8="出让",SUMPRODUCT(PRODUCT(1+K7:$K$24)),SUMPRODUCT(PRODUCT(1+K7:$K$23))),4)</f>
        <v>1.0577000000000001</v>
      </c>
      <c r="S7" s="3192">
        <f>ROUND(IF(项目基本情况!$B$8="出让",SUMPRODUCT(PRODUCT(1+L7:$L$24)),SUMPRODUCT(PRODUCT(1+L7:$L$23))),4)</f>
        <v>1.0275000000000001</v>
      </c>
      <c r="T7" s="3192">
        <f>ROUND(IF(项目基本情况!$B$8="出让",SUMPRODUCT(PRODUCT(1+M7:$M$24)),SUMPRODUCT(PRODUCT(1+M7:$M$23))),4)</f>
        <v>0.98089999999999999</v>
      </c>
      <c r="U7" s="3192">
        <f>ROUND(IF(项目基本情况!$B$8="出让",SUMPRODUCT(PRODUCT(1+N7:$N$24)),SUMPRODUCT(PRODUCT(1+N7:$N$23))),4)</f>
        <v>1.0689</v>
      </c>
      <c r="V7" s="3192">
        <f>ROUND(IF(项目基本情况!$B$8="出让",SUMPRODUCT(PRODUCT(1+O7:$O$24)),SUMPRODUCT(PRODUCT(1+O7:$O$23))),4)</f>
        <v>1.0891</v>
      </c>
      <c r="W7" s="3192">
        <f t="shared" si="11"/>
        <v>0.98089999999999999</v>
      </c>
      <c r="X7" s="3192"/>
      <c r="Y7" s="3194">
        <f t="shared" si="12"/>
        <v>2.3E-3</v>
      </c>
      <c r="Z7" s="3194">
        <f t="shared" ref="Z7" si="43">IF(E7=0,0,ROUND(AVERAGE(E7:E20)/100,4))</f>
        <v>1E-3</v>
      </c>
      <c r="AA7" s="3194">
        <f t="shared" ref="AA7" si="44">IF(F7=0,0,ROUND(AVERAGE(F7:F20)/100,4))</f>
        <v>-1.9E-3</v>
      </c>
      <c r="AB7" s="3194">
        <f t="shared" ref="AB7" si="45">IF(G7=0,0,ROUND(AVERAGE(G7:G20)/100,4))</f>
        <v>2.8999999999999998E-3</v>
      </c>
      <c r="AC7" s="3194">
        <f t="shared" ref="AC7" si="46">IF(H7=0,0,ROUND(AVERAGE(H7:H20)/100,4))</f>
        <v>4.7000000000000002E-3</v>
      </c>
      <c r="AD7" s="3194">
        <f t="shared" ref="AD7" si="47">AA7</f>
        <v>-1.9E-3</v>
      </c>
      <c r="AF7" s="3459">
        <f t="shared" si="30"/>
        <v>105.77000000000001</v>
      </c>
      <c r="AG7" s="3459">
        <f t="shared" si="31"/>
        <v>102.75000000000001</v>
      </c>
      <c r="AH7" s="3459">
        <f t="shared" si="32"/>
        <v>98.09</v>
      </c>
      <c r="AI7" s="3459">
        <f t="shared" si="33"/>
        <v>106.89</v>
      </c>
      <c r="AJ7" s="3459">
        <f t="shared" si="34"/>
        <v>108.91</v>
      </c>
      <c r="AK7" s="3459">
        <f t="shared" si="35"/>
        <v>98.09</v>
      </c>
      <c r="AM7" s="3459">
        <f t="shared" ref="AM7:AM24" si="48">AM6/(1+D6/100)</f>
        <v>100</v>
      </c>
      <c r="AN7" s="3459">
        <f t="shared" ref="AN7:AN24" si="49">AN6/(1+E6/100)</f>
        <v>100</v>
      </c>
      <c r="AO7" s="3459">
        <f t="shared" ref="AO7:AO24" si="50">AO6/(1+F6/100)</f>
        <v>100</v>
      </c>
      <c r="AP7" s="3459">
        <f t="shared" ref="AP7:AP24" si="51">AP6/(1+G6/100)</f>
        <v>100</v>
      </c>
      <c r="AQ7" s="3459">
        <f t="shared" ref="AQ7:AQ24" si="52">AQ6/(1+H6/100)</f>
        <v>100</v>
      </c>
      <c r="AR7" s="3459">
        <f t="shared" ref="AR7:AR24" si="53">AR6/(1+I6/100)</f>
        <v>100</v>
      </c>
    </row>
    <row r="8" spans="1:44" s="3185" customFormat="1" ht="12.75">
      <c r="A8" s="2205" t="s">
        <v>3410</v>
      </c>
      <c r="B8" s="3177">
        <v>2025</v>
      </c>
      <c r="C8" s="3178">
        <v>1</v>
      </c>
      <c r="D8" s="3179">
        <v>0.56999999999999995</v>
      </c>
      <c r="E8" s="3179">
        <v>-0.56999999999999995</v>
      </c>
      <c r="F8" s="3179">
        <v>-0.9</v>
      </c>
      <c r="G8" s="3179">
        <v>1.1200000000000001</v>
      </c>
      <c r="H8" s="3179">
        <v>0.42</v>
      </c>
      <c r="I8" s="3180">
        <f t="shared" ref="I8" si="54">F8</f>
        <v>-0.9</v>
      </c>
      <c r="J8" s="3181"/>
      <c r="K8" s="3182">
        <f t="shared" ref="K8" si="55">D8/100</f>
        <v>5.6999999999999993E-3</v>
      </c>
      <c r="L8" s="3172">
        <f t="shared" ref="L8" si="56">E8/100</f>
        <v>-5.6999999999999993E-3</v>
      </c>
      <c r="M8" s="3172">
        <f t="shared" ref="M8" si="57">F8/100</f>
        <v>-9.0000000000000011E-3</v>
      </c>
      <c r="N8" s="3172">
        <f t="shared" ref="N8" si="58">G8/100</f>
        <v>1.1200000000000002E-2</v>
      </c>
      <c r="O8" s="3172">
        <f t="shared" ref="O8" si="59">H8/100</f>
        <v>4.1999999999999997E-3</v>
      </c>
      <c r="P8" s="3172">
        <f t="shared" si="10"/>
        <v>-9.0000000000000011E-3</v>
      </c>
      <c r="Q8" s="3181"/>
      <c r="R8" s="3183">
        <f>ROUND(IF(项目基本情况!$B$8="出让",SUMPRODUCT(PRODUCT(1+K8:$K$24)),SUMPRODUCT(PRODUCT(1+K8:$K$23))),4)</f>
        <v>1.0571999999999999</v>
      </c>
      <c r="S8" s="3183">
        <f>ROUND(IF(项目基本情况!$B$8="出让",SUMPRODUCT(PRODUCT(1+L8:$L$24)),SUMPRODUCT(PRODUCT(1+L8:$L$23))),4)</f>
        <v>1.0339</v>
      </c>
      <c r="T8" s="3183">
        <f>ROUND(IF(项目基本情况!$B$8="出让",SUMPRODUCT(PRODUCT(1+M8:$M$24)),SUMPRODUCT(PRODUCT(1+M8:$M$23))),4)</f>
        <v>0.99129999999999996</v>
      </c>
      <c r="U8" s="3183">
        <f>ROUND(IF(项目基本情况!$B$8="出让",SUMPRODUCT(PRODUCT(1+N8:$N$24)),SUMPRODUCT(PRODUCT(1+N8:$N$23))),4)</f>
        <v>1.0679000000000001</v>
      </c>
      <c r="V8" s="3183">
        <f>ROUND(IF(项目基本情况!$B$8="出让",SUMPRODUCT(PRODUCT(1+O8:$O$24)),SUMPRODUCT(PRODUCT(1+O8:$O$23))),4)</f>
        <v>1.0871999999999999</v>
      </c>
      <c r="W8" s="3183">
        <f t="shared" si="11"/>
        <v>0.99129999999999996</v>
      </c>
      <c r="X8" s="3181"/>
      <c r="Y8" s="3184">
        <f t="shared" si="12"/>
        <v>3.0000000000000001E-3</v>
      </c>
      <c r="Z8" s="3184">
        <f t="shared" ref="Z8" si="60">IF(E8=0,0,ROUND(AVERAGE(E8:E21)/100,4))</f>
        <v>1.6000000000000001E-3</v>
      </c>
      <c r="AA8" s="3184">
        <f t="shared" ref="AA8" si="61">IF(F8=0,0,ROUND(AVERAGE(F8:F21)/100,4))</f>
        <v>-1.1000000000000001E-3</v>
      </c>
      <c r="AB8" s="3184">
        <f t="shared" ref="AB8" si="62">IF(G8=0,0,ROUND(AVERAGE(G8:G21)/100,4))</f>
        <v>3.7000000000000002E-3</v>
      </c>
      <c r="AC8" s="3184">
        <f t="shared" ref="AC8" si="63">IF(H8=0,0,ROUND(AVERAGE(H8:H21)/100,4))</f>
        <v>4.8999999999999998E-3</v>
      </c>
      <c r="AD8" s="3184">
        <f t="shared" ref="AD8" si="64">AA8</f>
        <v>-1.1000000000000001E-3</v>
      </c>
      <c r="AF8" s="3458">
        <f t="shared" si="30"/>
        <v>105.72</v>
      </c>
      <c r="AG8" s="3458">
        <f t="shared" si="31"/>
        <v>103.39</v>
      </c>
      <c r="AH8" s="3458">
        <f t="shared" si="32"/>
        <v>99.13</v>
      </c>
      <c r="AI8" s="3458">
        <f t="shared" si="33"/>
        <v>106.79</v>
      </c>
      <c r="AJ8" s="3458">
        <f t="shared" si="34"/>
        <v>108.72</v>
      </c>
      <c r="AK8" s="3458">
        <f t="shared" si="35"/>
        <v>99.13</v>
      </c>
      <c r="AM8" s="3458">
        <f t="shared" si="48"/>
        <v>99.950024987506254</v>
      </c>
      <c r="AN8" s="3458">
        <f t="shared" si="49"/>
        <v>100.6238679814852</v>
      </c>
      <c r="AO8" s="3458">
        <f t="shared" si="50"/>
        <v>101.06114199090449</v>
      </c>
      <c r="AP8" s="3458">
        <f t="shared" si="51"/>
        <v>99.910080927165566</v>
      </c>
      <c r="AQ8" s="3458">
        <f t="shared" si="52"/>
        <v>99.830288509533787</v>
      </c>
      <c r="AR8" s="3458">
        <f t="shared" si="53"/>
        <v>101.06114199090449</v>
      </c>
    </row>
    <row r="9" spans="1:44" s="3185" customFormat="1" ht="12.75">
      <c r="A9" s="2205" t="s">
        <v>3409</v>
      </c>
      <c r="B9" s="3177">
        <v>2024</v>
      </c>
      <c r="C9" s="3178">
        <v>4</v>
      </c>
      <c r="D9" s="3179">
        <v>-1.02</v>
      </c>
      <c r="E9" s="3179">
        <v>-0.48</v>
      </c>
      <c r="F9" s="3179">
        <v>-0.75</v>
      </c>
      <c r="G9" s="3179">
        <v>-1.05</v>
      </c>
      <c r="H9" s="3179">
        <v>0.08</v>
      </c>
      <c r="I9" s="3180">
        <f t="shared" ref="I9" si="65">F9</f>
        <v>-0.75</v>
      </c>
      <c r="J9" s="3181"/>
      <c r="K9" s="3182">
        <f t="shared" ref="K9" si="66">D9/100</f>
        <v>-1.0200000000000001E-2</v>
      </c>
      <c r="L9" s="3172">
        <f t="shared" ref="L9" si="67">E9/100</f>
        <v>-4.7999999999999996E-3</v>
      </c>
      <c r="M9" s="3172">
        <f t="shared" ref="M9" si="68">F9/100</f>
        <v>-7.4999999999999997E-3</v>
      </c>
      <c r="N9" s="3172">
        <f t="shared" ref="N9" si="69">G9/100</f>
        <v>-1.0500000000000001E-2</v>
      </c>
      <c r="O9" s="3172">
        <f t="shared" ref="O9" si="70">H9/100</f>
        <v>8.0000000000000004E-4</v>
      </c>
      <c r="P9" s="3172">
        <f t="shared" si="10"/>
        <v>-7.4999999999999997E-3</v>
      </c>
      <c r="Q9" s="3181"/>
      <c r="R9" s="3183">
        <f>ROUND(IF(项目基本情况!$B$8="出让",SUMPRODUCT(PRODUCT(1+K9:$K$24)),SUMPRODUCT(PRODUCT(1+K9:$K$23))),4)</f>
        <v>1.0511999999999999</v>
      </c>
      <c r="S9" s="3183">
        <f>ROUND(IF(项目基本情况!$B$8="出让",SUMPRODUCT(PRODUCT(1+L9:$L$24)),SUMPRODUCT(PRODUCT(1+L9:$L$23))),4)</f>
        <v>1.0398000000000001</v>
      </c>
      <c r="T9" s="3183">
        <f>ROUND(IF(项目基本情况!$B$8="出让",SUMPRODUCT(PRODUCT(1+M9:$M$24)),SUMPRODUCT(PRODUCT(1+M9:$M$23))),4)</f>
        <v>1.0003</v>
      </c>
      <c r="U9" s="3183">
        <f>ROUND(IF(项目基本情况!$B$8="出让",SUMPRODUCT(PRODUCT(1+N9:$N$24)),SUMPRODUCT(PRODUCT(1+N9:$N$23))),4)</f>
        <v>1.0561</v>
      </c>
      <c r="V9" s="3183">
        <f>ROUND(IF(项目基本情况!$B$8="出让",SUMPRODUCT(PRODUCT(1+O9:$O$24)),SUMPRODUCT(PRODUCT(1+O9:$O$23))),4)</f>
        <v>1.0827</v>
      </c>
      <c r="W9" s="3183">
        <f t="shared" si="11"/>
        <v>1.0003</v>
      </c>
      <c r="X9" s="3181"/>
      <c r="Y9" s="3184">
        <f t="shared" si="12"/>
        <v>2.8999999999999998E-3</v>
      </c>
      <c r="Z9" s="3184">
        <f t="shared" ref="Z9" si="71">IF(E9=0,0,ROUND(AVERAGE(E9:E22)/100,4))</f>
        <v>2.3E-3</v>
      </c>
      <c r="AA9" s="3184">
        <f t="shared" ref="AA9" si="72">IF(F9=0,0,ROUND(AVERAGE(F9:F22)/100,4))</f>
        <v>-2.9999999999999997E-4</v>
      </c>
      <c r="AB9" s="3184">
        <f t="shared" ref="AB9" si="73">IF(G9=0,0,ROUND(AVERAGE(G9:G22)/100,4))</f>
        <v>3.3E-3</v>
      </c>
      <c r="AC9" s="3184">
        <f t="shared" ref="AC9" si="74">IF(H9=0,0,ROUND(AVERAGE(H9:H22)/100,4))</f>
        <v>5.0000000000000001E-3</v>
      </c>
      <c r="AD9" s="3184">
        <f t="shared" ref="AD9" si="75">AA9</f>
        <v>-2.9999999999999997E-4</v>
      </c>
      <c r="AF9" s="3458">
        <f t="shared" si="30"/>
        <v>105.11999999999999</v>
      </c>
      <c r="AG9" s="3458">
        <f t="shared" si="31"/>
        <v>103.98</v>
      </c>
      <c r="AH9" s="3458">
        <f t="shared" si="32"/>
        <v>100.03</v>
      </c>
      <c r="AI9" s="3458">
        <f t="shared" si="33"/>
        <v>105.61</v>
      </c>
      <c r="AJ9" s="3458">
        <f t="shared" si="34"/>
        <v>108.27</v>
      </c>
      <c r="AK9" s="3458">
        <f t="shared" si="35"/>
        <v>100.03</v>
      </c>
      <c r="AM9" s="3458">
        <f t="shared" si="48"/>
        <v>99.383538816253605</v>
      </c>
      <c r="AN9" s="3458">
        <f t="shared" si="49"/>
        <v>101.20071204011386</v>
      </c>
      <c r="AO9" s="3458">
        <f t="shared" si="50"/>
        <v>101.97895256398031</v>
      </c>
      <c r="AP9" s="3458">
        <f t="shared" si="51"/>
        <v>98.80348192955455</v>
      </c>
      <c r="AQ9" s="3458">
        <f t="shared" si="52"/>
        <v>99.412754938790869</v>
      </c>
      <c r="AR9" s="3458">
        <f t="shared" si="53"/>
        <v>101.97895256398031</v>
      </c>
    </row>
    <row r="10" spans="1:44" s="3185" customFormat="1" ht="12.75">
      <c r="A10" s="2205" t="s">
        <v>3382</v>
      </c>
      <c r="B10" s="3177">
        <v>2024</v>
      </c>
      <c r="C10" s="3178">
        <v>3</v>
      </c>
      <c r="D10" s="3179">
        <v>-1.19</v>
      </c>
      <c r="E10" s="3179">
        <v>-0.47</v>
      </c>
      <c r="F10" s="3179">
        <v>-0.28999999999999998</v>
      </c>
      <c r="G10" s="3179">
        <v>-0.74</v>
      </c>
      <c r="H10" s="3179">
        <v>-0.21</v>
      </c>
      <c r="I10" s="3180">
        <f t="shared" ref="I10" si="76">F10</f>
        <v>-0.28999999999999998</v>
      </c>
      <c r="J10" s="3181"/>
      <c r="K10" s="3182">
        <f t="shared" ref="K10" si="77">D10/100</f>
        <v>-1.1899999999999999E-2</v>
      </c>
      <c r="L10" s="3172">
        <f t="shared" ref="L10" si="78">E10/100</f>
        <v>-4.6999999999999993E-3</v>
      </c>
      <c r="M10" s="3172">
        <f t="shared" ref="M10" si="79">F10/100</f>
        <v>-2.8999999999999998E-3</v>
      </c>
      <c r="N10" s="3172">
        <f t="shared" ref="N10" si="80">G10/100</f>
        <v>-7.4000000000000003E-3</v>
      </c>
      <c r="O10" s="3172">
        <f t="shared" ref="O10" si="81">H10/100</f>
        <v>-2.0999999999999999E-3</v>
      </c>
      <c r="P10" s="3172">
        <f t="shared" si="10"/>
        <v>-2.8999999999999998E-3</v>
      </c>
      <c r="Q10" s="3181"/>
      <c r="R10" s="3183">
        <f>ROUND(IF(项目基本情况!$B$8="出让",SUMPRODUCT(PRODUCT(1+K10:$K$24)),SUMPRODUCT(PRODUCT(1+K10:$K$23))),4)</f>
        <v>1.0620000000000001</v>
      </c>
      <c r="S10" s="3183">
        <f>ROUND(IF(项目基本情况!$B$8="出让",SUMPRODUCT(PRODUCT(1+L10:$L$24)),SUMPRODUCT(PRODUCT(1+L10:$L$23))),4)</f>
        <v>1.0448</v>
      </c>
      <c r="T10" s="3183">
        <f>ROUND(IF(项目基本情况!$B$8="出让",SUMPRODUCT(PRODUCT(1+M10:$M$24)),SUMPRODUCT(PRODUCT(1+M10:$M$23))),4)</f>
        <v>1.0079</v>
      </c>
      <c r="U10" s="3183">
        <f>ROUND(IF(项目基本情况!$B$8="出让",SUMPRODUCT(PRODUCT(1+N10:$N$24)),SUMPRODUCT(PRODUCT(1+N10:$N$23))),4)</f>
        <v>1.0672999999999999</v>
      </c>
      <c r="V10" s="3183">
        <f>ROUND(IF(项目基本情况!$B$8="出让",SUMPRODUCT(PRODUCT(1+O10:$O$24)),SUMPRODUCT(PRODUCT(1+O10:$O$23))),4)</f>
        <v>1.0818000000000001</v>
      </c>
      <c r="W10" s="3183">
        <f t="shared" si="11"/>
        <v>1.0079</v>
      </c>
      <c r="X10" s="3181"/>
      <c r="Y10" s="3184">
        <f t="shared" si="12"/>
        <v>4.3E-3</v>
      </c>
      <c r="Z10" s="3184">
        <f t="shared" ref="Z10" si="82">IF(E10=0,0,ROUND(AVERAGE(E10:E23)/100,4))</f>
        <v>3.0999999999999999E-3</v>
      </c>
      <c r="AA10" s="3184">
        <f t="shared" ref="AA10" si="83">IF(F10=0,0,ROUND(AVERAGE(F10:F23)/100,4))</f>
        <v>5.9999999999999995E-4</v>
      </c>
      <c r="AB10" s="3184">
        <f t="shared" ref="AB10" si="84">IF(G10=0,0,ROUND(AVERAGE(G10:G23)/100,4))</f>
        <v>4.7000000000000002E-3</v>
      </c>
      <c r="AC10" s="3184">
        <f t="shared" ref="AC10" si="85">IF(H10=0,0,ROUND(AVERAGE(H10:H23)/100,4))</f>
        <v>5.5999999999999999E-3</v>
      </c>
      <c r="AD10" s="3184">
        <f t="shared" ref="AD10" si="86">AA10</f>
        <v>5.9999999999999995E-4</v>
      </c>
      <c r="AF10" s="3458">
        <f t="shared" si="30"/>
        <v>106.2</v>
      </c>
      <c r="AG10" s="3458">
        <f t="shared" si="31"/>
        <v>104.47999999999999</v>
      </c>
      <c r="AH10" s="3458">
        <f t="shared" si="32"/>
        <v>100.79</v>
      </c>
      <c r="AI10" s="3458">
        <f t="shared" si="33"/>
        <v>106.72999999999999</v>
      </c>
      <c r="AJ10" s="3458">
        <f t="shared" si="34"/>
        <v>108.18</v>
      </c>
      <c r="AK10" s="3458">
        <f t="shared" si="35"/>
        <v>100.79</v>
      </c>
      <c r="AM10" s="3458">
        <f t="shared" si="48"/>
        <v>100.40769732900949</v>
      </c>
      <c r="AN10" s="3458">
        <f t="shared" si="49"/>
        <v>101.68881836828162</v>
      </c>
      <c r="AO10" s="3458">
        <f t="shared" si="50"/>
        <v>102.74957437176857</v>
      </c>
      <c r="AP10" s="3458">
        <f t="shared" si="51"/>
        <v>99.851927164784783</v>
      </c>
      <c r="AQ10" s="3458">
        <f t="shared" si="52"/>
        <v>99.333288308144361</v>
      </c>
      <c r="AR10" s="3458">
        <f t="shared" si="53"/>
        <v>102.74957437176857</v>
      </c>
    </row>
    <row r="11" spans="1:44" s="3185" customFormat="1" ht="12.75">
      <c r="A11" s="3176" t="s">
        <v>3376</v>
      </c>
      <c r="B11" s="3177">
        <v>2024</v>
      </c>
      <c r="C11" s="3178">
        <v>2</v>
      </c>
      <c r="D11" s="3179">
        <v>-0.59</v>
      </c>
      <c r="E11" s="3179">
        <v>-0.21</v>
      </c>
      <c r="F11" s="3179">
        <v>-1.38</v>
      </c>
      <c r="G11" s="3179">
        <v>-1.24</v>
      </c>
      <c r="H11" s="3196">
        <v>0.34</v>
      </c>
      <c r="I11" s="3180">
        <f t="shared" ref="I11:I24" si="87">F11</f>
        <v>-1.38</v>
      </c>
      <c r="J11" s="3181"/>
      <c r="K11" s="3182">
        <f t="shared" ref="K11:O24" si="88">D11/100</f>
        <v>-5.8999999999999999E-3</v>
      </c>
      <c r="L11" s="3172">
        <f t="shared" si="88"/>
        <v>-2.0999999999999999E-3</v>
      </c>
      <c r="M11" s="3172">
        <f t="shared" si="88"/>
        <v>-1.38E-2</v>
      </c>
      <c r="N11" s="3172">
        <f t="shared" si="88"/>
        <v>-1.24E-2</v>
      </c>
      <c r="O11" s="3172">
        <f t="shared" si="88"/>
        <v>3.4000000000000002E-3</v>
      </c>
      <c r="P11" s="3172">
        <f t="shared" si="10"/>
        <v>-1.38E-2</v>
      </c>
      <c r="Q11" s="3181"/>
      <c r="R11" s="3183">
        <f>ROUND(IF(项目基本情况!$B$8="出让",SUMPRODUCT(PRODUCT(1+K11:$K$24)),SUMPRODUCT(PRODUCT(1+K11:$K$23))),4)</f>
        <v>1.0748</v>
      </c>
      <c r="S11" s="3183">
        <f>ROUND(IF(项目基本情况!$B$8="出让",SUMPRODUCT(PRODUCT(1+L11:$L$24)),SUMPRODUCT(PRODUCT(1+L11:$L$23))),4)</f>
        <v>1.0498000000000001</v>
      </c>
      <c r="T11" s="3183">
        <f>ROUND(IF(项目基本情况!$B$8="出让",SUMPRODUCT(PRODUCT(1+M11:$M$24)),SUMPRODUCT(PRODUCT(1+M11:$M$23))),4)</f>
        <v>1.0107999999999999</v>
      </c>
      <c r="U11" s="3183">
        <f>ROUND(IF(项目基本情况!$B$8="出让",SUMPRODUCT(PRODUCT(1+N11:$N$24)),SUMPRODUCT(PRODUCT(1+N11:$N$23))),4)</f>
        <v>1.0752999999999999</v>
      </c>
      <c r="V11" s="3183">
        <f>ROUND(IF(项目基本情况!$B$8="出让",SUMPRODUCT(PRODUCT(1+O11:$O$24)),SUMPRODUCT(PRODUCT(1+O11:$O$23))),4)</f>
        <v>1.0841000000000001</v>
      </c>
      <c r="W11" s="3183">
        <f t="shared" si="11"/>
        <v>1.0107999999999999</v>
      </c>
      <c r="X11" s="3181"/>
      <c r="Y11" s="3184">
        <f t="shared" si="12"/>
        <v>5.8999999999999999E-3</v>
      </c>
      <c r="Z11" s="3184">
        <f t="shared" ref="Z11:AC11" si="89">IF(E11=0,0,ROUND(AVERAGE(E11:E24)/100,4))</f>
        <v>3.5999999999999999E-3</v>
      </c>
      <c r="AA11" s="3184">
        <f t="shared" si="89"/>
        <v>5.9999999999999995E-4</v>
      </c>
      <c r="AB11" s="3184">
        <f t="shared" si="89"/>
        <v>6.0000000000000001E-3</v>
      </c>
      <c r="AC11" s="3184">
        <f t="shared" si="89"/>
        <v>6.0000000000000001E-3</v>
      </c>
      <c r="AD11" s="3184">
        <f t="shared" ref="AD11:AD23" si="90">AA11</f>
        <v>5.9999999999999995E-4</v>
      </c>
      <c r="AF11" s="3458">
        <f t="shared" si="30"/>
        <v>107.48</v>
      </c>
      <c r="AG11" s="3458">
        <f t="shared" si="31"/>
        <v>104.98</v>
      </c>
      <c r="AH11" s="3458">
        <f t="shared" si="32"/>
        <v>101.08</v>
      </c>
      <c r="AI11" s="3458">
        <f t="shared" si="33"/>
        <v>107.52999999999999</v>
      </c>
      <c r="AJ11" s="3458">
        <f t="shared" si="34"/>
        <v>108.41000000000001</v>
      </c>
      <c r="AK11" s="3458">
        <f t="shared" si="35"/>
        <v>101.08</v>
      </c>
      <c r="AM11" s="3458">
        <f t="shared" si="48"/>
        <v>101.61693890194262</v>
      </c>
      <c r="AN11" s="3458">
        <f t="shared" si="49"/>
        <v>102.16901272810371</v>
      </c>
      <c r="AO11" s="3458">
        <f t="shared" si="50"/>
        <v>103.04841477461495</v>
      </c>
      <c r="AP11" s="3458">
        <f t="shared" si="51"/>
        <v>100.59634008138704</v>
      </c>
      <c r="AQ11" s="3458">
        <f t="shared" si="52"/>
        <v>99.542327195254401</v>
      </c>
      <c r="AR11" s="3458">
        <f t="shared" si="53"/>
        <v>103.04841477461495</v>
      </c>
    </row>
    <row r="12" spans="1:44" s="3185" customFormat="1" ht="12.75">
      <c r="A12" s="3176" t="s">
        <v>3375</v>
      </c>
      <c r="B12" s="3177">
        <v>2024</v>
      </c>
      <c r="C12" s="3178">
        <v>1</v>
      </c>
      <c r="D12" s="3179">
        <v>0.08</v>
      </c>
      <c r="E12" s="3179">
        <v>0.46</v>
      </c>
      <c r="F12" s="3179">
        <v>-0.16</v>
      </c>
      <c r="G12" s="3179">
        <v>0.26</v>
      </c>
      <c r="H12" s="3196">
        <v>0.59</v>
      </c>
      <c r="I12" s="3180">
        <f t="shared" si="87"/>
        <v>-0.16</v>
      </c>
      <c r="J12" s="3181"/>
      <c r="K12" s="3182">
        <f t="shared" ref="K12" si="91">D12/100</f>
        <v>8.0000000000000004E-4</v>
      </c>
      <c r="L12" s="3172">
        <f t="shared" ref="L12" si="92">E12/100</f>
        <v>4.5999999999999999E-3</v>
      </c>
      <c r="M12" s="3172">
        <f t="shared" ref="M12" si="93">F12/100</f>
        <v>-1.6000000000000001E-3</v>
      </c>
      <c r="N12" s="3172">
        <f t="shared" ref="N12" si="94">G12/100</f>
        <v>2.5999999999999999E-3</v>
      </c>
      <c r="O12" s="3172">
        <f t="shared" ref="O12" si="95">H12/100</f>
        <v>5.8999999999999999E-3</v>
      </c>
      <c r="P12" s="3172">
        <f t="shared" ref="P12" si="96">M12</f>
        <v>-1.6000000000000001E-3</v>
      </c>
      <c r="Q12" s="3181"/>
      <c r="R12" s="3183">
        <f>ROUND(IF(项目基本情况!$B$8="出让",SUMPRODUCT(PRODUCT(1+K12:$K$24)),SUMPRODUCT(PRODUCT(1+K12:$K$23))),4)</f>
        <v>1.0811999999999999</v>
      </c>
      <c r="S12" s="3183">
        <f>ROUND(IF(项目基本情况!$B$8="出让",SUMPRODUCT(PRODUCT(1+L12:$L$24)),SUMPRODUCT(PRODUCT(1+L12:$L$23))),4)</f>
        <v>1.052</v>
      </c>
      <c r="T12" s="3183">
        <f>ROUND(IF(项目基本情况!$B$8="出让",SUMPRODUCT(PRODUCT(1+M12:$M$24)),SUMPRODUCT(PRODUCT(1+M12:$M$23))),4)</f>
        <v>1.0249999999999999</v>
      </c>
      <c r="U12" s="3183">
        <f>ROUND(IF(项目基本情况!$B$8="出让",SUMPRODUCT(PRODUCT(1+N12:$N$24)),SUMPRODUCT(PRODUCT(1+N12:$N$23))),4)</f>
        <v>1.0888</v>
      </c>
      <c r="V12" s="3183">
        <f>ROUND(IF(项目基本情况!$B$8="出让",SUMPRODUCT(PRODUCT(1+O12:$O$24)),SUMPRODUCT(PRODUCT(1+O12:$O$23))),4)</f>
        <v>1.0804</v>
      </c>
      <c r="W12" s="3183">
        <f t="shared" ref="W12" si="97">T12</f>
        <v>1.0249999999999999</v>
      </c>
      <c r="X12" s="3181"/>
      <c r="Y12" s="3184"/>
      <c r="Z12" s="3184"/>
      <c r="AA12" s="3184"/>
      <c r="AB12" s="3184"/>
      <c r="AC12" s="3184"/>
      <c r="AD12" s="3184"/>
      <c r="AF12" s="3458">
        <f t="shared" si="30"/>
        <v>108.11999999999999</v>
      </c>
      <c r="AG12" s="3458">
        <f t="shared" si="31"/>
        <v>105.2</v>
      </c>
      <c r="AH12" s="3458">
        <f t="shared" si="32"/>
        <v>102.49999999999999</v>
      </c>
      <c r="AI12" s="3458">
        <f t="shared" si="33"/>
        <v>108.88</v>
      </c>
      <c r="AJ12" s="3458">
        <f t="shared" si="34"/>
        <v>108.04</v>
      </c>
      <c r="AK12" s="3458">
        <f t="shared" si="35"/>
        <v>102.49999999999999</v>
      </c>
      <c r="AM12" s="3458">
        <f t="shared" si="48"/>
        <v>102.22003712095626</v>
      </c>
      <c r="AN12" s="3458">
        <f t="shared" si="49"/>
        <v>102.38401916835726</v>
      </c>
      <c r="AO12" s="3458">
        <f t="shared" si="50"/>
        <v>104.49038204686165</v>
      </c>
      <c r="AP12" s="3458">
        <f t="shared" si="51"/>
        <v>101.85939659921733</v>
      </c>
      <c r="AQ12" s="3458">
        <f t="shared" si="52"/>
        <v>99.205030092938401</v>
      </c>
      <c r="AR12" s="3458">
        <f t="shared" si="53"/>
        <v>104.49038204686165</v>
      </c>
    </row>
    <row r="13" spans="1:44" s="3185" customFormat="1" ht="12.75">
      <c r="A13" s="3176" t="s">
        <v>3371</v>
      </c>
      <c r="B13" s="3177">
        <v>2023</v>
      </c>
      <c r="C13" s="3178">
        <v>4</v>
      </c>
      <c r="D13" s="3179">
        <v>0.19</v>
      </c>
      <c r="E13" s="3179">
        <v>0.24</v>
      </c>
      <c r="F13" s="3179">
        <v>-0.16</v>
      </c>
      <c r="G13" s="3179">
        <v>0.17</v>
      </c>
      <c r="H13" s="3196">
        <v>0.61</v>
      </c>
      <c r="I13" s="3180">
        <f>F13</f>
        <v>-0.16</v>
      </c>
      <c r="J13" s="3181"/>
      <c r="K13" s="3182">
        <f t="shared" si="88"/>
        <v>1.9E-3</v>
      </c>
      <c r="L13" s="3172">
        <f t="shared" si="88"/>
        <v>2.3999999999999998E-3</v>
      </c>
      <c r="M13" s="3172">
        <f t="shared" si="88"/>
        <v>-1.6000000000000001E-3</v>
      </c>
      <c r="N13" s="3172">
        <f t="shared" si="88"/>
        <v>1.7000000000000001E-3</v>
      </c>
      <c r="O13" s="3172">
        <f t="shared" si="88"/>
        <v>6.0999999999999995E-3</v>
      </c>
      <c r="P13" s="3172">
        <f t="shared" ref="P13" si="98">M13</f>
        <v>-1.6000000000000001E-3</v>
      </c>
      <c r="Q13" s="3181"/>
      <c r="R13" s="3183">
        <f>ROUND(IF(项目基本情况!$B$8="出让",SUMPRODUCT(PRODUCT(1+K13:$K$24)),SUMPRODUCT(PRODUCT(1+K13:$K$23))),4)</f>
        <v>1.0804</v>
      </c>
      <c r="S13" s="3183">
        <f>ROUND(IF(项目基本情况!$B$8="出让",SUMPRODUCT(PRODUCT(1+L13:$L$24)),SUMPRODUCT(PRODUCT(1+L13:$L$23))),4)</f>
        <v>1.0471999999999999</v>
      </c>
      <c r="T13" s="3183">
        <f>ROUND(IF(项目基本情况!$B$8="出让",SUMPRODUCT(PRODUCT(1+M13:$M$24)),SUMPRODUCT(PRODUCT(1+M13:$M$23))),4)</f>
        <v>1.0266</v>
      </c>
      <c r="U13" s="3183">
        <f>ROUND(IF(项目基本情况!$B$8="出让",SUMPRODUCT(PRODUCT(1+N13:$N$24)),SUMPRODUCT(PRODUCT(1+N13:$N$23))),4)</f>
        <v>1.0859000000000001</v>
      </c>
      <c r="V13" s="3183">
        <f>ROUND(IF(项目基本情况!$B$8="出让",SUMPRODUCT(PRODUCT(1+O13:$O$24)),SUMPRODUCT(PRODUCT(1+O13:$O$23))),4)</f>
        <v>1.0741000000000001</v>
      </c>
      <c r="W13" s="3183">
        <f t="shared" ref="W13" si="99">T13</f>
        <v>1.0266</v>
      </c>
      <c r="X13" s="3181"/>
      <c r="Y13" s="3184"/>
      <c r="Z13" s="3184"/>
      <c r="AA13" s="3184"/>
      <c r="AB13" s="3184"/>
      <c r="AC13" s="3184"/>
      <c r="AD13" s="3184"/>
      <c r="AF13" s="3458">
        <f t="shared" si="30"/>
        <v>108.04</v>
      </c>
      <c r="AG13" s="3458">
        <f t="shared" si="31"/>
        <v>104.71999999999998</v>
      </c>
      <c r="AH13" s="3458">
        <f t="shared" si="32"/>
        <v>102.66</v>
      </c>
      <c r="AI13" s="3458">
        <f t="shared" si="33"/>
        <v>108.59</v>
      </c>
      <c r="AJ13" s="3458">
        <f t="shared" si="34"/>
        <v>107.41000000000001</v>
      </c>
      <c r="AK13" s="3458">
        <f t="shared" si="35"/>
        <v>102.66</v>
      </c>
      <c r="AM13" s="3458">
        <f t="shared" si="48"/>
        <v>102.13832645978844</v>
      </c>
      <c r="AN13" s="3458">
        <f t="shared" si="49"/>
        <v>101.91520920600962</v>
      </c>
      <c r="AO13" s="3458">
        <f t="shared" si="50"/>
        <v>104.65783458219317</v>
      </c>
      <c r="AP13" s="3458">
        <f t="shared" si="51"/>
        <v>101.5952489519423</v>
      </c>
      <c r="AQ13" s="3458">
        <f t="shared" si="52"/>
        <v>98.623153487362956</v>
      </c>
      <c r="AR13" s="3458">
        <f t="shared" si="53"/>
        <v>104.65783458219317</v>
      </c>
    </row>
    <row r="14" spans="1:44" s="3185" customFormat="1" ht="12.75">
      <c r="A14" s="3176" t="s">
        <v>3370</v>
      </c>
      <c r="B14" s="3177">
        <v>2023</v>
      </c>
      <c r="C14" s="3178">
        <v>3</v>
      </c>
      <c r="D14" s="3179">
        <v>0.25</v>
      </c>
      <c r="E14" s="3179">
        <v>0.5</v>
      </c>
      <c r="F14" s="3179">
        <v>0.31</v>
      </c>
      <c r="G14" s="3179">
        <v>0.21</v>
      </c>
      <c r="H14" s="3196">
        <v>0.43</v>
      </c>
      <c r="I14" s="3180">
        <f t="shared" si="87"/>
        <v>0.31</v>
      </c>
      <c r="J14" s="3181"/>
      <c r="K14" s="3182">
        <f t="shared" ref="K14:K16" si="100">D14/100</f>
        <v>2.5000000000000001E-3</v>
      </c>
      <c r="L14" s="3172">
        <f t="shared" ref="L14:L16" si="101">E14/100</f>
        <v>5.0000000000000001E-3</v>
      </c>
      <c r="M14" s="3172">
        <f t="shared" ref="M14:M16" si="102">F14/100</f>
        <v>3.0999999999999999E-3</v>
      </c>
      <c r="N14" s="3172">
        <f t="shared" ref="N14:N16" si="103">G14/100</f>
        <v>2.0999999999999999E-3</v>
      </c>
      <c r="O14" s="3172">
        <f t="shared" ref="O14:O16" si="104">H14/100</f>
        <v>4.3E-3</v>
      </c>
      <c r="P14" s="3172">
        <f t="shared" ref="P14:P16" si="105">M14</f>
        <v>3.0999999999999999E-3</v>
      </c>
      <c r="Q14" s="3181"/>
      <c r="R14" s="3183">
        <f>ROUND(IF(项目基本情况!$B$8="出让",SUMPRODUCT(PRODUCT(1+K14:$K$24)),SUMPRODUCT(PRODUCT(1+K14:$K$23))),4)</f>
        <v>1.0783</v>
      </c>
      <c r="S14" s="3183">
        <f>ROUND(IF(项目基本情况!$B$8="出让",SUMPRODUCT(PRODUCT(1+L14:$L$24)),SUMPRODUCT(PRODUCT(1+L14:$L$23))),4)</f>
        <v>1.0447</v>
      </c>
      <c r="T14" s="3183">
        <f>ROUND(IF(项目基本情况!$B$8="出让",SUMPRODUCT(PRODUCT(1+M14:$M$24)),SUMPRODUCT(PRODUCT(1+M14:$M$23))),4)</f>
        <v>1.0282</v>
      </c>
      <c r="U14" s="3183">
        <f>ROUND(IF(项目基本情况!$B$8="出让",SUMPRODUCT(PRODUCT(1+N14:$N$24)),SUMPRODUCT(PRODUCT(1+N14:$N$23))),4)</f>
        <v>1.0841000000000001</v>
      </c>
      <c r="V14" s="3183">
        <f>ROUND(IF(项目基本情况!$B$8="出让",SUMPRODUCT(PRODUCT(1+O14:$O$24)),SUMPRODUCT(PRODUCT(1+O14:$O$23))),4)</f>
        <v>1.0674999999999999</v>
      </c>
      <c r="W14" s="3183">
        <f t="shared" ref="W14:W15" si="106">T14</f>
        <v>1.0282</v>
      </c>
      <c r="X14" s="3181"/>
      <c r="Y14" s="3184"/>
      <c r="Z14" s="3184"/>
      <c r="AA14" s="3184"/>
      <c r="AB14" s="3184"/>
      <c r="AC14" s="3184"/>
      <c r="AD14" s="3184"/>
      <c r="AF14" s="3458">
        <f t="shared" si="30"/>
        <v>107.83</v>
      </c>
      <c r="AG14" s="3458">
        <f t="shared" si="31"/>
        <v>104.47</v>
      </c>
      <c r="AH14" s="3458">
        <f t="shared" si="32"/>
        <v>102.82</v>
      </c>
      <c r="AI14" s="3458">
        <f t="shared" si="33"/>
        <v>108.41000000000001</v>
      </c>
      <c r="AJ14" s="3458">
        <f t="shared" si="34"/>
        <v>106.74999999999999</v>
      </c>
      <c r="AK14" s="3458">
        <f t="shared" si="35"/>
        <v>102.82</v>
      </c>
      <c r="AM14" s="3458">
        <f t="shared" si="48"/>
        <v>101.94463165963514</v>
      </c>
      <c r="AN14" s="3458">
        <f t="shared" si="49"/>
        <v>101.67119833001759</v>
      </c>
      <c r="AO14" s="3458">
        <f t="shared" si="50"/>
        <v>104.8255554709467</v>
      </c>
      <c r="AP14" s="3458">
        <f t="shared" si="51"/>
        <v>101.4228301407031</v>
      </c>
      <c r="AQ14" s="3458">
        <f t="shared" si="52"/>
        <v>98.025199768773433</v>
      </c>
      <c r="AR14" s="3458">
        <f t="shared" si="53"/>
        <v>104.8255554709467</v>
      </c>
    </row>
    <row r="15" spans="1:44" s="3185" customFormat="1" ht="12.75">
      <c r="A15" s="3176" t="s">
        <v>3368</v>
      </c>
      <c r="B15" s="3177">
        <v>2023</v>
      </c>
      <c r="C15" s="3178">
        <v>2</v>
      </c>
      <c r="D15" s="3179">
        <v>0.91</v>
      </c>
      <c r="E15" s="3179">
        <v>0.66</v>
      </c>
      <c r="F15" s="3179">
        <v>0.47</v>
      </c>
      <c r="G15" s="3179">
        <v>0.96</v>
      </c>
      <c r="H15" s="3196">
        <v>0.71</v>
      </c>
      <c r="I15" s="3180">
        <f t="shared" si="87"/>
        <v>0.47</v>
      </c>
      <c r="J15" s="3181"/>
      <c r="K15" s="3182">
        <f t="shared" si="100"/>
        <v>9.1000000000000004E-3</v>
      </c>
      <c r="L15" s="3172">
        <f t="shared" si="101"/>
        <v>6.6E-3</v>
      </c>
      <c r="M15" s="3172">
        <f t="shared" si="102"/>
        <v>4.6999999999999993E-3</v>
      </c>
      <c r="N15" s="3172">
        <f t="shared" si="103"/>
        <v>9.5999999999999992E-3</v>
      </c>
      <c r="O15" s="3172">
        <f t="shared" si="104"/>
        <v>7.0999999999999995E-3</v>
      </c>
      <c r="P15" s="3172">
        <f t="shared" si="105"/>
        <v>4.6999999999999993E-3</v>
      </c>
      <c r="Q15" s="3181"/>
      <c r="R15" s="3183">
        <f>ROUND(IF(项目基本情况!$B$8="出让",SUMPRODUCT(PRODUCT(1+K15:$K$24)),SUMPRODUCT(PRODUCT(1+K15:$K$23))),4)</f>
        <v>1.0755999999999999</v>
      </c>
      <c r="S15" s="3183">
        <f>ROUND(IF(项目基本情况!$B$8="出让",SUMPRODUCT(PRODUCT(1+L15:$L$24)),SUMPRODUCT(PRODUCT(1+L15:$L$23))),4)</f>
        <v>1.0395000000000001</v>
      </c>
      <c r="T15" s="3183">
        <f>ROUND(IF(项目基本情况!$B$8="出让",SUMPRODUCT(PRODUCT(1+M15:$M$24)),SUMPRODUCT(PRODUCT(1+M15:$M$23))),4)</f>
        <v>1.0250999999999999</v>
      </c>
      <c r="U15" s="3183">
        <f>ROUND(IF(项目基本情况!$B$8="出让",SUMPRODUCT(PRODUCT(1+N15:$N$24)),SUMPRODUCT(PRODUCT(1+N15:$N$23))),4)</f>
        <v>1.0818000000000001</v>
      </c>
      <c r="V15" s="3183">
        <f>ROUND(IF(项目基本情况!$B$8="出让",SUMPRODUCT(PRODUCT(1+O15:$O$24)),SUMPRODUCT(PRODUCT(1+O15:$O$23))),4)</f>
        <v>1.0629999999999999</v>
      </c>
      <c r="W15" s="3183">
        <f t="shared" si="106"/>
        <v>1.0250999999999999</v>
      </c>
      <c r="X15" s="3181"/>
      <c r="Y15" s="3184"/>
      <c r="Z15" s="3184"/>
      <c r="AA15" s="3184"/>
      <c r="AB15" s="3184"/>
      <c r="AC15" s="3184"/>
      <c r="AD15" s="3184"/>
      <c r="AF15" s="3458">
        <f t="shared" si="30"/>
        <v>107.55999999999999</v>
      </c>
      <c r="AG15" s="3458">
        <f t="shared" si="31"/>
        <v>103.95</v>
      </c>
      <c r="AH15" s="3458">
        <f t="shared" si="32"/>
        <v>102.50999999999999</v>
      </c>
      <c r="AI15" s="3458">
        <f t="shared" si="33"/>
        <v>108.18</v>
      </c>
      <c r="AJ15" s="3458">
        <f t="shared" si="34"/>
        <v>106.3</v>
      </c>
      <c r="AK15" s="3458">
        <f t="shared" si="35"/>
        <v>102.50999999999999</v>
      </c>
      <c r="AM15" s="3458">
        <f t="shared" si="48"/>
        <v>101.69040564552134</v>
      </c>
      <c r="AN15" s="3458">
        <f t="shared" si="49"/>
        <v>101.16537147265433</v>
      </c>
      <c r="AO15" s="3458">
        <f t="shared" si="50"/>
        <v>104.50160050936765</v>
      </c>
      <c r="AP15" s="3458">
        <f t="shared" si="51"/>
        <v>101.21028853478006</v>
      </c>
      <c r="AQ15" s="3458">
        <f t="shared" si="52"/>
        <v>97.605496135391249</v>
      </c>
      <c r="AR15" s="3458">
        <f t="shared" si="53"/>
        <v>104.50160050936765</v>
      </c>
    </row>
    <row r="16" spans="1:44" s="3185" customFormat="1" ht="12.75">
      <c r="A16" s="3176" t="s">
        <v>3367</v>
      </c>
      <c r="B16" s="3177">
        <v>2023</v>
      </c>
      <c r="C16" s="3178">
        <v>1</v>
      </c>
      <c r="D16" s="3179">
        <v>0.89</v>
      </c>
      <c r="E16" s="3179">
        <v>0.74</v>
      </c>
      <c r="F16" s="3179">
        <v>0.56999999999999995</v>
      </c>
      <c r="G16" s="3179">
        <v>0.92</v>
      </c>
      <c r="H16" s="3196">
        <v>0.5</v>
      </c>
      <c r="I16" s="3180">
        <f t="shared" si="87"/>
        <v>0.56999999999999995</v>
      </c>
      <c r="J16" s="3181"/>
      <c r="K16" s="3182">
        <f t="shared" si="100"/>
        <v>8.8999999999999999E-3</v>
      </c>
      <c r="L16" s="3172">
        <f t="shared" si="101"/>
        <v>7.4000000000000003E-3</v>
      </c>
      <c r="M16" s="3172">
        <f t="shared" si="102"/>
        <v>5.6999999999999993E-3</v>
      </c>
      <c r="N16" s="3172">
        <f t="shared" si="103"/>
        <v>9.1999999999999998E-3</v>
      </c>
      <c r="O16" s="3172">
        <f t="shared" si="104"/>
        <v>5.0000000000000001E-3</v>
      </c>
      <c r="P16" s="3172">
        <f t="shared" si="105"/>
        <v>5.6999999999999993E-3</v>
      </c>
      <c r="Q16" s="3181"/>
      <c r="R16" s="3183">
        <f>ROUND(IF(项目基本情况!$B$8="出让",SUMPRODUCT(PRODUCT(1+K16:$K$24)),SUMPRODUCT(PRODUCT(1+K16:$K$23))),4)</f>
        <v>1.0659000000000001</v>
      </c>
      <c r="S16" s="3183">
        <f>ROUND(IF(项目基本情况!$B$8="出让",SUMPRODUCT(PRODUCT(1+L16:$L$24)),SUMPRODUCT(PRODUCT(1+L16:$L$23))),4)</f>
        <v>1.0326</v>
      </c>
      <c r="T16" s="3183">
        <f>ROUND(IF(项目基本情况!$B$8="出让",SUMPRODUCT(PRODUCT(1+M16:$M$24)),SUMPRODUCT(PRODUCT(1+M16:$M$23))),4)</f>
        <v>1.0203</v>
      </c>
      <c r="U16" s="3183">
        <f>ROUND(IF(项目基本情况!$B$8="出让",SUMPRODUCT(PRODUCT(1+N16:$N$24)),SUMPRODUCT(PRODUCT(1+N16:$N$23))),4)</f>
        <v>1.0714999999999999</v>
      </c>
      <c r="V16" s="3183">
        <f>ROUND(IF(项目基本情况!$B$8="出让",SUMPRODUCT(PRODUCT(1+O16:$O$24)),SUMPRODUCT(PRODUCT(1+O16:$O$23))),4)</f>
        <v>1.0555000000000001</v>
      </c>
      <c r="W16" s="3183">
        <f t="shared" ref="W16:W23" si="107">T16</f>
        <v>1.0203</v>
      </c>
      <c r="X16" s="3181"/>
      <c r="Y16" s="3184"/>
      <c r="Z16" s="3184"/>
      <c r="AA16" s="3184"/>
      <c r="AB16" s="3184"/>
      <c r="AC16" s="3184"/>
      <c r="AD16" s="3184"/>
      <c r="AF16" s="3458">
        <f t="shared" si="30"/>
        <v>106.59</v>
      </c>
      <c r="AG16" s="3458">
        <f t="shared" si="31"/>
        <v>103.25999999999999</v>
      </c>
      <c r="AH16" s="3458">
        <f t="shared" si="32"/>
        <v>102.03</v>
      </c>
      <c r="AI16" s="3458">
        <f t="shared" si="33"/>
        <v>107.14999999999999</v>
      </c>
      <c r="AJ16" s="3458">
        <f t="shared" si="34"/>
        <v>105.55000000000001</v>
      </c>
      <c r="AK16" s="3458">
        <f t="shared" si="35"/>
        <v>102.03</v>
      </c>
      <c r="AM16" s="3458">
        <f t="shared" si="48"/>
        <v>100.77336799675089</v>
      </c>
      <c r="AN16" s="3458">
        <f t="shared" si="49"/>
        <v>100.50205789057652</v>
      </c>
      <c r="AO16" s="3458">
        <f t="shared" si="50"/>
        <v>104.01274062841411</v>
      </c>
      <c r="AP16" s="3458">
        <f t="shared" si="51"/>
        <v>100.24790861210386</v>
      </c>
      <c r="AQ16" s="3458">
        <f t="shared" si="52"/>
        <v>96.917382718092782</v>
      </c>
      <c r="AR16" s="3458">
        <f t="shared" si="53"/>
        <v>104.01274062841411</v>
      </c>
    </row>
    <row r="17" spans="1:44" s="3185" customFormat="1" ht="12.75">
      <c r="A17" s="3176" t="s">
        <v>3366</v>
      </c>
      <c r="B17" s="3177">
        <v>2022</v>
      </c>
      <c r="C17" s="3178">
        <v>4</v>
      </c>
      <c r="D17" s="3179">
        <v>0.62</v>
      </c>
      <c r="E17" s="3179">
        <v>0.2</v>
      </c>
      <c r="F17" s="3179">
        <v>0.11</v>
      </c>
      <c r="G17" s="3179">
        <v>0.69</v>
      </c>
      <c r="H17" s="3196">
        <v>0.53</v>
      </c>
      <c r="I17" s="3180">
        <f t="shared" si="87"/>
        <v>0.11</v>
      </c>
      <c r="J17" s="3181"/>
      <c r="K17" s="3182">
        <f t="shared" si="88"/>
        <v>6.1999999999999998E-3</v>
      </c>
      <c r="L17" s="3172">
        <f t="shared" si="88"/>
        <v>2E-3</v>
      </c>
      <c r="M17" s="3172">
        <f t="shared" si="88"/>
        <v>1.1000000000000001E-3</v>
      </c>
      <c r="N17" s="3172">
        <f t="shared" si="88"/>
        <v>6.8999999999999999E-3</v>
      </c>
      <c r="O17" s="3172">
        <f t="shared" si="88"/>
        <v>5.3E-3</v>
      </c>
      <c r="P17" s="3172">
        <f t="shared" ref="P17:P24" si="108">M17</f>
        <v>1.1000000000000001E-3</v>
      </c>
      <c r="Q17" s="3181"/>
      <c r="R17" s="3183">
        <f>ROUND(IF(项目基本情况!$B$8="出让",SUMPRODUCT(PRODUCT(1+K17:$K$24)),SUMPRODUCT(PRODUCT(1+K17:$K$23))),4)</f>
        <v>1.0565</v>
      </c>
      <c r="S17" s="3183">
        <f>ROUND(IF(项目基本情况!$B$8="出让",SUMPRODUCT(PRODUCT(1+L17:$L$24)),SUMPRODUCT(PRODUCT(1+L17:$L$23))),4)</f>
        <v>1.0250999999999999</v>
      </c>
      <c r="T17" s="3183">
        <f>ROUND(IF(项目基本情况!$B$8="出让",SUMPRODUCT(PRODUCT(1+M17:$M$24)),SUMPRODUCT(PRODUCT(1+M17:$M$23))),4)</f>
        <v>1.0145</v>
      </c>
      <c r="U17" s="3183">
        <f>ROUND(IF(项目基本情况!$B$8="出让",SUMPRODUCT(PRODUCT(1+N17:$N$24)),SUMPRODUCT(PRODUCT(1+N17:$N$23))),4)</f>
        <v>1.0618000000000001</v>
      </c>
      <c r="V17" s="3183">
        <f>ROUND(IF(项目基本情况!$B$8="出让",SUMPRODUCT(PRODUCT(1+O17:$O$24)),SUMPRODUCT(PRODUCT(1+O17:$O$23))),4)</f>
        <v>1.0502</v>
      </c>
      <c r="W17" s="3183">
        <f t="shared" si="107"/>
        <v>1.0145</v>
      </c>
      <c r="X17" s="3181"/>
      <c r="Y17" s="3184">
        <f>IF(D17=0,0,ROUND(AVERAGE(D17:D25)/100,4))</f>
        <v>8.0999999999999996E-3</v>
      </c>
      <c r="Z17" s="3184">
        <f t="shared" ref="Z17:AC17" si="109">IF(E17=0,0,ROUND(AVERAGE(E17:E24)/100,4))</f>
        <v>3.3E-3</v>
      </c>
      <c r="AA17" s="3184">
        <f t="shared" si="109"/>
        <v>1.5E-3</v>
      </c>
      <c r="AB17" s="3184">
        <f t="shared" si="109"/>
        <v>8.8999999999999999E-3</v>
      </c>
      <c r="AC17" s="3184">
        <f t="shared" si="109"/>
        <v>6.6E-3</v>
      </c>
      <c r="AD17" s="3184">
        <f t="shared" si="90"/>
        <v>1.5E-3</v>
      </c>
      <c r="AF17" s="3458">
        <f t="shared" si="30"/>
        <v>105.65</v>
      </c>
      <c r="AG17" s="3458">
        <f t="shared" si="31"/>
        <v>102.50999999999999</v>
      </c>
      <c r="AH17" s="3458">
        <f t="shared" si="32"/>
        <v>101.44999999999999</v>
      </c>
      <c r="AI17" s="3458">
        <f t="shared" si="33"/>
        <v>106.18</v>
      </c>
      <c r="AJ17" s="3458">
        <f t="shared" si="34"/>
        <v>105.02</v>
      </c>
      <c r="AK17" s="3458">
        <f t="shared" si="35"/>
        <v>101.44999999999999</v>
      </c>
      <c r="AM17" s="3458">
        <f t="shared" si="48"/>
        <v>99.884396864655471</v>
      </c>
      <c r="AN17" s="3458">
        <f t="shared" si="49"/>
        <v>99.763805728187918</v>
      </c>
      <c r="AO17" s="3458">
        <f t="shared" si="50"/>
        <v>103.42322822751726</v>
      </c>
      <c r="AP17" s="3458">
        <f t="shared" si="51"/>
        <v>99.334035485635994</v>
      </c>
      <c r="AQ17" s="3458">
        <f t="shared" si="52"/>
        <v>96.435206684669438</v>
      </c>
      <c r="AR17" s="3458">
        <f t="shared" si="53"/>
        <v>103.42322822751726</v>
      </c>
    </row>
    <row r="18" spans="1:44" s="3185" customFormat="1" ht="12.75">
      <c r="A18" s="3176" t="s">
        <v>3364</v>
      </c>
      <c r="B18" s="3177">
        <v>2022</v>
      </c>
      <c r="C18" s="3178">
        <v>3</v>
      </c>
      <c r="D18" s="3179">
        <v>0.66</v>
      </c>
      <c r="E18" s="3179">
        <v>0.32</v>
      </c>
      <c r="F18" s="3179">
        <v>0.23</v>
      </c>
      <c r="G18" s="3179">
        <v>0.72</v>
      </c>
      <c r="H18" s="3196">
        <v>0.63</v>
      </c>
      <c r="I18" s="3180">
        <f t="shared" si="87"/>
        <v>0.23</v>
      </c>
      <c r="J18" s="3181"/>
      <c r="K18" s="3182">
        <f t="shared" si="88"/>
        <v>6.6E-3</v>
      </c>
      <c r="L18" s="3172">
        <f t="shared" si="88"/>
        <v>3.2000000000000002E-3</v>
      </c>
      <c r="M18" s="3172">
        <f t="shared" si="88"/>
        <v>2.3E-3</v>
      </c>
      <c r="N18" s="3172">
        <f t="shared" si="88"/>
        <v>7.1999999999999998E-3</v>
      </c>
      <c r="O18" s="3172">
        <f t="shared" si="88"/>
        <v>6.3E-3</v>
      </c>
      <c r="P18" s="3172">
        <f t="shared" si="108"/>
        <v>2.3E-3</v>
      </c>
      <c r="Q18" s="3181"/>
      <c r="R18" s="3183">
        <f>ROUND(IF(项目基本情况!$B$8="出让",SUMPRODUCT(PRODUCT(1+K18:$K$24)),SUMPRODUCT(PRODUCT(1+K18:$K$23))),4)</f>
        <v>1.05</v>
      </c>
      <c r="S18" s="3183">
        <f>ROUND(IF(项目基本情况!$B$8="出让",SUMPRODUCT(PRODUCT(1+L18:$L$24)),SUMPRODUCT(PRODUCT(1+L18:$L$23))),4)</f>
        <v>1.0229999999999999</v>
      </c>
      <c r="T18" s="3183">
        <f>ROUND(IF(项目基本情况!$B$8="出让",SUMPRODUCT(PRODUCT(1+M18:$M$24)),SUMPRODUCT(PRODUCT(1+M18:$M$23))),4)</f>
        <v>1.0134000000000001</v>
      </c>
      <c r="U18" s="3183">
        <f>ROUND(IF(项目基本情况!$B$8="出让",SUMPRODUCT(PRODUCT(1+N18:$N$24)),SUMPRODUCT(PRODUCT(1+N18:$N$23))),4)</f>
        <v>1.0545</v>
      </c>
      <c r="V18" s="3183">
        <f>ROUND(IF(项目基本情况!$B$8="出让",SUMPRODUCT(PRODUCT(1+O18:$O$24)),SUMPRODUCT(PRODUCT(1+O18:$O$23))),4)</f>
        <v>1.0447</v>
      </c>
      <c r="W18" s="3183">
        <f t="shared" si="107"/>
        <v>1.0134000000000001</v>
      </c>
      <c r="X18" s="3181"/>
      <c r="Y18" s="3184">
        <f>IF(D18=0,0,ROUND(AVERAGE(D18:D24)/100,4))</f>
        <v>8.3999999999999995E-3</v>
      </c>
      <c r="Z18" s="3184">
        <f t="shared" ref="Z18:AC18" si="110">IF(E18=0,0,ROUND(AVERAGE(E18:E24)/100,4))</f>
        <v>3.5000000000000001E-3</v>
      </c>
      <c r="AA18" s="3184">
        <f t="shared" si="110"/>
        <v>1.5E-3</v>
      </c>
      <c r="AB18" s="3184">
        <f t="shared" si="110"/>
        <v>9.1999999999999998E-3</v>
      </c>
      <c r="AC18" s="3184">
        <f t="shared" si="110"/>
        <v>6.7999999999999996E-3</v>
      </c>
      <c r="AD18" s="3184">
        <f t="shared" si="90"/>
        <v>1.5E-3</v>
      </c>
      <c r="AF18" s="3458">
        <f t="shared" si="30"/>
        <v>105</v>
      </c>
      <c r="AG18" s="3458">
        <f t="shared" si="31"/>
        <v>102.3</v>
      </c>
      <c r="AH18" s="3458">
        <f t="shared" si="32"/>
        <v>101.34</v>
      </c>
      <c r="AI18" s="3458">
        <f t="shared" si="33"/>
        <v>105.45</v>
      </c>
      <c r="AJ18" s="3458">
        <f t="shared" si="34"/>
        <v>104.47</v>
      </c>
      <c r="AK18" s="3458">
        <f t="shared" si="35"/>
        <v>101.34</v>
      </c>
      <c r="AM18" s="3458">
        <f t="shared" si="48"/>
        <v>99.268929501744651</v>
      </c>
      <c r="AN18" s="3458">
        <f t="shared" si="49"/>
        <v>99.564676375437045</v>
      </c>
      <c r="AO18" s="3458">
        <f t="shared" si="50"/>
        <v>103.30958768106807</v>
      </c>
      <c r="AP18" s="3458">
        <f t="shared" si="51"/>
        <v>98.653327525708619</v>
      </c>
      <c r="AQ18" s="3458">
        <f t="shared" si="52"/>
        <v>95.926794672903043</v>
      </c>
      <c r="AR18" s="3458">
        <f t="shared" si="53"/>
        <v>103.30958768106807</v>
      </c>
    </row>
    <row r="19" spans="1:44" s="3185" customFormat="1" ht="12.75">
      <c r="A19" s="3176" t="s">
        <v>3355</v>
      </c>
      <c r="B19" s="3177">
        <v>2022</v>
      </c>
      <c r="C19" s="3178">
        <v>2</v>
      </c>
      <c r="D19" s="3179">
        <v>0.93</v>
      </c>
      <c r="E19" s="3179">
        <v>0.15</v>
      </c>
      <c r="F19" s="3179">
        <v>0.01</v>
      </c>
      <c r="G19" s="3179">
        <v>1.05</v>
      </c>
      <c r="H19" s="3196">
        <v>1.08</v>
      </c>
      <c r="I19" s="3180">
        <f t="shared" si="87"/>
        <v>0.01</v>
      </c>
      <c r="J19" s="3181"/>
      <c r="K19" s="3182">
        <f t="shared" si="88"/>
        <v>9.300000000000001E-3</v>
      </c>
      <c r="L19" s="3172">
        <f t="shared" si="88"/>
        <v>1.5E-3</v>
      </c>
      <c r="M19" s="3172">
        <f t="shared" si="88"/>
        <v>1E-4</v>
      </c>
      <c r="N19" s="3172">
        <f t="shared" si="88"/>
        <v>1.0500000000000001E-2</v>
      </c>
      <c r="O19" s="3172">
        <f t="shared" si="88"/>
        <v>1.0800000000000001E-2</v>
      </c>
      <c r="P19" s="3172">
        <f t="shared" si="108"/>
        <v>1E-4</v>
      </c>
      <c r="Q19" s="3181"/>
      <c r="R19" s="3183">
        <f>ROUND(IF(项目基本情况!$B$8="出让",SUMPRODUCT(PRODUCT(1+K19:$K$24)),SUMPRODUCT(PRODUCT(1+K19:$K$23))),4)</f>
        <v>1.0430999999999999</v>
      </c>
      <c r="S19" s="3183">
        <f>ROUND(IF(项目基本情况!$B$8="出让",SUMPRODUCT(PRODUCT(1+L19:$L$24)),SUMPRODUCT(PRODUCT(1+L19:$L$23))),4)</f>
        <v>1.0197000000000001</v>
      </c>
      <c r="T19" s="3183">
        <f>ROUND(IF(项目基本情况!$B$8="出让",SUMPRODUCT(PRODUCT(1+M19:$M$24)),SUMPRODUCT(PRODUCT(1+M19:$M$23))),4)</f>
        <v>1.0109999999999999</v>
      </c>
      <c r="U19" s="3183">
        <f>ROUND(IF(项目基本情况!$B$8="出让",SUMPRODUCT(PRODUCT(1+N19:$N$24)),SUMPRODUCT(PRODUCT(1+N19:$N$23))),4)</f>
        <v>1.0468999999999999</v>
      </c>
      <c r="V19" s="3183">
        <f>ROUND(IF(项目基本情况!$B$8="出让",SUMPRODUCT(PRODUCT(1+O19:$O$24)),SUMPRODUCT(PRODUCT(1+O19:$O$23))),4)</f>
        <v>1.0382</v>
      </c>
      <c r="W19" s="3183">
        <f t="shared" si="107"/>
        <v>1.0109999999999999</v>
      </c>
      <c r="X19" s="3181"/>
      <c r="Y19" s="3184">
        <f>IF(D19=0,0,ROUND(AVERAGE(D19:D24)/100,4))</f>
        <v>8.6999999999999994E-3</v>
      </c>
      <c r="Z19" s="3184">
        <f t="shared" ref="Z19:AC19" si="111">IF(E19=0,0,ROUND(AVERAGE(E19:E24)/100,4))</f>
        <v>3.5000000000000001E-3</v>
      </c>
      <c r="AA19" s="3184">
        <f t="shared" si="111"/>
        <v>1.4E-3</v>
      </c>
      <c r="AB19" s="3184">
        <f t="shared" si="111"/>
        <v>9.4999999999999998E-3</v>
      </c>
      <c r="AC19" s="3184">
        <f t="shared" si="111"/>
        <v>6.8999999999999999E-3</v>
      </c>
      <c r="AD19" s="3184">
        <f t="shared" si="90"/>
        <v>1.4E-3</v>
      </c>
      <c r="AF19" s="3458">
        <f t="shared" si="30"/>
        <v>104.30999999999999</v>
      </c>
      <c r="AG19" s="3458">
        <f t="shared" si="31"/>
        <v>101.97</v>
      </c>
      <c r="AH19" s="3458">
        <f t="shared" si="32"/>
        <v>101.1</v>
      </c>
      <c r="AI19" s="3458">
        <f t="shared" si="33"/>
        <v>104.69</v>
      </c>
      <c r="AJ19" s="3458">
        <f t="shared" si="34"/>
        <v>103.82000000000001</v>
      </c>
      <c r="AK19" s="3458">
        <f t="shared" si="35"/>
        <v>101.1</v>
      </c>
      <c r="AM19" s="3458">
        <f t="shared" si="48"/>
        <v>98.618050369307227</v>
      </c>
      <c r="AN19" s="3458">
        <f t="shared" si="49"/>
        <v>99.247085701193214</v>
      </c>
      <c r="AO19" s="3458">
        <f t="shared" si="50"/>
        <v>103.07252088303709</v>
      </c>
      <c r="AP19" s="3458">
        <f t="shared" si="51"/>
        <v>97.948101197089571</v>
      </c>
      <c r="AQ19" s="3458">
        <f t="shared" si="52"/>
        <v>95.326239364904154</v>
      </c>
      <c r="AR19" s="3458">
        <f t="shared" si="53"/>
        <v>103.07252088303709</v>
      </c>
    </row>
    <row r="20" spans="1:44" s="3185" customFormat="1" ht="12.75">
      <c r="A20" s="3176" t="s">
        <v>2820</v>
      </c>
      <c r="B20" s="3177">
        <v>2022</v>
      </c>
      <c r="C20" s="3178">
        <v>1</v>
      </c>
      <c r="D20" s="3179">
        <v>0.89</v>
      </c>
      <c r="E20" s="3179">
        <v>0.44</v>
      </c>
      <c r="F20" s="3179">
        <v>0.37</v>
      </c>
      <c r="G20" s="3179">
        <v>0.96</v>
      </c>
      <c r="H20" s="3196">
        <v>0.64</v>
      </c>
      <c r="I20" s="3180">
        <f t="shared" si="87"/>
        <v>0.37</v>
      </c>
      <c r="J20" s="3181"/>
      <c r="K20" s="3182">
        <f t="shared" si="88"/>
        <v>8.8999999999999999E-3</v>
      </c>
      <c r="L20" s="3172">
        <f t="shared" si="88"/>
        <v>4.4000000000000003E-3</v>
      </c>
      <c r="M20" s="3172">
        <f t="shared" si="88"/>
        <v>3.7000000000000002E-3</v>
      </c>
      <c r="N20" s="3172">
        <f t="shared" si="88"/>
        <v>9.5999999999999992E-3</v>
      </c>
      <c r="O20" s="3172">
        <f t="shared" si="88"/>
        <v>6.4000000000000003E-3</v>
      </c>
      <c r="P20" s="3172">
        <f t="shared" si="108"/>
        <v>3.7000000000000002E-3</v>
      </c>
      <c r="Q20" s="3181"/>
      <c r="R20" s="3183">
        <f>ROUND(IF(项目基本情况!$B$8="出让",SUMPRODUCT(PRODUCT(1+K20:$K$24)),SUMPRODUCT(PRODUCT(1+K20:$K$23))),4)</f>
        <v>1.0335000000000001</v>
      </c>
      <c r="S20" s="3183">
        <f>ROUND(IF(项目基本情况!$B$8="出让",SUMPRODUCT(PRODUCT(1+L20:$L$24)),SUMPRODUCT(PRODUCT(1+L20:$L$23))),4)</f>
        <v>1.0182</v>
      </c>
      <c r="T20" s="3183">
        <f>ROUND(IF(项目基本情况!$B$8="出让",SUMPRODUCT(PRODUCT(1+M20:$M$24)),SUMPRODUCT(PRODUCT(1+M20:$M$23))),4)</f>
        <v>1.0108999999999999</v>
      </c>
      <c r="U20" s="3183">
        <f>ROUND(IF(项目基本情况!$B$8="出让",SUMPRODUCT(PRODUCT(1+N20:$N$24)),SUMPRODUCT(PRODUCT(1+N20:$N$23))),4)</f>
        <v>1.0361</v>
      </c>
      <c r="V20" s="3183">
        <f>ROUND(IF(项目基本情况!$B$8="出让",SUMPRODUCT(PRODUCT(1+O20:$O$24)),SUMPRODUCT(PRODUCT(1+O20:$O$23))),4)</f>
        <v>1.0270999999999999</v>
      </c>
      <c r="W20" s="3183">
        <f t="shared" si="107"/>
        <v>1.0108999999999999</v>
      </c>
      <c r="X20" s="3181"/>
      <c r="Y20" s="3184">
        <f>IF(D20=0,0,ROUND(AVERAGE(D20:D24)/100,4))</f>
        <v>8.6E-3</v>
      </c>
      <c r="Z20" s="3184">
        <f t="shared" ref="Z20:AC20" si="112">IF(E20=0,0,ROUND(AVERAGE(E20:E24)/100,4))</f>
        <v>3.8999999999999998E-3</v>
      </c>
      <c r="AA20" s="3184">
        <f t="shared" si="112"/>
        <v>1.6999999999999999E-3</v>
      </c>
      <c r="AB20" s="3184">
        <f t="shared" si="112"/>
        <v>9.2999999999999992E-3</v>
      </c>
      <c r="AC20" s="3184">
        <f t="shared" si="112"/>
        <v>6.1000000000000004E-3</v>
      </c>
      <c r="AD20" s="3184">
        <f t="shared" si="90"/>
        <v>1.6999999999999999E-3</v>
      </c>
      <c r="AF20" s="3458">
        <f t="shared" si="30"/>
        <v>103.35000000000001</v>
      </c>
      <c r="AG20" s="3458">
        <f t="shared" si="31"/>
        <v>101.82</v>
      </c>
      <c r="AH20" s="3458">
        <f t="shared" si="32"/>
        <v>101.08999999999999</v>
      </c>
      <c r="AI20" s="3458">
        <f t="shared" si="33"/>
        <v>103.61</v>
      </c>
      <c r="AJ20" s="3458">
        <f t="shared" si="34"/>
        <v>102.71</v>
      </c>
      <c r="AK20" s="3458">
        <f t="shared" si="35"/>
        <v>101.08999999999999</v>
      </c>
      <c r="AM20" s="3458">
        <f t="shared" si="48"/>
        <v>97.709353382846743</v>
      </c>
      <c r="AN20" s="3458">
        <f t="shared" si="49"/>
        <v>99.098438044127022</v>
      </c>
      <c r="AO20" s="3458">
        <f t="shared" si="50"/>
        <v>103.06221466157093</v>
      </c>
      <c r="AP20" s="3458">
        <f t="shared" si="51"/>
        <v>96.930332703700714</v>
      </c>
      <c r="AQ20" s="3458">
        <f t="shared" si="52"/>
        <v>94.307716031761146</v>
      </c>
      <c r="AR20" s="3458">
        <f t="shared" si="53"/>
        <v>103.06221466157093</v>
      </c>
    </row>
    <row r="21" spans="1:44" s="3185" customFormat="1" ht="12.75">
      <c r="A21" s="3176" t="s">
        <v>2821</v>
      </c>
      <c r="B21" s="3177">
        <v>2021</v>
      </c>
      <c r="C21" s="3178">
        <v>4</v>
      </c>
      <c r="D21" s="3179">
        <v>1.03</v>
      </c>
      <c r="E21" s="3179">
        <v>0.24</v>
      </c>
      <c r="F21" s="3179">
        <v>7.0000000000000007E-2</v>
      </c>
      <c r="G21" s="3179">
        <v>1.17</v>
      </c>
      <c r="H21" s="3196">
        <v>0.55000000000000004</v>
      </c>
      <c r="I21" s="3180">
        <f t="shared" si="87"/>
        <v>7.0000000000000007E-2</v>
      </c>
      <c r="J21" s="3181"/>
      <c r="K21" s="3182">
        <f t="shared" si="88"/>
        <v>1.03E-2</v>
      </c>
      <c r="L21" s="3172">
        <f t="shared" si="88"/>
        <v>2.3999999999999998E-3</v>
      </c>
      <c r="M21" s="3172">
        <f t="shared" si="88"/>
        <v>7.000000000000001E-4</v>
      </c>
      <c r="N21" s="3172">
        <f t="shared" si="88"/>
        <v>1.1699999999999999E-2</v>
      </c>
      <c r="O21" s="3172">
        <f t="shared" si="88"/>
        <v>5.5000000000000005E-3</v>
      </c>
      <c r="P21" s="3172">
        <f t="shared" si="108"/>
        <v>7.000000000000001E-4</v>
      </c>
      <c r="Q21" s="3181"/>
      <c r="R21" s="3183">
        <f>ROUND(IF(项目基本情况!$B$8="出让",SUMPRODUCT(PRODUCT(1+K21:$K$24)),SUMPRODUCT(PRODUCT(1+K21:$K$23))),4)</f>
        <v>1.0244</v>
      </c>
      <c r="S21" s="3183">
        <f>ROUND(IF(项目基本情况!$B$8="出让",SUMPRODUCT(PRODUCT(1+L21:$L$24)),SUMPRODUCT(PRODUCT(1+L21:$L$23))),4)</f>
        <v>1.0138</v>
      </c>
      <c r="T21" s="3183">
        <f>ROUND(IF(项目基本情况!$B$8="出让",SUMPRODUCT(PRODUCT(1+M21:$M$24)),SUMPRODUCT(PRODUCT(1+M21:$M$23))),4)</f>
        <v>1.0072000000000001</v>
      </c>
      <c r="U21" s="3183">
        <f>ROUND(IF(项目基本情况!$B$8="出让",SUMPRODUCT(PRODUCT(1+N21:$N$24)),SUMPRODUCT(PRODUCT(1+N21:$N$23))),4)</f>
        <v>1.0262</v>
      </c>
      <c r="V21" s="3183">
        <f>ROUND(IF(项目基本情况!$B$8="出让",SUMPRODUCT(PRODUCT(1+O21:$O$24)),SUMPRODUCT(PRODUCT(1+O21:$O$23))),4)</f>
        <v>1.0205</v>
      </c>
      <c r="W21" s="3183">
        <f t="shared" si="107"/>
        <v>1.0072000000000001</v>
      </c>
      <c r="X21" s="3181"/>
      <c r="Y21" s="3184">
        <f>IF(D21=0,0,ROUND(AVERAGE(D21:D24)/100,4))</f>
        <v>8.5000000000000006E-3</v>
      </c>
      <c r="Z21" s="3184">
        <f t="shared" ref="Z21:AC21" si="113">IF(E21=0,0,ROUND(AVERAGE(E21:E24)/100,4))</f>
        <v>3.8E-3</v>
      </c>
      <c r="AA21" s="3184">
        <f t="shared" si="113"/>
        <v>1.1999999999999999E-3</v>
      </c>
      <c r="AB21" s="3184">
        <f t="shared" si="113"/>
        <v>9.2999999999999992E-3</v>
      </c>
      <c r="AC21" s="3184">
        <f t="shared" si="113"/>
        <v>6.0000000000000001E-3</v>
      </c>
      <c r="AD21" s="3184">
        <f t="shared" si="90"/>
        <v>1.1999999999999999E-3</v>
      </c>
      <c r="AF21" s="3458">
        <f t="shared" si="30"/>
        <v>102.44</v>
      </c>
      <c r="AG21" s="3458">
        <f t="shared" si="31"/>
        <v>101.38000000000001</v>
      </c>
      <c r="AH21" s="3458">
        <f t="shared" si="32"/>
        <v>100.72000000000001</v>
      </c>
      <c r="AI21" s="3458">
        <f t="shared" si="33"/>
        <v>102.62</v>
      </c>
      <c r="AJ21" s="3458">
        <f t="shared" si="34"/>
        <v>102.05</v>
      </c>
      <c r="AK21" s="3458">
        <f t="shared" si="35"/>
        <v>100.72000000000001</v>
      </c>
      <c r="AM21" s="3458">
        <f t="shared" si="48"/>
        <v>96.847411421198089</v>
      </c>
      <c r="AN21" s="3458">
        <f t="shared" si="49"/>
        <v>98.664315057872386</v>
      </c>
      <c r="AO21" s="3458">
        <f t="shared" si="50"/>
        <v>102.68229018787579</v>
      </c>
      <c r="AP21" s="3458">
        <f t="shared" si="51"/>
        <v>96.008649666898478</v>
      </c>
      <c r="AQ21" s="3458">
        <f t="shared" si="52"/>
        <v>93.70798492822054</v>
      </c>
      <c r="AR21" s="3458">
        <f t="shared" si="53"/>
        <v>102.68229018787579</v>
      </c>
    </row>
    <row r="22" spans="1:44" s="3185" customFormat="1" ht="12.75">
      <c r="A22" s="3176" t="s">
        <v>2822</v>
      </c>
      <c r="B22" s="3177">
        <v>2021</v>
      </c>
      <c r="C22" s="3178">
        <v>3</v>
      </c>
      <c r="D22" s="3179">
        <v>0.47</v>
      </c>
      <c r="E22" s="3179">
        <v>0.41</v>
      </c>
      <c r="F22" s="3179">
        <v>0.24</v>
      </c>
      <c r="G22" s="3179">
        <v>0.48</v>
      </c>
      <c r="H22" s="3196">
        <v>0.48</v>
      </c>
      <c r="I22" s="3180">
        <f t="shared" si="87"/>
        <v>0.24</v>
      </c>
      <c r="J22" s="3181"/>
      <c r="K22" s="3182">
        <f t="shared" si="88"/>
        <v>4.6999999999999993E-3</v>
      </c>
      <c r="L22" s="3172">
        <f t="shared" si="88"/>
        <v>4.0999999999999995E-3</v>
      </c>
      <c r="M22" s="3172">
        <f t="shared" si="88"/>
        <v>2.3999999999999998E-3</v>
      </c>
      <c r="N22" s="3172">
        <f t="shared" si="88"/>
        <v>4.7999999999999996E-3</v>
      </c>
      <c r="O22" s="3172">
        <f t="shared" si="88"/>
        <v>4.7999999999999996E-3</v>
      </c>
      <c r="P22" s="3172">
        <f t="shared" si="108"/>
        <v>2.3999999999999998E-3</v>
      </c>
      <c r="Q22" s="3181"/>
      <c r="R22" s="3183">
        <f>ROUND(IF(项目基本情况!$B$8="出让",SUMPRODUCT(PRODUCT(1+K22:$K$24)),SUMPRODUCT(PRODUCT(1+K22:$K$23))),4)</f>
        <v>1.0139</v>
      </c>
      <c r="S22" s="3183">
        <f>ROUND(IF(项目基本情况!$B$8="出让",SUMPRODUCT(PRODUCT(1+L22:$L$24)),SUMPRODUCT(PRODUCT(1+L22:$L$23))),4)</f>
        <v>1.0113000000000001</v>
      </c>
      <c r="T22" s="3183">
        <f>ROUND(IF(项目基本情况!$B$8="出让",SUMPRODUCT(PRODUCT(1+M22:$M$24)),SUMPRODUCT(PRODUCT(1+M22:$M$23))),4)</f>
        <v>1.0065</v>
      </c>
      <c r="U22" s="3183">
        <f>ROUND(IF(项目基本情况!$B$8="出让",SUMPRODUCT(PRODUCT(1+N22:$N$24)),SUMPRODUCT(PRODUCT(1+N22:$N$23))),4)</f>
        <v>1.0143</v>
      </c>
      <c r="V22" s="3183">
        <f>ROUND(IF(项目基本情况!$B$8="出让",SUMPRODUCT(PRODUCT(1+O22:$O$24)),SUMPRODUCT(PRODUCT(1+O22:$O$23))),4)</f>
        <v>1.0148999999999999</v>
      </c>
      <c r="W22" s="3183">
        <f t="shared" si="107"/>
        <v>1.0065</v>
      </c>
      <c r="X22" s="3181"/>
      <c r="Y22" s="3184">
        <f>IF(D22=0,0,ROUND(AVERAGE(D22:D24)/100,4))</f>
        <v>7.9000000000000008E-3</v>
      </c>
      <c r="Z22" s="3184">
        <f>IF(E22=0,0,ROUND(AVERAGE(E22:E24)/100,4))</f>
        <v>4.3E-3</v>
      </c>
      <c r="AA22" s="3184">
        <f>IF(F22=0,0,ROUND(AVERAGE(F22:F24)/100,4))</f>
        <v>1.2999999999999999E-3</v>
      </c>
      <c r="AB22" s="3184">
        <f>IF(G22=0,0,ROUND(AVERAGE(G22:G24)/100,4))</f>
        <v>8.5000000000000006E-3</v>
      </c>
      <c r="AC22" s="3184">
        <f>IF(H22=0,0,ROUND(AVERAGE(H22:H24)/100,4))</f>
        <v>6.1999999999999998E-3</v>
      </c>
      <c r="AD22" s="3184">
        <f t="shared" si="90"/>
        <v>1.2999999999999999E-3</v>
      </c>
      <c r="AF22" s="3458">
        <f t="shared" si="30"/>
        <v>101.39</v>
      </c>
      <c r="AG22" s="3458">
        <f t="shared" si="31"/>
        <v>101.13000000000001</v>
      </c>
      <c r="AH22" s="3458">
        <f t="shared" si="32"/>
        <v>100.64999999999999</v>
      </c>
      <c r="AI22" s="3458">
        <f t="shared" si="33"/>
        <v>101.42999999999999</v>
      </c>
      <c r="AJ22" s="3458">
        <f t="shared" si="34"/>
        <v>101.49</v>
      </c>
      <c r="AK22" s="3458">
        <f t="shared" si="35"/>
        <v>100.64999999999999</v>
      </c>
      <c r="AM22" s="3458">
        <f t="shared" si="48"/>
        <v>95.860052876569426</v>
      </c>
      <c r="AN22" s="3458">
        <f t="shared" si="49"/>
        <v>98.428087647518353</v>
      </c>
      <c r="AO22" s="3458">
        <f t="shared" si="50"/>
        <v>102.61046286387109</v>
      </c>
      <c r="AP22" s="3458">
        <f t="shared" si="51"/>
        <v>94.898339099435077</v>
      </c>
      <c r="AQ22" s="3458">
        <f t="shared" si="52"/>
        <v>93.195410172273029</v>
      </c>
      <c r="AR22" s="3458">
        <f t="shared" si="53"/>
        <v>102.61046286387109</v>
      </c>
    </row>
    <row r="23" spans="1:44" s="3185" customFormat="1" ht="12.75">
      <c r="A23" s="3176" t="s">
        <v>2823</v>
      </c>
      <c r="B23" s="3177">
        <v>2021</v>
      </c>
      <c r="C23" s="3178">
        <v>2</v>
      </c>
      <c r="D23" s="3179">
        <v>0.92</v>
      </c>
      <c r="E23" s="3179">
        <v>0.72</v>
      </c>
      <c r="F23" s="3179">
        <v>0.41</v>
      </c>
      <c r="G23" s="3179">
        <v>0.95</v>
      </c>
      <c r="H23" s="3196">
        <v>1.01</v>
      </c>
      <c r="I23" s="3180">
        <f t="shared" si="87"/>
        <v>0.41</v>
      </c>
      <c r="J23" s="3181"/>
      <c r="K23" s="3182">
        <f t="shared" si="88"/>
        <v>9.1999999999999998E-3</v>
      </c>
      <c r="L23" s="3172">
        <f t="shared" si="88"/>
        <v>7.1999999999999998E-3</v>
      </c>
      <c r="M23" s="3172">
        <f t="shared" si="88"/>
        <v>4.0999999999999995E-3</v>
      </c>
      <c r="N23" s="3172">
        <f t="shared" si="88"/>
        <v>9.4999999999999998E-3</v>
      </c>
      <c r="O23" s="3172">
        <f t="shared" si="88"/>
        <v>1.01E-2</v>
      </c>
      <c r="P23" s="3172">
        <f t="shared" si="108"/>
        <v>4.0999999999999995E-3</v>
      </c>
      <c r="Q23" s="3181"/>
      <c r="R23" s="3183">
        <f>ROUND(IF(项目基本情况!$B$8="出让",SUMPRODUCT(PRODUCT(1+K23:$K$24)),SUMPRODUCT(PRODUCT(1+K23:$K$23))),4)</f>
        <v>1.0092000000000001</v>
      </c>
      <c r="S23" s="3183">
        <f>ROUND(IF(项目基本情况!$B$8="出让",SUMPRODUCT(PRODUCT(1+L23:$L$24)),SUMPRODUCT(PRODUCT(1+L23:$L$23))),4)</f>
        <v>1.0072000000000001</v>
      </c>
      <c r="T23" s="3183">
        <f>ROUND(IF(项目基本情况!$B$8="出让",SUMPRODUCT(PRODUCT(1+M23:$M$24)),SUMPRODUCT(PRODUCT(1+M23:$M$23))),4)</f>
        <v>1.0041</v>
      </c>
      <c r="U23" s="3183">
        <f>ROUND(IF(项目基本情况!$B$8="出让",SUMPRODUCT(PRODUCT(1+N23:$N$24)),SUMPRODUCT(PRODUCT(1+N23:$N$23))),4)</f>
        <v>1.0095000000000001</v>
      </c>
      <c r="V23" s="3183">
        <f>ROUND(IF(项目基本情况!$B$8="出让",SUMPRODUCT(PRODUCT(1+O23:$O$24)),SUMPRODUCT(PRODUCT(1+O23:$O$23))),4)</f>
        <v>1.0101</v>
      </c>
      <c r="W23" s="3183">
        <f t="shared" si="107"/>
        <v>1.0041</v>
      </c>
      <c r="X23" s="3181"/>
      <c r="Y23" s="3184">
        <f>IF(D23=0,0,ROUND(AVERAGE(D23:D24)/100,4))</f>
        <v>9.4999999999999998E-3</v>
      </c>
      <c r="Z23" s="3184">
        <f>IF(E23=0,0,ROUND(AVERAGE(E23:E24)/100,4))</f>
        <v>4.4000000000000003E-3</v>
      </c>
      <c r="AA23" s="3184">
        <f>IF(F23=0,0,ROUND(AVERAGE(F23:F24)/100,4))</f>
        <v>8.0000000000000004E-4</v>
      </c>
      <c r="AB23" s="3184">
        <f>IF(G23=0,0,ROUND(AVERAGE(G23:G24)/100,4))</f>
        <v>1.03E-2</v>
      </c>
      <c r="AC23" s="3184">
        <f>IF(H23=0,0,ROUND(AVERAGE(H23:H24)/100,4))</f>
        <v>6.8999999999999999E-3</v>
      </c>
      <c r="AD23" s="3184">
        <f t="shared" si="90"/>
        <v>8.0000000000000004E-4</v>
      </c>
      <c r="AF23" s="3458">
        <f t="shared" si="30"/>
        <v>100.92000000000002</v>
      </c>
      <c r="AG23" s="3458">
        <f t="shared" si="31"/>
        <v>100.72000000000001</v>
      </c>
      <c r="AH23" s="3458">
        <f t="shared" si="32"/>
        <v>100.41</v>
      </c>
      <c r="AI23" s="3458">
        <f t="shared" si="33"/>
        <v>100.95</v>
      </c>
      <c r="AJ23" s="3458">
        <f t="shared" si="34"/>
        <v>101.01</v>
      </c>
      <c r="AK23" s="3458">
        <f t="shared" si="35"/>
        <v>100.41</v>
      </c>
      <c r="AM23" s="3458">
        <f t="shared" si="48"/>
        <v>95.411618270697161</v>
      </c>
      <c r="AN23" s="3458">
        <f t="shared" si="49"/>
        <v>98.02618030825451</v>
      </c>
      <c r="AO23" s="3458">
        <f t="shared" si="50"/>
        <v>102.36478737417308</v>
      </c>
      <c r="AP23" s="3458">
        <f t="shared" si="51"/>
        <v>94.445003084628866</v>
      </c>
      <c r="AQ23" s="3458">
        <f t="shared" si="52"/>
        <v>92.750209168265357</v>
      </c>
      <c r="AR23" s="3458">
        <f t="shared" si="53"/>
        <v>102.36478737417308</v>
      </c>
    </row>
    <row r="24" spans="1:44" s="3207" customFormat="1" ht="14.25" thickBot="1">
      <c r="A24" s="3197" t="s">
        <v>2824</v>
      </c>
      <c r="B24" s="3198">
        <v>2021</v>
      </c>
      <c r="C24" s="3199">
        <v>1</v>
      </c>
      <c r="D24" s="3200">
        <v>0.97</v>
      </c>
      <c r="E24" s="3200">
        <v>0.16</v>
      </c>
      <c r="F24" s="3200">
        <v>-0.25</v>
      </c>
      <c r="G24" s="3200">
        <v>1.1100000000000001</v>
      </c>
      <c r="H24" s="3201">
        <v>0.36</v>
      </c>
      <c r="I24" s="3202">
        <f t="shared" si="87"/>
        <v>-0.25</v>
      </c>
      <c r="J24" s="3203"/>
      <c r="K24" s="3204">
        <f t="shared" si="88"/>
        <v>9.7000000000000003E-3</v>
      </c>
      <c r="L24" s="3205">
        <f t="shared" si="88"/>
        <v>1.6000000000000001E-3</v>
      </c>
      <c r="M24" s="3205">
        <f>F24/100</f>
        <v>-2.5000000000000001E-3</v>
      </c>
      <c r="N24" s="3205">
        <f t="shared" si="88"/>
        <v>1.11E-2</v>
      </c>
      <c r="O24" s="3205">
        <f t="shared" si="88"/>
        <v>3.5999999999999999E-3</v>
      </c>
      <c r="P24" s="3205">
        <f t="shared" si="108"/>
        <v>-2.5000000000000001E-3</v>
      </c>
      <c r="Q24" s="3203"/>
      <c r="R24" s="3206">
        <v>1</v>
      </c>
      <c r="S24" s="3206">
        <v>1</v>
      </c>
      <c r="T24" s="3206">
        <v>1</v>
      </c>
      <c r="U24" s="3206">
        <v>1</v>
      </c>
      <c r="V24" s="3206">
        <v>1</v>
      </c>
      <c r="W24" s="3206">
        <f t="shared" ref="W24" si="114">T24</f>
        <v>1</v>
      </c>
      <c r="X24" s="3203"/>
      <c r="Y24" s="3205">
        <f>IF(D24=0,0,ROUND(AVERAGE(D24:D24)/100,4))</f>
        <v>9.7000000000000003E-3</v>
      </c>
      <c r="Z24" s="3205">
        <f>IF(E24=0,0,ROUND(AVERAGE(E24:E24)/100,4))</f>
        <v>1.6000000000000001E-3</v>
      </c>
      <c r="AA24" s="3205">
        <f>IF(F24=0,0,ROUND(AVERAGE(F24:F24)/100,4))</f>
        <v>-2.5000000000000001E-3</v>
      </c>
      <c r="AB24" s="3205">
        <f>IF(G24=0,0,ROUND(AVERAGE(G24:G24)/100,4))</f>
        <v>1.11E-2</v>
      </c>
      <c r="AC24" s="3205">
        <f>IF(H24=0,0,ROUND(AVERAGE(H24:H24)/100,4))</f>
        <v>3.5999999999999999E-3</v>
      </c>
      <c r="AD24" s="3205">
        <f>AA24</f>
        <v>-2.5000000000000001E-3</v>
      </c>
      <c r="AF24" s="3466">
        <v>100</v>
      </c>
      <c r="AG24" s="3466">
        <v>100</v>
      </c>
      <c r="AH24" s="3466">
        <v>100</v>
      </c>
      <c r="AI24" s="3466">
        <v>100</v>
      </c>
      <c r="AJ24" s="3466">
        <v>100</v>
      </c>
      <c r="AK24" s="3466">
        <v>100</v>
      </c>
      <c r="AM24" s="3465">
        <f t="shared" si="48"/>
        <v>94.541833403386008</v>
      </c>
      <c r="AN24" s="3465">
        <f t="shared" si="49"/>
        <v>97.325437160697476</v>
      </c>
      <c r="AO24" s="3465">
        <f t="shared" si="50"/>
        <v>101.94680547173894</v>
      </c>
      <c r="AP24" s="3465">
        <f t="shared" si="51"/>
        <v>93.556219004090011</v>
      </c>
      <c r="AQ24" s="3465">
        <f t="shared" si="52"/>
        <v>91.82279889938161</v>
      </c>
      <c r="AR24" s="3465">
        <f t="shared" si="53"/>
        <v>101.94680547173894</v>
      </c>
    </row>
    <row r="25" spans="1:44" s="3009" customFormat="1" ht="14.25" thickTop="1"/>
    <row r="26" spans="1:44" s="3009" customFormat="1">
      <c r="A26" s="3448" t="s">
        <v>3381</v>
      </c>
    </row>
    <row r="27" spans="1:44" s="3009" customFormat="1">
      <c r="I27" s="3208" t="s">
        <v>2825</v>
      </c>
    </row>
    <row r="28" spans="1:44" s="3009" customFormat="1"/>
    <row r="29" spans="1:44" s="3209" customFormat="1" ht="12.75">
      <c r="B29" s="3210" t="s">
        <v>3379</v>
      </c>
      <c r="C29" s="3211"/>
      <c r="D29" s="3211"/>
      <c r="E29" s="3211"/>
      <c r="F29" s="3211"/>
      <c r="G29" s="3211"/>
      <c r="H29" s="3211"/>
      <c r="I29" s="3211"/>
      <c r="J29" s="3165"/>
      <c r="K29" s="3211" t="s">
        <v>2826</v>
      </c>
      <c r="L29" s="3211"/>
      <c r="M29" s="3211"/>
      <c r="N29" s="3211"/>
      <c r="O29" s="3211"/>
      <c r="P29" s="3211"/>
      <c r="Q29" s="3165"/>
      <c r="R29" s="3802" t="s">
        <v>2827</v>
      </c>
      <c r="S29" s="3803"/>
      <c r="T29" s="3803"/>
      <c r="U29" s="3803"/>
      <c r="V29" s="3803"/>
      <c r="W29" s="3803"/>
      <c r="X29" s="3165"/>
      <c r="Y29" s="3802" t="s">
        <v>2828</v>
      </c>
      <c r="Z29" s="3803"/>
      <c r="AA29" s="3803"/>
      <c r="AB29" s="3803"/>
      <c r="AC29" s="3803"/>
      <c r="AD29" s="3803"/>
    </row>
    <row r="30" spans="1:44" s="3143" customFormat="1" ht="14.25" thickBot="1">
      <c r="B30" s="3144"/>
      <c r="C30" s="3145"/>
      <c r="D30" s="3146" t="s">
        <v>2829</v>
      </c>
      <c r="E30" s="3147" t="s">
        <v>2830</v>
      </c>
      <c r="F30" s="3147" t="s">
        <v>2831</v>
      </c>
      <c r="G30" s="3147" t="s">
        <v>2832</v>
      </c>
      <c r="H30" s="3147"/>
      <c r="I30" s="3147" t="s">
        <v>2833</v>
      </c>
      <c r="J30" s="3148"/>
      <c r="K30" s="3146" t="s">
        <v>2829</v>
      </c>
      <c r="L30" s="3147" t="s">
        <v>2830</v>
      </c>
      <c r="M30" s="3147" t="s">
        <v>2831</v>
      </c>
      <c r="N30" s="3147" t="s">
        <v>2832</v>
      </c>
      <c r="O30" s="3147"/>
      <c r="P30" s="3147" t="s">
        <v>2833</v>
      </c>
      <c r="Q30" s="3148"/>
      <c r="R30" s="3146" t="s">
        <v>2829</v>
      </c>
      <c r="S30" s="3147" t="s">
        <v>2830</v>
      </c>
      <c r="T30" s="3147" t="s">
        <v>2831</v>
      </c>
      <c r="U30" s="3147" t="s">
        <v>2832</v>
      </c>
      <c r="V30" s="3147"/>
      <c r="W30" s="3147" t="s">
        <v>2833</v>
      </c>
      <c r="X30" s="3148"/>
      <c r="Y30" s="3146" t="s">
        <v>2829</v>
      </c>
      <c r="Z30" s="3147" t="s">
        <v>2830</v>
      </c>
      <c r="AA30" s="3147" t="s">
        <v>2831</v>
      </c>
      <c r="AB30" s="3147" t="s">
        <v>2832</v>
      </c>
      <c r="AC30" s="3147"/>
      <c r="AD30" s="3147" t="s">
        <v>2833</v>
      </c>
      <c r="AG30" t="s">
        <v>673</v>
      </c>
      <c r="AH30" t="s">
        <v>21</v>
      </c>
      <c r="AI30" t="s">
        <v>3406</v>
      </c>
      <c r="AJ30"/>
      <c r="AK30" t="s">
        <v>3407</v>
      </c>
      <c r="AN30" t="s">
        <v>673</v>
      </c>
      <c r="AO30" t="s">
        <v>21</v>
      </c>
      <c r="AP30" t="s">
        <v>3406</v>
      </c>
      <c r="AQ30"/>
      <c r="AR30" t="s">
        <v>3407</v>
      </c>
    </row>
    <row r="31" spans="1:44" s="3161" customFormat="1" ht="12.75">
      <c r="A31" s="3149" t="s">
        <v>2834</v>
      </c>
      <c r="B31" s="3150"/>
      <c r="C31" s="3151"/>
      <c r="D31" s="3151"/>
      <c r="E31" s="3151">
        <f t="shared" ref="E31:G31" si="115">ROUND(AVERAGEIF(E32:E52,"&lt;&gt;0"),2)</f>
        <v>0.09</v>
      </c>
      <c r="F31" s="3151">
        <f t="shared" si="115"/>
        <v>0.01</v>
      </c>
      <c r="G31" s="3151">
        <f t="shared" si="115"/>
        <v>0.24</v>
      </c>
      <c r="H31" s="3151"/>
      <c r="I31" s="3151">
        <f>F31</f>
        <v>0.01</v>
      </c>
      <c r="J31" s="3152"/>
      <c r="K31" s="3153"/>
      <c r="L31" s="3154">
        <f t="shared" ref="L31:N31" si="116">ROUND(AVERAGEIF(L32:L52,"&lt;&gt;0"),4)</f>
        <v>8.9999999999999998E-4</v>
      </c>
      <c r="M31" s="3154">
        <f t="shared" si="116"/>
        <v>1E-4</v>
      </c>
      <c r="N31" s="3154">
        <f t="shared" si="116"/>
        <v>2.3999999999999998E-3</v>
      </c>
      <c r="O31" s="3154"/>
      <c r="P31" s="3154">
        <f>M31</f>
        <v>1E-4</v>
      </c>
      <c r="Q31" s="3152"/>
      <c r="R31" s="3155"/>
      <c r="S31" s="3156">
        <f>ROUND(SUMPRODUCT(PRODUCT(1+L32:L52)),4)</f>
        <v>1.0153000000000001</v>
      </c>
      <c r="T31" s="3156">
        <f t="shared" ref="T31:U31" si="117">ROUND(SUMPRODUCT(PRODUCT(1+M32:M52)),4)</f>
        <v>1.0016</v>
      </c>
      <c r="U31" s="3156">
        <f t="shared" si="117"/>
        <v>1.044</v>
      </c>
      <c r="V31" s="3156"/>
      <c r="W31" s="3155">
        <f>T31</f>
        <v>1.0016</v>
      </c>
      <c r="X31" s="3152"/>
      <c r="Y31" s="3157"/>
      <c r="Z31" s="3158">
        <f t="shared" ref="Z31:AB31" si="118">ROUND(AVERAGEIF(Z32:Z52,"&lt;&gt;0"),4)</f>
        <v>3.3E-3</v>
      </c>
      <c r="AA31" s="3159">
        <f t="shared" si="118"/>
        <v>2.7000000000000001E-3</v>
      </c>
      <c r="AB31" s="3157">
        <f t="shared" si="118"/>
        <v>6.4999999999999997E-3</v>
      </c>
      <c r="AC31" s="3160"/>
      <c r="AD31" s="3157">
        <f>AA31</f>
        <v>2.7000000000000001E-3</v>
      </c>
    </row>
    <row r="32" spans="1:44" s="3162" customFormat="1" ht="12.75">
      <c r="B32" s="3163"/>
      <c r="C32" s="3164"/>
      <c r="D32" s="3164"/>
      <c r="E32" s="3164"/>
      <c r="F32" s="3164"/>
      <c r="G32" s="3164"/>
      <c r="H32" s="3164"/>
      <c r="I32" s="3164"/>
      <c r="J32" s="3165"/>
      <c r="K32" s="3166"/>
      <c r="L32" s="3167"/>
      <c r="M32" s="3167"/>
      <c r="N32" s="3167"/>
      <c r="O32" s="3167"/>
      <c r="P32" s="3167"/>
      <c r="Q32" s="3165"/>
      <c r="R32" s="3168"/>
      <c r="S32" s="3169"/>
      <c r="T32" s="3170"/>
      <c r="U32" s="3168"/>
      <c r="V32" s="3171"/>
      <c r="W32" s="3168"/>
      <c r="X32" s="3165"/>
      <c r="Y32" s="3172"/>
      <c r="Z32" s="3173"/>
      <c r="AA32" s="3174"/>
      <c r="AB32" s="3172"/>
      <c r="AC32" s="3175"/>
      <c r="AD32" s="3172"/>
    </row>
    <row r="33" spans="1:44" s="3185" customFormat="1">
      <c r="A33" s="2205" t="s">
        <v>3404</v>
      </c>
      <c r="B33" s="3177">
        <v>2025</v>
      </c>
      <c r="C33" s="3178">
        <v>4</v>
      </c>
      <c r="D33" s="3179"/>
      <c r="E33" s="3179">
        <v>0</v>
      </c>
      <c r="F33" s="3179">
        <v>0</v>
      </c>
      <c r="G33" s="3179">
        <v>0</v>
      </c>
      <c r="H33" s="3179"/>
      <c r="I33" s="3180">
        <f t="shared" ref="I33" si="119">F33</f>
        <v>0</v>
      </c>
      <c r="J33" s="3181"/>
      <c r="K33" s="3182"/>
      <c r="L33" s="3172">
        <f t="shared" ref="L33" si="120">E33/100</f>
        <v>0</v>
      </c>
      <c r="M33" s="3172">
        <f t="shared" ref="M33" si="121">F33/100</f>
        <v>0</v>
      </c>
      <c r="N33" s="3172">
        <f t="shared" ref="N33" si="122">G33/100</f>
        <v>0</v>
      </c>
      <c r="O33" s="3172"/>
      <c r="P33" s="3172">
        <f t="shared" ref="P33:P39" si="123">M33</f>
        <v>0</v>
      </c>
      <c r="Q33" s="3181"/>
      <c r="R33" s="3183"/>
      <c r="S33" s="3183">
        <f>ROUND(IF(项目基本情况!$B$8="出让",SUMPRODUCT(PRODUCT(1+L33:L$52)),SUMPRODUCT(PRODUCT(1+L33:L$51))),4)</f>
        <v>1.0118</v>
      </c>
      <c r="T33" s="3183">
        <f>ROUND(IF(项目基本情况!$B$8="出让",SUMPRODUCT(PRODUCT(1+M33:M$52)),SUMPRODUCT(PRODUCT(1+M33:M$51))),4)</f>
        <v>0.99680000000000002</v>
      </c>
      <c r="U33" s="3183">
        <f>ROUND(IF(项目基本情况!$B$8="出让",SUMPRODUCT(PRODUCT(1+N33:N$52)),SUMPRODUCT(PRODUCT(1+N33:N$51))),4)</f>
        <v>1.0338000000000001</v>
      </c>
      <c r="V33" s="3183"/>
      <c r="W33" s="3183">
        <f t="shared" ref="W33:W39" si="124">T33</f>
        <v>0.99680000000000002</v>
      </c>
      <c r="X33" s="3181"/>
      <c r="Y33" s="3184"/>
      <c r="Z33" s="3212">
        <f t="shared" ref="Z33" si="125">IF(E33=0,0,ROUND(AVERAGE(E33:E46)/100,4))</f>
        <v>0</v>
      </c>
      <c r="AA33" s="3212">
        <f t="shared" ref="AA33" si="126">IF(F33=0,0,ROUND(AVERAGE(F33:F46)/100,4))</f>
        <v>0</v>
      </c>
      <c r="AB33" s="3212">
        <f t="shared" ref="AB33" si="127">IF(G33=0,0,ROUND(AVERAGE(G33:G46)/100,4))</f>
        <v>0</v>
      </c>
      <c r="AC33" s="3213"/>
      <c r="AD33" s="3184">
        <f t="shared" ref="AD33:AD39" si="128">IF(I33=0,0,ROUND(AVERAGE(I33:I46)/100,4))</f>
        <v>0</v>
      </c>
      <c r="AG33" s="3458">
        <f t="shared" ref="AG33:AG50" si="129">$AG$52*S33</f>
        <v>101.18</v>
      </c>
      <c r="AH33" s="3458">
        <f t="shared" ref="AH33:AH50" si="130">$AG$52*T33</f>
        <v>99.68</v>
      </c>
      <c r="AI33" s="3458">
        <f t="shared" ref="AI33:AI50" si="131">$AG$52*U33</f>
        <v>103.38000000000001</v>
      </c>
      <c r="AJ33" s="3460"/>
      <c r="AK33" s="3458">
        <f t="shared" ref="AK33:AK50" si="132">$AG$52*W33</f>
        <v>99.68</v>
      </c>
      <c r="AN33" s="3463">
        <v>100</v>
      </c>
      <c r="AO33" s="3463">
        <v>100</v>
      </c>
      <c r="AP33" s="3463">
        <v>100</v>
      </c>
      <c r="AQ33" s="3463"/>
      <c r="AR33" s="3463">
        <v>100</v>
      </c>
    </row>
    <row r="34" spans="1:44" s="3185" customFormat="1" ht="12.75">
      <c r="A34" s="2205" t="s">
        <v>3403</v>
      </c>
      <c r="B34" s="3177">
        <v>2025</v>
      </c>
      <c r="C34" s="3178">
        <v>3</v>
      </c>
      <c r="D34" s="3179"/>
      <c r="E34" s="3179">
        <v>0</v>
      </c>
      <c r="F34" s="3179">
        <v>0</v>
      </c>
      <c r="G34" s="3179">
        <v>0</v>
      </c>
      <c r="H34" s="3179"/>
      <c r="I34" s="3180">
        <f t="shared" ref="I34" si="133">F34</f>
        <v>0</v>
      </c>
      <c r="J34" s="3181"/>
      <c r="K34" s="3182"/>
      <c r="L34" s="3172">
        <f t="shared" ref="L34" si="134">E34/100</f>
        <v>0</v>
      </c>
      <c r="M34" s="3172">
        <f t="shared" ref="M34" si="135">F34/100</f>
        <v>0</v>
      </c>
      <c r="N34" s="3172">
        <f t="shared" ref="N34" si="136">G34/100</f>
        <v>0</v>
      </c>
      <c r="O34" s="3172"/>
      <c r="P34" s="3172">
        <f t="shared" si="123"/>
        <v>0</v>
      </c>
      <c r="Q34" s="3181"/>
      <c r="R34" s="3183"/>
      <c r="S34" s="3183">
        <f>ROUND(IF(项目基本情况!$B$8="出让",SUMPRODUCT(PRODUCT(1+L34:L$52)),SUMPRODUCT(PRODUCT(1+L34:L$51))),4)</f>
        <v>1.0118</v>
      </c>
      <c r="T34" s="3183">
        <f>ROUND(IF(项目基本情况!$B$8="出让",SUMPRODUCT(PRODUCT(1+M34:M$52)),SUMPRODUCT(PRODUCT(1+M34:M$51))),4)</f>
        <v>0.99680000000000002</v>
      </c>
      <c r="U34" s="3183">
        <f>ROUND(IF(项目基本情况!$B$8="出让",SUMPRODUCT(PRODUCT(1+N34:N$52)),SUMPRODUCT(PRODUCT(1+N34:N$51))),4)</f>
        <v>1.0338000000000001</v>
      </c>
      <c r="V34" s="3183"/>
      <c r="W34" s="3183">
        <f t="shared" si="124"/>
        <v>0.99680000000000002</v>
      </c>
      <c r="X34" s="3181"/>
      <c r="Y34" s="3184"/>
      <c r="Z34" s="3212">
        <f t="shared" ref="Z34" si="137">IF(E34=0,0,ROUND(AVERAGE(E34:E47)/100,4))</f>
        <v>0</v>
      </c>
      <c r="AA34" s="3212">
        <f t="shared" ref="AA34" si="138">IF(F34=0,0,ROUND(AVERAGE(F34:F47)/100,4))</f>
        <v>0</v>
      </c>
      <c r="AB34" s="3212">
        <f t="shared" ref="AB34" si="139">IF(G34=0,0,ROUND(AVERAGE(G34:G47)/100,4))</f>
        <v>0</v>
      </c>
      <c r="AC34" s="3213"/>
      <c r="AD34" s="3184">
        <f t="shared" si="128"/>
        <v>0</v>
      </c>
      <c r="AG34" s="3458">
        <f t="shared" si="129"/>
        <v>101.18</v>
      </c>
      <c r="AH34" s="3458">
        <f t="shared" si="130"/>
        <v>99.68</v>
      </c>
      <c r="AI34" s="3458">
        <f t="shared" si="131"/>
        <v>103.38000000000001</v>
      </c>
      <c r="AJ34" s="3460"/>
      <c r="AK34" s="3458">
        <f t="shared" si="132"/>
        <v>99.68</v>
      </c>
      <c r="AN34" s="3458">
        <f>AN33/(1+E33/100)</f>
        <v>100</v>
      </c>
      <c r="AO34" s="3458">
        <f t="shared" ref="AO34:AR34" si="140">AO33/(1+F33/100)</f>
        <v>100</v>
      </c>
      <c r="AP34" s="3458">
        <f t="shared" si="140"/>
        <v>100</v>
      </c>
      <c r="AQ34" s="3458"/>
      <c r="AR34" s="3458">
        <f t="shared" si="140"/>
        <v>100</v>
      </c>
    </row>
    <row r="35" spans="1:44" s="3195" customFormat="1" ht="12.75">
      <c r="A35" s="3186" t="s">
        <v>3411</v>
      </c>
      <c r="B35" s="3187">
        <v>2025</v>
      </c>
      <c r="C35" s="3188">
        <v>2</v>
      </c>
      <c r="D35" s="3189"/>
      <c r="E35" s="3189">
        <v>-0.31</v>
      </c>
      <c r="F35" s="3189">
        <v>-1.03</v>
      </c>
      <c r="G35" s="3189">
        <v>0.03</v>
      </c>
      <c r="H35" s="3190"/>
      <c r="I35" s="3191">
        <f t="shared" ref="I35" si="141">F35</f>
        <v>-1.03</v>
      </c>
      <c r="J35" s="3192"/>
      <c r="K35" s="3193"/>
      <c r="L35" s="3194">
        <f t="shared" ref="L35" si="142">E35/100</f>
        <v>-3.0999999999999999E-3</v>
      </c>
      <c r="M35" s="3194">
        <f t="shared" ref="M35" si="143">F35/100</f>
        <v>-1.03E-2</v>
      </c>
      <c r="N35" s="3194">
        <f t="shared" ref="N35" si="144">G35/100</f>
        <v>2.9999999999999997E-4</v>
      </c>
      <c r="O35" s="3194"/>
      <c r="P35" s="3194">
        <f t="shared" si="123"/>
        <v>-1.03E-2</v>
      </c>
      <c r="Q35" s="3192"/>
      <c r="R35" s="3192"/>
      <c r="S35" s="3192">
        <f>ROUND(IF(项目基本情况!$B$8="出让",SUMPRODUCT(PRODUCT(1+L35:L$52)),SUMPRODUCT(PRODUCT(1+L35:L$51))),4)</f>
        <v>1.0118</v>
      </c>
      <c r="T35" s="3192">
        <f>ROUND(IF(项目基本情况!$B$8="出让",SUMPRODUCT(PRODUCT(1+M35:M$52)),SUMPRODUCT(PRODUCT(1+M35:M$51))),4)</f>
        <v>0.99680000000000002</v>
      </c>
      <c r="U35" s="3192">
        <f>ROUND(IF(项目基本情况!$B$8="出让",SUMPRODUCT(PRODUCT(1+N35:N$52)),SUMPRODUCT(PRODUCT(1+N35:N$51))),4)</f>
        <v>1.0338000000000001</v>
      </c>
      <c r="V35" s="3192"/>
      <c r="W35" s="3192">
        <f t="shared" si="124"/>
        <v>0.99680000000000002</v>
      </c>
      <c r="X35" s="3192"/>
      <c r="Y35" s="3194"/>
      <c r="Z35" s="3215">
        <f t="shared" ref="Z35" si="145">IF(E35=0,0,ROUND(AVERAGE(E35:E48)/100,4))</f>
        <v>-2.9999999999999997E-4</v>
      </c>
      <c r="AA35" s="3216">
        <f t="shared" ref="AA35" si="146">IF(F35=0,0,ROUND(AVERAGE(F35:F48)/100,4))</f>
        <v>-8.0000000000000004E-4</v>
      </c>
      <c r="AB35" s="3194">
        <f t="shared" ref="AB35" si="147">IF(G35=0,0,ROUND(AVERAGE(G35:G48)/100,4))</f>
        <v>5.0000000000000001E-4</v>
      </c>
      <c r="AC35" s="3217"/>
      <c r="AD35" s="3194">
        <f t="shared" si="128"/>
        <v>-8.0000000000000004E-4</v>
      </c>
      <c r="AG35" s="3459">
        <f t="shared" si="129"/>
        <v>101.18</v>
      </c>
      <c r="AH35" s="3459">
        <f t="shared" si="130"/>
        <v>99.68</v>
      </c>
      <c r="AI35" s="3459">
        <f t="shared" si="131"/>
        <v>103.38000000000001</v>
      </c>
      <c r="AJ35" s="3461"/>
      <c r="AK35" s="3459">
        <f t="shared" si="132"/>
        <v>99.68</v>
      </c>
      <c r="AN35" s="3459">
        <f t="shared" ref="AN35:AN52" si="148">AN34/(1+E34/100)</f>
        <v>100</v>
      </c>
      <c r="AO35" s="3459">
        <f t="shared" ref="AO35" si="149">AO34/(1+F34/100)</f>
        <v>100</v>
      </c>
      <c r="AP35" s="3459">
        <f t="shared" ref="AP35" si="150">AP34/(1+G34/100)</f>
        <v>100</v>
      </c>
      <c r="AQ35" s="3459"/>
      <c r="AR35" s="3459">
        <f t="shared" ref="AR35" si="151">AR34/(1+I34/100)</f>
        <v>100</v>
      </c>
    </row>
    <row r="36" spans="1:44" s="3185" customFormat="1" ht="12.75">
      <c r="A36" s="2205" t="s">
        <v>3408</v>
      </c>
      <c r="B36" s="3177">
        <v>2025</v>
      </c>
      <c r="C36" s="3178">
        <v>1</v>
      </c>
      <c r="D36" s="3179"/>
      <c r="E36" s="3179">
        <v>-1.47</v>
      </c>
      <c r="F36" s="3179">
        <v>-0.98</v>
      </c>
      <c r="G36" s="3179">
        <v>-0.51</v>
      </c>
      <c r="H36" s="3179"/>
      <c r="I36" s="3180">
        <f t="shared" ref="I36" si="152">F36</f>
        <v>-0.98</v>
      </c>
      <c r="J36" s="3181"/>
      <c r="K36" s="3182"/>
      <c r="L36" s="3172">
        <f t="shared" ref="L36" si="153">E36/100</f>
        <v>-1.47E-2</v>
      </c>
      <c r="M36" s="3172">
        <f t="shared" ref="M36" si="154">F36/100</f>
        <v>-9.7999999999999997E-3</v>
      </c>
      <c r="N36" s="3172">
        <f t="shared" ref="N36" si="155">G36/100</f>
        <v>-5.1000000000000004E-3</v>
      </c>
      <c r="O36" s="3172"/>
      <c r="P36" s="3172">
        <f t="shared" si="123"/>
        <v>-9.7999999999999997E-3</v>
      </c>
      <c r="Q36" s="3181"/>
      <c r="R36" s="3183"/>
      <c r="S36" s="3183">
        <f>ROUND(IF(项目基本情况!$B$8="出让",SUMPRODUCT(PRODUCT(1+L36:L$52)),SUMPRODUCT(PRODUCT(1+L36:L$51))),4)</f>
        <v>1.0148999999999999</v>
      </c>
      <c r="T36" s="3183">
        <f>ROUND(IF(项目基本情况!$B$8="出让",SUMPRODUCT(PRODUCT(1+M36:M$52)),SUMPRODUCT(PRODUCT(1+M36:M$51))),4)</f>
        <v>1.0072000000000001</v>
      </c>
      <c r="U36" s="3183">
        <f>ROUND(IF(项目基本情况!$B$8="出让",SUMPRODUCT(PRODUCT(1+N36:N$52)),SUMPRODUCT(PRODUCT(1+N36:N$51))),4)</f>
        <v>1.0335000000000001</v>
      </c>
      <c r="V36" s="3183"/>
      <c r="W36" s="3183">
        <f t="shared" si="124"/>
        <v>1.0072000000000001</v>
      </c>
      <c r="X36" s="3181"/>
      <c r="Y36" s="3184"/>
      <c r="Z36" s="3212">
        <f t="shared" ref="Z36" si="156">IF(E36=0,0,ROUND(AVERAGE(E36:E49)/100,4))</f>
        <v>4.0000000000000002E-4</v>
      </c>
      <c r="AA36" s="3212">
        <f t="shared" ref="AA36" si="157">IF(F36=0,0,ROUND(AVERAGE(F36:F49)/100,4))</f>
        <v>0</v>
      </c>
      <c r="AB36" s="3212">
        <f t="shared" ref="AB36" si="158">IF(G36=0,0,ROUND(AVERAGE(G36:G49)/100,4))</f>
        <v>1E-3</v>
      </c>
      <c r="AC36" s="3213"/>
      <c r="AD36" s="3184">
        <f t="shared" si="128"/>
        <v>0</v>
      </c>
      <c r="AG36" s="3458">
        <f t="shared" si="129"/>
        <v>101.49</v>
      </c>
      <c r="AH36" s="3458">
        <f t="shared" si="130"/>
        <v>100.72000000000001</v>
      </c>
      <c r="AI36" s="3458">
        <f t="shared" si="131"/>
        <v>103.35000000000001</v>
      </c>
      <c r="AJ36" s="3460"/>
      <c r="AK36" s="3458">
        <f t="shared" si="132"/>
        <v>100.72000000000001</v>
      </c>
      <c r="AN36" s="3458">
        <f t="shared" si="148"/>
        <v>100.31096398836392</v>
      </c>
      <c r="AO36" s="3458">
        <f t="shared" ref="AO36:AO52" si="159">AO35/(1+F35/100)</f>
        <v>101.04071940992219</v>
      </c>
      <c r="AP36" s="3458">
        <f t="shared" ref="AP36:AP52" si="160">AP35/(1+G35/100)</f>
        <v>99.970008997300809</v>
      </c>
      <c r="AQ36" s="3458"/>
      <c r="AR36" s="3458">
        <f t="shared" ref="AR36:AR52" si="161">AR35/(1+I35/100)</f>
        <v>101.04071940992219</v>
      </c>
    </row>
    <row r="37" spans="1:44" s="3185" customFormat="1" ht="12.75">
      <c r="A37" s="2205" t="s">
        <v>3409</v>
      </c>
      <c r="B37" s="3177">
        <v>2024</v>
      </c>
      <c r="C37" s="3178">
        <v>4</v>
      </c>
      <c r="D37" s="3179"/>
      <c r="E37" s="3179">
        <v>-0.61</v>
      </c>
      <c r="F37" s="3179">
        <v>-0.71</v>
      </c>
      <c r="G37" s="3179">
        <v>-0.88</v>
      </c>
      <c r="H37" s="3179"/>
      <c r="I37" s="3180">
        <f t="shared" ref="I37" si="162">F37</f>
        <v>-0.71</v>
      </c>
      <c r="J37" s="3181"/>
      <c r="K37" s="3182"/>
      <c r="L37" s="3172">
        <f t="shared" ref="L37" si="163">E37/100</f>
        <v>-6.0999999999999995E-3</v>
      </c>
      <c r="M37" s="3172">
        <f t="shared" ref="M37" si="164">F37/100</f>
        <v>-7.0999999999999995E-3</v>
      </c>
      <c r="N37" s="3172">
        <f t="shared" ref="N37" si="165">G37/100</f>
        <v>-8.8000000000000005E-3</v>
      </c>
      <c r="O37" s="3172"/>
      <c r="P37" s="3172">
        <f t="shared" si="123"/>
        <v>-7.0999999999999995E-3</v>
      </c>
      <c r="Q37" s="3181"/>
      <c r="R37" s="3183"/>
      <c r="S37" s="3183">
        <f>ROUND(IF(项目基本情况!$B$8="出让",SUMPRODUCT(PRODUCT(1+L37:L$52)),SUMPRODUCT(PRODUCT(1+L37:L$51))),4)</f>
        <v>1.0301</v>
      </c>
      <c r="T37" s="3183">
        <f>ROUND(IF(项目基本情况!$B$8="出让",SUMPRODUCT(PRODUCT(1+M37:M$52)),SUMPRODUCT(PRODUCT(1+M37:M$51))),4)</f>
        <v>1.0170999999999999</v>
      </c>
      <c r="U37" s="3183">
        <f>ROUND(IF(项目基本情况!$B$8="出让",SUMPRODUCT(PRODUCT(1+N37:N$52)),SUMPRODUCT(PRODUCT(1+N37:N$51))),4)</f>
        <v>1.0387999999999999</v>
      </c>
      <c r="V37" s="3183"/>
      <c r="W37" s="3183">
        <f t="shared" si="124"/>
        <v>1.0170999999999999</v>
      </c>
      <c r="X37" s="3181"/>
      <c r="Y37" s="3184"/>
      <c r="Z37" s="3212">
        <f t="shared" ref="Z37" si="166">IF(E37=0,0,ROUND(AVERAGE(E37:E50)/100,4))</f>
        <v>1.6999999999999999E-3</v>
      </c>
      <c r="AA37" s="3212">
        <f t="shared" ref="AA37" si="167">IF(F37=0,0,ROUND(AVERAGE(F37:F50)/100,4))</f>
        <v>8.9999999999999998E-4</v>
      </c>
      <c r="AB37" s="3212">
        <f t="shared" ref="AB37" si="168">IF(G37=0,0,ROUND(AVERAGE(G37:G50)/100,4))</f>
        <v>2E-3</v>
      </c>
      <c r="AC37" s="3213"/>
      <c r="AD37" s="3184">
        <f t="shared" si="128"/>
        <v>8.9999999999999998E-4</v>
      </c>
      <c r="AG37" s="3458">
        <f t="shared" si="129"/>
        <v>103.01</v>
      </c>
      <c r="AH37" s="3458">
        <f t="shared" si="130"/>
        <v>101.71</v>
      </c>
      <c r="AI37" s="3458">
        <f t="shared" si="131"/>
        <v>103.88</v>
      </c>
      <c r="AJ37" s="3460"/>
      <c r="AK37" s="3458">
        <f t="shared" si="132"/>
        <v>101.71</v>
      </c>
      <c r="AN37" s="3458">
        <f t="shared" si="148"/>
        <v>101.80753474917682</v>
      </c>
      <c r="AO37" s="3458">
        <f t="shared" si="159"/>
        <v>102.04071845073943</v>
      </c>
      <c r="AP37" s="3458">
        <f t="shared" si="160"/>
        <v>100.48246959222114</v>
      </c>
      <c r="AQ37" s="3458"/>
      <c r="AR37" s="3458">
        <f t="shared" si="161"/>
        <v>102.04071845073943</v>
      </c>
    </row>
    <row r="38" spans="1:44" s="3185" customFormat="1" ht="12.75">
      <c r="A38" s="2205" t="s">
        <v>3373</v>
      </c>
      <c r="B38" s="3177">
        <v>2024</v>
      </c>
      <c r="C38" s="3178">
        <v>3</v>
      </c>
      <c r="D38" s="3179"/>
      <c r="E38" s="3179">
        <v>-0.66</v>
      </c>
      <c r="F38" s="3179">
        <v>-0.52</v>
      </c>
      <c r="G38" s="3179">
        <v>-2.87</v>
      </c>
      <c r="H38" s="3179"/>
      <c r="I38" s="3180">
        <f t="shared" ref="I38" si="169">F38</f>
        <v>-0.52</v>
      </c>
      <c r="J38" s="3181"/>
      <c r="K38" s="3182"/>
      <c r="L38" s="3172">
        <f t="shared" ref="L38" si="170">E38/100</f>
        <v>-6.6E-3</v>
      </c>
      <c r="M38" s="3172">
        <f t="shared" ref="M38" si="171">F38/100</f>
        <v>-5.1999999999999998E-3</v>
      </c>
      <c r="N38" s="3172">
        <f t="shared" ref="N38" si="172">G38/100</f>
        <v>-2.87E-2</v>
      </c>
      <c r="O38" s="3172"/>
      <c r="P38" s="3172">
        <f t="shared" si="123"/>
        <v>-5.1999999999999998E-3</v>
      </c>
      <c r="Q38" s="3181"/>
      <c r="R38" s="3183"/>
      <c r="S38" s="3183">
        <f>ROUND(IF(项目基本情况!$B$8="出让",SUMPRODUCT(PRODUCT(1+L38:L$52)),SUMPRODUCT(PRODUCT(1+L38:L$51))),4)</f>
        <v>1.0364</v>
      </c>
      <c r="T38" s="3183">
        <f>ROUND(IF(项目基本情况!$B$8="出让",SUMPRODUCT(PRODUCT(1+M38:M$52)),SUMPRODUCT(PRODUCT(1+M38:M$51))),4)</f>
        <v>1.0244</v>
      </c>
      <c r="U38" s="3183">
        <f>ROUND(IF(项目基本情况!$B$8="出让",SUMPRODUCT(PRODUCT(1+N38:N$52)),SUMPRODUCT(PRODUCT(1+N38:N$51))),4)</f>
        <v>1.048</v>
      </c>
      <c r="V38" s="3183"/>
      <c r="W38" s="3183">
        <f t="shared" si="124"/>
        <v>1.0244</v>
      </c>
      <c r="X38" s="3181"/>
      <c r="Y38" s="3184"/>
      <c r="Z38" s="3212">
        <f t="shared" ref="Z38:AB39" si="173">IF(E38=0,0,ROUND(AVERAGE(E38:E51)/100,4))</f>
        <v>2.5999999999999999E-3</v>
      </c>
      <c r="AA38" s="3212">
        <f t="shared" si="173"/>
        <v>1.6999999999999999E-3</v>
      </c>
      <c r="AB38" s="3212">
        <f t="shared" si="173"/>
        <v>3.3999999999999998E-3</v>
      </c>
      <c r="AC38" s="3213"/>
      <c r="AD38" s="3184">
        <f t="shared" si="128"/>
        <v>1.6999999999999999E-3</v>
      </c>
      <c r="AG38" s="3458">
        <f t="shared" si="129"/>
        <v>103.64</v>
      </c>
      <c r="AH38" s="3458">
        <f t="shared" si="130"/>
        <v>102.44</v>
      </c>
      <c r="AI38" s="3458">
        <f t="shared" si="131"/>
        <v>104.80000000000001</v>
      </c>
      <c r="AJ38" s="3460"/>
      <c r="AK38" s="3458">
        <f t="shared" si="132"/>
        <v>102.44</v>
      </c>
      <c r="AN38" s="3458">
        <f t="shared" si="148"/>
        <v>102.4323722197171</v>
      </c>
      <c r="AO38" s="3458">
        <f t="shared" si="159"/>
        <v>102.7703882070092</v>
      </c>
      <c r="AP38" s="3458">
        <f t="shared" si="160"/>
        <v>101.37456577100599</v>
      </c>
      <c r="AQ38" s="3458"/>
      <c r="AR38" s="3458">
        <f t="shared" si="161"/>
        <v>102.7703882070092</v>
      </c>
    </row>
    <row r="39" spans="1:44" s="3185" customFormat="1" ht="12.75">
      <c r="A39" s="3176" t="s">
        <v>3377</v>
      </c>
      <c r="B39" s="3177">
        <v>2024</v>
      </c>
      <c r="C39" s="3178">
        <v>2</v>
      </c>
      <c r="D39" s="3179"/>
      <c r="E39" s="3179">
        <v>-0.31</v>
      </c>
      <c r="F39" s="3179">
        <v>-0.39</v>
      </c>
      <c r="G39" s="3179">
        <v>1.23</v>
      </c>
      <c r="H39" s="3196"/>
      <c r="I39" s="3180">
        <f t="shared" ref="I39:I52" si="174">F39</f>
        <v>-0.39</v>
      </c>
      <c r="J39" s="3181"/>
      <c r="K39" s="3182"/>
      <c r="L39" s="3172">
        <f t="shared" ref="L39:N52" si="175">E39/100</f>
        <v>-3.0999999999999999E-3</v>
      </c>
      <c r="M39" s="3172">
        <f t="shared" si="175"/>
        <v>-3.9000000000000003E-3</v>
      </c>
      <c r="N39" s="3172">
        <f t="shared" si="175"/>
        <v>1.23E-2</v>
      </c>
      <c r="O39" s="3172"/>
      <c r="P39" s="3172">
        <f t="shared" si="123"/>
        <v>-3.9000000000000003E-3</v>
      </c>
      <c r="Q39" s="3181"/>
      <c r="R39" s="3183"/>
      <c r="S39" s="3183">
        <f>ROUND(IF(项目基本情况!$B$8="出让",SUMPRODUCT(PRODUCT(1+L39:L$52)),SUMPRODUCT(PRODUCT(1+L39:L$51))),4)</f>
        <v>1.0432999999999999</v>
      </c>
      <c r="T39" s="3183">
        <f>ROUND(IF(项目基本情况!$B$8="出让",SUMPRODUCT(PRODUCT(1+M39:M$52)),SUMPRODUCT(PRODUCT(1+M39:M$51))),4)</f>
        <v>1.0298</v>
      </c>
      <c r="U39" s="3183">
        <f>ROUND(IF(项目基本情况!$B$8="出让",SUMPRODUCT(PRODUCT(1+N39:N$52)),SUMPRODUCT(PRODUCT(1+N39:N$51))),4)</f>
        <v>1.079</v>
      </c>
      <c r="V39" s="3183"/>
      <c r="W39" s="3183">
        <f t="shared" si="124"/>
        <v>1.0298</v>
      </c>
      <c r="X39" s="3181"/>
      <c r="Y39" s="3184"/>
      <c r="Z39" s="3212">
        <f t="shared" si="173"/>
        <v>3.3E-3</v>
      </c>
      <c r="AA39" s="3214">
        <f t="shared" si="173"/>
        <v>2.3999999999999998E-3</v>
      </c>
      <c r="AB39" s="3184">
        <f t="shared" si="173"/>
        <v>6.1999999999999998E-3</v>
      </c>
      <c r="AC39" s="3213"/>
      <c r="AD39" s="3184">
        <f t="shared" si="128"/>
        <v>2.3999999999999998E-3</v>
      </c>
      <c r="AG39" s="3458">
        <f t="shared" si="129"/>
        <v>104.32999999999998</v>
      </c>
      <c r="AH39" s="3458">
        <f t="shared" si="130"/>
        <v>102.98</v>
      </c>
      <c r="AI39" s="3458">
        <f t="shared" si="131"/>
        <v>107.89999999999999</v>
      </c>
      <c r="AJ39" s="3460"/>
      <c r="AK39" s="3458">
        <f t="shared" si="132"/>
        <v>102.98</v>
      </c>
      <c r="AN39" s="3458">
        <f t="shared" si="148"/>
        <v>103.11291747505244</v>
      </c>
      <c r="AO39" s="3458">
        <f t="shared" si="159"/>
        <v>103.30758766285605</v>
      </c>
      <c r="AP39" s="3458">
        <f t="shared" si="160"/>
        <v>104.36998432101923</v>
      </c>
      <c r="AQ39" s="3458"/>
      <c r="AR39" s="3458">
        <f t="shared" si="161"/>
        <v>103.30758766285605</v>
      </c>
    </row>
    <row r="40" spans="1:44" s="3185" customFormat="1" ht="12.75">
      <c r="A40" s="3176" t="s">
        <v>3374</v>
      </c>
      <c r="B40" s="3177">
        <v>2024</v>
      </c>
      <c r="C40" s="3178">
        <v>1</v>
      </c>
      <c r="D40" s="3179"/>
      <c r="E40" s="3179">
        <v>0.25</v>
      </c>
      <c r="F40" s="3179">
        <v>0.4</v>
      </c>
      <c r="G40" s="3179">
        <v>-0.63</v>
      </c>
      <c r="H40" s="3196"/>
      <c r="I40" s="3180">
        <f t="shared" ref="I40:I41" si="176">F40</f>
        <v>0.4</v>
      </c>
      <c r="J40" s="3181"/>
      <c r="K40" s="3182"/>
      <c r="L40" s="3172">
        <f t="shared" ref="L40" si="177">E40/100</f>
        <v>2.5000000000000001E-3</v>
      </c>
      <c r="M40" s="3172">
        <f t="shared" ref="M40" si="178">F40/100</f>
        <v>4.0000000000000001E-3</v>
      </c>
      <c r="N40" s="3172">
        <f t="shared" ref="N40" si="179">G40/100</f>
        <v>-6.3E-3</v>
      </c>
      <c r="O40" s="3172"/>
      <c r="P40" s="3172">
        <f t="shared" ref="P40" si="180">M40</f>
        <v>4.0000000000000001E-3</v>
      </c>
      <c r="Q40" s="3181"/>
      <c r="R40" s="3183"/>
      <c r="S40" s="3183">
        <f>ROUND(IF(项目基本情况!$B$8="出让",SUMPRODUCT(PRODUCT(1+L40:L$52)),SUMPRODUCT(PRODUCT(1+L40:L$51))),4)</f>
        <v>1.0465</v>
      </c>
      <c r="T40" s="3183">
        <f>ROUND(IF(项目基本情况!$B$8="出让",SUMPRODUCT(PRODUCT(1+M40:M$52)),SUMPRODUCT(PRODUCT(1+M40:M$51))),4)</f>
        <v>1.0338000000000001</v>
      </c>
      <c r="U40" s="3183">
        <f>ROUND(IF(项目基本情况!$B$8="出让",SUMPRODUCT(PRODUCT(1+N40:N$52)),SUMPRODUCT(PRODUCT(1+N40:N$51))),4)</f>
        <v>1.0659000000000001</v>
      </c>
      <c r="V40" s="3183"/>
      <c r="W40" s="3183">
        <f t="shared" ref="W40" si="181">T40</f>
        <v>1.0338000000000001</v>
      </c>
      <c r="X40" s="3181"/>
      <c r="Y40" s="3184"/>
      <c r="Z40" s="3212"/>
      <c r="AA40" s="3214"/>
      <c r="AB40" s="3184"/>
      <c r="AC40" s="3213"/>
      <c r="AD40" s="3184"/>
      <c r="AG40" s="3458">
        <f t="shared" si="129"/>
        <v>104.65</v>
      </c>
      <c r="AH40" s="3458">
        <f t="shared" si="130"/>
        <v>103.38000000000001</v>
      </c>
      <c r="AI40" s="3458">
        <f t="shared" si="131"/>
        <v>106.59</v>
      </c>
      <c r="AJ40" s="3460"/>
      <c r="AK40" s="3458">
        <f t="shared" si="132"/>
        <v>103.38000000000001</v>
      </c>
      <c r="AN40" s="3458">
        <f t="shared" si="148"/>
        <v>103.43356151575126</v>
      </c>
      <c r="AO40" s="3458">
        <f t="shared" si="159"/>
        <v>103.7120647152455</v>
      </c>
      <c r="AP40" s="3458">
        <f t="shared" si="160"/>
        <v>103.10183179000221</v>
      </c>
      <c r="AQ40" s="3458"/>
      <c r="AR40" s="3458">
        <f t="shared" si="161"/>
        <v>103.7120647152455</v>
      </c>
    </row>
    <row r="41" spans="1:44" s="3185" customFormat="1" ht="12.75">
      <c r="A41" s="3176" t="s">
        <v>3372</v>
      </c>
      <c r="B41" s="3177">
        <v>2023</v>
      </c>
      <c r="C41" s="3178">
        <v>4</v>
      </c>
      <c r="D41" s="3179"/>
      <c r="E41" s="3179">
        <v>7.0000000000000007E-2</v>
      </c>
      <c r="F41" s="3179">
        <v>0.09</v>
      </c>
      <c r="G41" s="3179">
        <v>0.03</v>
      </c>
      <c r="H41" s="3196"/>
      <c r="I41" s="3180">
        <f t="shared" si="176"/>
        <v>0.09</v>
      </c>
      <c r="J41" s="3181"/>
      <c r="K41" s="3182"/>
      <c r="L41" s="3172">
        <f t="shared" si="175"/>
        <v>7.000000000000001E-4</v>
      </c>
      <c r="M41" s="3172">
        <f t="shared" si="175"/>
        <v>8.9999999999999998E-4</v>
      </c>
      <c r="N41" s="3172">
        <f t="shared" si="175"/>
        <v>2.9999999999999997E-4</v>
      </c>
      <c r="O41" s="3172"/>
      <c r="P41" s="3172">
        <f t="shared" ref="P41" si="182">M41</f>
        <v>8.9999999999999998E-4</v>
      </c>
      <c r="Q41" s="3181"/>
      <c r="R41" s="3183"/>
      <c r="S41" s="3183">
        <f>ROUND(IF(项目基本情况!$B$8="出让",SUMPRODUCT(PRODUCT(1+L41:L$52)),SUMPRODUCT(PRODUCT(1+L41:L$51))),4)</f>
        <v>1.0439000000000001</v>
      </c>
      <c r="T41" s="3183">
        <f>ROUND(IF(项目基本情况!$B$8="出让",SUMPRODUCT(PRODUCT(1+M41:M$52)),SUMPRODUCT(PRODUCT(1+M41:M$51))),4)</f>
        <v>1.0297000000000001</v>
      </c>
      <c r="U41" s="3183">
        <f>ROUND(IF(项目基本情况!$B$8="出让",SUMPRODUCT(PRODUCT(1+N41:N$52)),SUMPRODUCT(PRODUCT(1+N41:N$51))),4)</f>
        <v>1.0727</v>
      </c>
      <c r="V41" s="3183"/>
      <c r="W41" s="3183">
        <f t="shared" ref="W41" si="183">T41</f>
        <v>1.0297000000000001</v>
      </c>
      <c r="X41" s="3181"/>
      <c r="Y41" s="3184"/>
      <c r="Z41" s="3212"/>
      <c r="AA41" s="3214"/>
      <c r="AB41" s="3184"/>
      <c r="AC41" s="3213"/>
      <c r="AD41" s="3184"/>
      <c r="AG41" s="3458">
        <f t="shared" si="129"/>
        <v>104.39</v>
      </c>
      <c r="AH41" s="3458">
        <f t="shared" si="130"/>
        <v>102.97</v>
      </c>
      <c r="AI41" s="3458">
        <f t="shared" si="131"/>
        <v>107.27</v>
      </c>
      <c r="AJ41" s="3460"/>
      <c r="AK41" s="3458">
        <f t="shared" si="132"/>
        <v>102.97</v>
      </c>
      <c r="AN41" s="3458">
        <f t="shared" si="148"/>
        <v>103.17562245960227</v>
      </c>
      <c r="AO41" s="3458">
        <f t="shared" si="159"/>
        <v>103.29886923829234</v>
      </c>
      <c r="AP41" s="3458">
        <f t="shared" si="160"/>
        <v>103.75549138573231</v>
      </c>
      <c r="AQ41" s="3458"/>
      <c r="AR41" s="3458">
        <f t="shared" si="161"/>
        <v>103.29886923829234</v>
      </c>
    </row>
    <row r="42" spans="1:44" s="3185" customFormat="1" ht="12.75">
      <c r="A42" s="3176" t="s">
        <v>3370</v>
      </c>
      <c r="B42" s="3177">
        <v>2023</v>
      </c>
      <c r="C42" s="3178">
        <v>3</v>
      </c>
      <c r="D42" s="3179"/>
      <c r="E42" s="3179">
        <v>0.35</v>
      </c>
      <c r="F42" s="3179">
        <v>0.17</v>
      </c>
      <c r="G42" s="3179">
        <v>0.52</v>
      </c>
      <c r="H42" s="3196"/>
      <c r="I42" s="3180">
        <f t="shared" si="174"/>
        <v>0.17</v>
      </c>
      <c r="J42" s="3181"/>
      <c r="K42" s="3182"/>
      <c r="L42" s="3172">
        <f t="shared" ref="L42:L44" si="184">E42/100</f>
        <v>3.4999999999999996E-3</v>
      </c>
      <c r="M42" s="3172">
        <f t="shared" ref="M42:M44" si="185">F42/100</f>
        <v>1.7000000000000001E-3</v>
      </c>
      <c r="N42" s="3172">
        <f t="shared" ref="N42:N44" si="186">G42/100</f>
        <v>5.1999999999999998E-3</v>
      </c>
      <c r="O42" s="3172"/>
      <c r="P42" s="3172">
        <f t="shared" ref="P42:P44" si="187">M42</f>
        <v>1.7000000000000001E-3</v>
      </c>
      <c r="Q42" s="3181"/>
      <c r="R42" s="3183"/>
      <c r="S42" s="3183">
        <f>ROUND(IF(项目基本情况!$B$8="出让",SUMPRODUCT(PRODUCT(1+L42:L$52)),SUMPRODUCT(PRODUCT(1+L42:L$51))),4)</f>
        <v>1.0431999999999999</v>
      </c>
      <c r="T42" s="3183">
        <f>ROUND(IF(项目基本情况!$B$8="出让",SUMPRODUCT(PRODUCT(1+M42:M$52)),SUMPRODUCT(PRODUCT(1+M42:M$51))),4)</f>
        <v>1.0286999999999999</v>
      </c>
      <c r="U42" s="3183">
        <f>ROUND(IF(项目基本情况!$B$8="出让",SUMPRODUCT(PRODUCT(1+N42:N$52)),SUMPRODUCT(PRODUCT(1+N42:N$51))),4)</f>
        <v>1.0723</v>
      </c>
      <c r="V42" s="3183"/>
      <c r="W42" s="3183">
        <f t="shared" ref="W42:W44" si="188">T42</f>
        <v>1.0286999999999999</v>
      </c>
      <c r="X42" s="3181"/>
      <c r="Y42" s="3184"/>
      <c r="Z42" s="3212"/>
      <c r="AA42" s="3214"/>
      <c r="AB42" s="3184"/>
      <c r="AC42" s="3213"/>
      <c r="AD42" s="3184"/>
      <c r="AG42" s="3458">
        <f t="shared" si="129"/>
        <v>104.32</v>
      </c>
      <c r="AH42" s="3458">
        <f t="shared" si="130"/>
        <v>102.86999999999999</v>
      </c>
      <c r="AI42" s="3458">
        <f t="shared" si="131"/>
        <v>107.23</v>
      </c>
      <c r="AJ42" s="3460"/>
      <c r="AK42" s="3458">
        <f t="shared" si="132"/>
        <v>102.86999999999999</v>
      </c>
      <c r="AN42" s="3458">
        <f t="shared" si="148"/>
        <v>103.10345004457108</v>
      </c>
      <c r="AO42" s="3458">
        <f t="shared" si="159"/>
        <v>103.20598385282482</v>
      </c>
      <c r="AP42" s="3458">
        <f t="shared" si="160"/>
        <v>103.72437407351026</v>
      </c>
      <c r="AQ42" s="3458"/>
      <c r="AR42" s="3458">
        <f t="shared" si="161"/>
        <v>103.20598385282482</v>
      </c>
    </row>
    <row r="43" spans="1:44" s="3185" customFormat="1" ht="12.75">
      <c r="A43" s="3176" t="s">
        <v>3369</v>
      </c>
      <c r="B43" s="3177">
        <v>2023</v>
      </c>
      <c r="C43" s="3178">
        <v>2</v>
      </c>
      <c r="D43" s="3179"/>
      <c r="E43" s="3179">
        <v>0.5</v>
      </c>
      <c r="F43" s="3179">
        <v>0.45</v>
      </c>
      <c r="G43" s="3179">
        <v>0.89</v>
      </c>
      <c r="H43" s="3196"/>
      <c r="I43" s="3180">
        <f t="shared" si="174"/>
        <v>0.45</v>
      </c>
      <c r="J43" s="3181"/>
      <c r="K43" s="3182"/>
      <c r="L43" s="3172">
        <f t="shared" si="184"/>
        <v>5.0000000000000001E-3</v>
      </c>
      <c r="M43" s="3172">
        <f t="shared" si="185"/>
        <v>4.5000000000000005E-3</v>
      </c>
      <c r="N43" s="3172">
        <f t="shared" si="186"/>
        <v>8.8999999999999999E-3</v>
      </c>
      <c r="O43" s="3172"/>
      <c r="P43" s="3172">
        <f t="shared" si="187"/>
        <v>4.5000000000000005E-3</v>
      </c>
      <c r="Q43" s="3181"/>
      <c r="R43" s="3183"/>
      <c r="S43" s="3183">
        <f>ROUND(IF(项目基本情况!$B$8="出让",SUMPRODUCT(PRODUCT(1+L43:L$52)),SUMPRODUCT(PRODUCT(1+L43:L$51))),4)</f>
        <v>1.0396000000000001</v>
      </c>
      <c r="T43" s="3183">
        <f>ROUND(IF(项目基本情况!$B$8="出让",SUMPRODUCT(PRODUCT(1+M43:M$52)),SUMPRODUCT(PRODUCT(1+M43:M$51))),4)</f>
        <v>1.0269999999999999</v>
      </c>
      <c r="U43" s="3183">
        <f>ROUND(IF(项目基本情况!$B$8="出让",SUMPRODUCT(PRODUCT(1+N43:N$52)),SUMPRODUCT(PRODUCT(1+N43:N$51))),4)</f>
        <v>1.0668</v>
      </c>
      <c r="V43" s="3183"/>
      <c r="W43" s="3183">
        <f t="shared" si="188"/>
        <v>1.0269999999999999</v>
      </c>
      <c r="X43" s="3181"/>
      <c r="Y43" s="3184"/>
      <c r="Z43" s="3212"/>
      <c r="AA43" s="3214"/>
      <c r="AB43" s="3184"/>
      <c r="AC43" s="3213"/>
      <c r="AD43" s="3184"/>
      <c r="AG43" s="3458">
        <f t="shared" si="129"/>
        <v>103.96000000000001</v>
      </c>
      <c r="AH43" s="3458">
        <f t="shared" si="130"/>
        <v>102.69999999999999</v>
      </c>
      <c r="AI43" s="3458">
        <f t="shared" si="131"/>
        <v>106.67999999999999</v>
      </c>
      <c r="AJ43" s="3460"/>
      <c r="AK43" s="3458">
        <f t="shared" si="132"/>
        <v>102.69999999999999</v>
      </c>
      <c r="AN43" s="3458">
        <f t="shared" si="148"/>
        <v>102.74384658153569</v>
      </c>
      <c r="AO43" s="3458">
        <f t="shared" si="159"/>
        <v>103.03083143937786</v>
      </c>
      <c r="AP43" s="3458">
        <f t="shared" si="160"/>
        <v>103.18779752637312</v>
      </c>
      <c r="AQ43" s="3458"/>
      <c r="AR43" s="3458">
        <f t="shared" si="161"/>
        <v>103.03083143937786</v>
      </c>
    </row>
    <row r="44" spans="1:44" s="3185" customFormat="1" ht="12.75">
      <c r="A44" s="3176" t="s">
        <v>3367</v>
      </c>
      <c r="B44" s="3177">
        <v>2023</v>
      </c>
      <c r="C44" s="3178">
        <v>1</v>
      </c>
      <c r="D44" s="3179"/>
      <c r="E44" s="3179">
        <v>0.55000000000000004</v>
      </c>
      <c r="F44" s="3179">
        <v>0.59</v>
      </c>
      <c r="G44" s="3179">
        <v>0.64</v>
      </c>
      <c r="H44" s="3196"/>
      <c r="I44" s="3180">
        <f t="shared" si="174"/>
        <v>0.59</v>
      </c>
      <c r="J44" s="3181"/>
      <c r="K44" s="3182"/>
      <c r="L44" s="3172">
        <f t="shared" si="184"/>
        <v>5.5000000000000005E-3</v>
      </c>
      <c r="M44" s="3172">
        <f t="shared" si="185"/>
        <v>5.8999999999999999E-3</v>
      </c>
      <c r="N44" s="3172">
        <f t="shared" si="186"/>
        <v>6.4000000000000003E-3</v>
      </c>
      <c r="O44" s="3172"/>
      <c r="P44" s="3172">
        <f t="shared" si="187"/>
        <v>5.8999999999999999E-3</v>
      </c>
      <c r="Q44" s="3181"/>
      <c r="R44" s="3183"/>
      <c r="S44" s="3183">
        <f>ROUND(IF(项目基本情况!$B$8="出让",SUMPRODUCT(PRODUCT(1+L44:L$52)),SUMPRODUCT(PRODUCT(1+L44:L$51))),4)</f>
        <v>1.0344</v>
      </c>
      <c r="T44" s="3183">
        <f>ROUND(IF(项目基本情况!$B$8="出让",SUMPRODUCT(PRODUCT(1+M44:M$52)),SUMPRODUCT(PRODUCT(1+M44:M$51))),4)</f>
        <v>1.0224</v>
      </c>
      <c r="U44" s="3183">
        <f>ROUND(IF(项目基本情况!$B$8="出让",SUMPRODUCT(PRODUCT(1+N44:N$52)),SUMPRODUCT(PRODUCT(1+N44:N$51))),4)</f>
        <v>1.0573999999999999</v>
      </c>
      <c r="V44" s="3183"/>
      <c r="W44" s="3183">
        <f t="shared" si="188"/>
        <v>1.0224</v>
      </c>
      <c r="X44" s="3181"/>
      <c r="Y44" s="3184"/>
      <c r="Z44" s="3212"/>
      <c r="AA44" s="3214"/>
      <c r="AB44" s="3184"/>
      <c r="AC44" s="3213"/>
      <c r="AD44" s="3184"/>
      <c r="AG44" s="3458">
        <f t="shared" si="129"/>
        <v>103.44</v>
      </c>
      <c r="AH44" s="3458">
        <f t="shared" si="130"/>
        <v>102.24</v>
      </c>
      <c r="AI44" s="3458">
        <f t="shared" si="131"/>
        <v>105.74</v>
      </c>
      <c r="AJ44" s="3460"/>
      <c r="AK44" s="3458">
        <f t="shared" si="132"/>
        <v>102.24</v>
      </c>
      <c r="AN44" s="3458">
        <f t="shared" si="148"/>
        <v>102.23268316570717</v>
      </c>
      <c r="AO44" s="3458">
        <f t="shared" si="159"/>
        <v>102.56926972561261</v>
      </c>
      <c r="AP44" s="3458">
        <f t="shared" si="160"/>
        <v>102.27752753134416</v>
      </c>
      <c r="AQ44" s="3458"/>
      <c r="AR44" s="3458">
        <f t="shared" si="161"/>
        <v>102.56926972561261</v>
      </c>
    </row>
    <row r="45" spans="1:44" s="3185" customFormat="1" ht="12.75">
      <c r="A45" s="3176" t="s">
        <v>3366</v>
      </c>
      <c r="B45" s="3177">
        <v>2022</v>
      </c>
      <c r="C45" s="3178">
        <v>4</v>
      </c>
      <c r="D45" s="3179"/>
      <c r="E45" s="3179">
        <v>0.45</v>
      </c>
      <c r="F45" s="3179">
        <v>0.2</v>
      </c>
      <c r="G45" s="3179">
        <v>0.38</v>
      </c>
      <c r="H45" s="3196"/>
      <c r="I45" s="3180">
        <f t="shared" si="174"/>
        <v>0.2</v>
      </c>
      <c r="J45" s="3181"/>
      <c r="K45" s="3182"/>
      <c r="L45" s="3172">
        <f t="shared" si="175"/>
        <v>4.5000000000000005E-3</v>
      </c>
      <c r="M45" s="3172">
        <f t="shared" si="175"/>
        <v>2E-3</v>
      </c>
      <c r="N45" s="3172">
        <f t="shared" si="175"/>
        <v>3.8E-3</v>
      </c>
      <c r="O45" s="3172"/>
      <c r="P45" s="3172">
        <f t="shared" ref="P45:P52" si="189">M45</f>
        <v>2E-3</v>
      </c>
      <c r="Q45" s="3181"/>
      <c r="R45" s="3183"/>
      <c r="S45" s="3183">
        <f>ROUND(IF(项目基本情况!$B$8="出让",SUMPRODUCT(PRODUCT(1+L45:L$52)),SUMPRODUCT(PRODUCT(1+L45:L$51))),4)</f>
        <v>1.0286999999999999</v>
      </c>
      <c r="T45" s="3183">
        <f>ROUND(IF(项目基本情况!$B$8="出让",SUMPRODUCT(PRODUCT(1+M45:M$52)),SUMPRODUCT(PRODUCT(1+M45:M$51))),4)</f>
        <v>1.0164</v>
      </c>
      <c r="U45" s="3183">
        <f>ROUND(IF(项目基本情况!$B$8="出让",SUMPRODUCT(PRODUCT(1+N45:N$52)),SUMPRODUCT(PRODUCT(1+N45:N$51))),4)</f>
        <v>1.0506</v>
      </c>
      <c r="V45" s="3183"/>
      <c r="W45" s="3183">
        <f t="shared" ref="W45:W52" si="190">T45</f>
        <v>1.0164</v>
      </c>
      <c r="X45" s="3181"/>
      <c r="Y45" s="3184"/>
      <c r="Z45" s="3212">
        <f t="shared" ref="Z45:AD52" si="191">IF(E45=0,0,ROUND(AVERAGE(E45:E53)/100,4))</f>
        <v>4.0000000000000001E-3</v>
      </c>
      <c r="AA45" s="3214">
        <f t="shared" si="191"/>
        <v>2.5999999999999999E-3</v>
      </c>
      <c r="AB45" s="3184">
        <f t="shared" si="191"/>
        <v>7.4000000000000003E-3</v>
      </c>
      <c r="AC45" s="3213"/>
      <c r="AD45" s="3184">
        <f t="shared" si="191"/>
        <v>2.5999999999999999E-3</v>
      </c>
      <c r="AG45" s="3458">
        <f t="shared" si="129"/>
        <v>102.86999999999999</v>
      </c>
      <c r="AH45" s="3458">
        <f t="shared" si="130"/>
        <v>101.64</v>
      </c>
      <c r="AI45" s="3458">
        <f t="shared" si="131"/>
        <v>105.06</v>
      </c>
      <c r="AJ45" s="3460"/>
      <c r="AK45" s="3458">
        <f t="shared" si="132"/>
        <v>101.64</v>
      </c>
      <c r="AN45" s="3458">
        <f t="shared" si="148"/>
        <v>101.67347903103646</v>
      </c>
      <c r="AO45" s="3458">
        <f t="shared" si="159"/>
        <v>101.96766052849449</v>
      </c>
      <c r="AP45" s="3458">
        <f t="shared" si="160"/>
        <v>101.62711400173308</v>
      </c>
      <c r="AQ45" s="3458"/>
      <c r="AR45" s="3458">
        <f t="shared" si="161"/>
        <v>101.96766052849449</v>
      </c>
    </row>
    <row r="46" spans="1:44" s="3185" customFormat="1" ht="12.75">
      <c r="A46" s="3176" t="s">
        <v>3365</v>
      </c>
      <c r="B46" s="3177">
        <v>2022</v>
      </c>
      <c r="C46" s="3178">
        <v>3</v>
      </c>
      <c r="D46" s="3179"/>
      <c r="E46" s="3179">
        <v>0.3</v>
      </c>
      <c r="F46" s="3179">
        <v>0.28999999999999998</v>
      </c>
      <c r="G46" s="3179">
        <v>0.83</v>
      </c>
      <c r="H46" s="3196"/>
      <c r="I46" s="3180">
        <f t="shared" si="174"/>
        <v>0.28999999999999998</v>
      </c>
      <c r="J46" s="3181"/>
      <c r="K46" s="3182"/>
      <c r="L46" s="3172">
        <f t="shared" si="175"/>
        <v>3.0000000000000001E-3</v>
      </c>
      <c r="M46" s="3172">
        <f t="shared" si="175"/>
        <v>2.8999999999999998E-3</v>
      </c>
      <c r="N46" s="3172">
        <f t="shared" si="175"/>
        <v>8.3000000000000001E-3</v>
      </c>
      <c r="O46" s="3172"/>
      <c r="P46" s="3172">
        <f t="shared" si="189"/>
        <v>2.8999999999999998E-3</v>
      </c>
      <c r="Q46" s="3181"/>
      <c r="R46" s="3183"/>
      <c r="S46" s="3183">
        <f>ROUND(IF(项目基本情况!$B$8="出让",SUMPRODUCT(PRODUCT(1+L46:L$52)),SUMPRODUCT(PRODUCT(1+L46:L$51))),4)</f>
        <v>1.0241</v>
      </c>
      <c r="T46" s="3183">
        <f>ROUND(IF(项目基本情况!$B$8="出让",SUMPRODUCT(PRODUCT(1+M46:M$52)),SUMPRODUCT(PRODUCT(1+M46:M$51))),4)</f>
        <v>1.0144</v>
      </c>
      <c r="U46" s="3183">
        <f>ROUND(IF(项目基本情况!$B$8="出让",SUMPRODUCT(PRODUCT(1+N46:N$52)),SUMPRODUCT(PRODUCT(1+N46:N$51))),4)</f>
        <v>1.0467</v>
      </c>
      <c r="V46" s="3183"/>
      <c r="W46" s="3183">
        <f t="shared" si="190"/>
        <v>1.0144</v>
      </c>
      <c r="X46" s="3181"/>
      <c r="Y46" s="3184"/>
      <c r="Z46" s="3212">
        <f t="shared" si="191"/>
        <v>3.8999999999999998E-3</v>
      </c>
      <c r="AA46" s="3214">
        <f t="shared" si="191"/>
        <v>2.7000000000000001E-3</v>
      </c>
      <c r="AB46" s="3184">
        <f t="shared" si="191"/>
        <v>7.9000000000000008E-3</v>
      </c>
      <c r="AC46" s="3213"/>
      <c r="AD46" s="3184">
        <f t="shared" si="191"/>
        <v>2.7000000000000001E-3</v>
      </c>
      <c r="AG46" s="3458">
        <f t="shared" si="129"/>
        <v>102.41</v>
      </c>
      <c r="AH46" s="3458">
        <f t="shared" si="130"/>
        <v>101.44</v>
      </c>
      <c r="AI46" s="3458">
        <f t="shared" si="131"/>
        <v>104.67</v>
      </c>
      <c r="AJ46" s="3460"/>
      <c r="AK46" s="3458">
        <f t="shared" si="132"/>
        <v>101.44</v>
      </c>
      <c r="AN46" s="3458">
        <f t="shared" si="148"/>
        <v>101.21799803985711</v>
      </c>
      <c r="AO46" s="3458">
        <f t="shared" si="159"/>
        <v>101.76413226396656</v>
      </c>
      <c r="AP46" s="3458">
        <f t="shared" si="160"/>
        <v>101.24239290868009</v>
      </c>
      <c r="AQ46" s="3458"/>
      <c r="AR46" s="3458">
        <f t="shared" si="161"/>
        <v>101.76413226396656</v>
      </c>
    </row>
    <row r="47" spans="1:44" s="3185" customFormat="1" ht="12.75">
      <c r="A47" s="3176" t="s">
        <v>3355</v>
      </c>
      <c r="B47" s="3177">
        <v>2022</v>
      </c>
      <c r="C47" s="3178">
        <v>2</v>
      </c>
      <c r="D47" s="3179"/>
      <c r="E47" s="3179">
        <v>-0.11</v>
      </c>
      <c r="F47" s="3179">
        <v>-0.13</v>
      </c>
      <c r="G47" s="3179">
        <v>0.53</v>
      </c>
      <c r="H47" s="3196"/>
      <c r="I47" s="3180">
        <f t="shared" si="174"/>
        <v>-0.13</v>
      </c>
      <c r="J47" s="3181"/>
      <c r="K47" s="3182"/>
      <c r="L47" s="3172">
        <f t="shared" si="175"/>
        <v>-1.1000000000000001E-3</v>
      </c>
      <c r="M47" s="3172">
        <f t="shared" si="175"/>
        <v>-1.2999999999999999E-3</v>
      </c>
      <c r="N47" s="3172">
        <f t="shared" si="175"/>
        <v>5.3E-3</v>
      </c>
      <c r="O47" s="3172"/>
      <c r="P47" s="3172">
        <f t="shared" si="189"/>
        <v>-1.2999999999999999E-3</v>
      </c>
      <c r="Q47" s="3181"/>
      <c r="R47" s="3183"/>
      <c r="S47" s="3183">
        <f>ROUND(IF(项目基本情况!$B$8="出让",SUMPRODUCT(PRODUCT(1+L47:L$52)),SUMPRODUCT(PRODUCT(1+L47:L$51))),4)</f>
        <v>1.0210999999999999</v>
      </c>
      <c r="T47" s="3183">
        <f>ROUND(IF(项目基本情况!$B$8="出让",SUMPRODUCT(PRODUCT(1+M47:M$52)),SUMPRODUCT(PRODUCT(1+M47:M$51))),4)</f>
        <v>1.0114000000000001</v>
      </c>
      <c r="U47" s="3183">
        <f>ROUND(IF(项目基本情况!$B$8="出让",SUMPRODUCT(PRODUCT(1+N47:N$52)),SUMPRODUCT(PRODUCT(1+N47:N$51))),4)</f>
        <v>1.0381</v>
      </c>
      <c r="V47" s="3183"/>
      <c r="W47" s="3183">
        <f t="shared" si="190"/>
        <v>1.0114000000000001</v>
      </c>
      <c r="X47" s="3181"/>
      <c r="Y47" s="3184"/>
      <c r="Z47" s="3212">
        <f t="shared" si="191"/>
        <v>4.1000000000000003E-3</v>
      </c>
      <c r="AA47" s="3214">
        <f t="shared" si="191"/>
        <v>2.7000000000000001E-3</v>
      </c>
      <c r="AB47" s="3184">
        <f t="shared" si="191"/>
        <v>7.9000000000000008E-3</v>
      </c>
      <c r="AC47" s="3213"/>
      <c r="AD47" s="3184">
        <f t="shared" si="191"/>
        <v>2.7000000000000001E-3</v>
      </c>
      <c r="AG47" s="3458">
        <f t="shared" si="129"/>
        <v>102.10999999999999</v>
      </c>
      <c r="AH47" s="3458">
        <f t="shared" si="130"/>
        <v>101.14000000000001</v>
      </c>
      <c r="AI47" s="3458">
        <f t="shared" si="131"/>
        <v>103.81</v>
      </c>
      <c r="AJ47" s="3460"/>
      <c r="AK47" s="3458">
        <f t="shared" si="132"/>
        <v>101.14000000000001</v>
      </c>
      <c r="AN47" s="3458">
        <f t="shared" si="148"/>
        <v>100.9152522830081</v>
      </c>
      <c r="AO47" s="3458">
        <f t="shared" si="159"/>
        <v>101.46986964200475</v>
      </c>
      <c r="AP47" s="3458">
        <f t="shared" si="160"/>
        <v>100.40899822342566</v>
      </c>
      <c r="AQ47" s="3458"/>
      <c r="AR47" s="3458">
        <f t="shared" si="161"/>
        <v>101.46986964200475</v>
      </c>
    </row>
    <row r="48" spans="1:44" s="3185" customFormat="1" ht="12.75">
      <c r="A48" s="3176" t="s">
        <v>2835</v>
      </c>
      <c r="B48" s="3177">
        <v>2022</v>
      </c>
      <c r="C48" s="3178">
        <v>1</v>
      </c>
      <c r="D48" s="3179"/>
      <c r="E48" s="3179">
        <v>0.6</v>
      </c>
      <c r="F48" s="3179">
        <v>0.45</v>
      </c>
      <c r="G48" s="3179">
        <v>0.53</v>
      </c>
      <c r="H48" s="3196"/>
      <c r="I48" s="3180">
        <f t="shared" si="174"/>
        <v>0.45</v>
      </c>
      <c r="J48" s="3181"/>
      <c r="K48" s="3182"/>
      <c r="L48" s="3172">
        <f t="shared" si="175"/>
        <v>6.0000000000000001E-3</v>
      </c>
      <c r="M48" s="3172">
        <f t="shared" si="175"/>
        <v>4.5000000000000005E-3</v>
      </c>
      <c r="N48" s="3172">
        <f t="shared" si="175"/>
        <v>5.3E-3</v>
      </c>
      <c r="O48" s="3172"/>
      <c r="P48" s="3172">
        <f t="shared" si="189"/>
        <v>4.5000000000000005E-3</v>
      </c>
      <c r="Q48" s="3181"/>
      <c r="R48" s="3183"/>
      <c r="S48" s="3183">
        <f>ROUND(IF(项目基本情况!$B$8="出让",SUMPRODUCT(PRODUCT(1+L48:L$52)),SUMPRODUCT(PRODUCT(1+L48:L$51))),4)</f>
        <v>1.0222</v>
      </c>
      <c r="T48" s="3183">
        <f>ROUND(IF(项目基本情况!$B$8="出让",SUMPRODUCT(PRODUCT(1+M48:M$52)),SUMPRODUCT(PRODUCT(1+M48:M$51))),4)</f>
        <v>1.0127999999999999</v>
      </c>
      <c r="U48" s="3183">
        <f>ROUND(IF(项目基本情况!$B$8="出让",SUMPRODUCT(PRODUCT(1+N48:N$52)),SUMPRODUCT(PRODUCT(1+N48:N$51))),4)</f>
        <v>1.0326</v>
      </c>
      <c r="V48" s="3183"/>
      <c r="W48" s="3183">
        <f t="shared" si="190"/>
        <v>1.0127999999999999</v>
      </c>
      <c r="X48" s="3181"/>
      <c r="Y48" s="3184"/>
      <c r="Z48" s="3212">
        <f t="shared" si="191"/>
        <v>5.1000000000000004E-3</v>
      </c>
      <c r="AA48" s="3214">
        <f t="shared" si="191"/>
        <v>3.5000000000000001E-3</v>
      </c>
      <c r="AB48" s="3184">
        <f t="shared" si="191"/>
        <v>8.3999999999999995E-3</v>
      </c>
      <c r="AC48" s="3213"/>
      <c r="AD48" s="3184">
        <f t="shared" si="191"/>
        <v>3.5000000000000001E-3</v>
      </c>
      <c r="AG48" s="3458">
        <f t="shared" si="129"/>
        <v>102.22</v>
      </c>
      <c r="AH48" s="3458">
        <f t="shared" si="130"/>
        <v>101.27999999999999</v>
      </c>
      <c r="AI48" s="3458">
        <f t="shared" si="131"/>
        <v>103.25999999999999</v>
      </c>
      <c r="AJ48" s="3460"/>
      <c r="AK48" s="3458">
        <f t="shared" si="132"/>
        <v>101.27999999999999</v>
      </c>
      <c r="AN48" s="3458">
        <f t="shared" si="148"/>
        <v>101.02638130244078</v>
      </c>
      <c r="AO48" s="3458">
        <f t="shared" si="159"/>
        <v>101.60195217983853</v>
      </c>
      <c r="AP48" s="3458">
        <f t="shared" si="160"/>
        <v>99.879636151820989</v>
      </c>
      <c r="AQ48" s="3458"/>
      <c r="AR48" s="3458">
        <f t="shared" si="161"/>
        <v>101.60195217983853</v>
      </c>
    </row>
    <row r="49" spans="1:44" s="3185" customFormat="1" ht="12.75">
      <c r="A49" s="3176" t="s">
        <v>2836</v>
      </c>
      <c r="B49" s="3177">
        <v>2021</v>
      </c>
      <c r="C49" s="3178">
        <v>4</v>
      </c>
      <c r="D49" s="3179"/>
      <c r="E49" s="3179">
        <v>0.57999999999999996</v>
      </c>
      <c r="F49" s="3179">
        <v>0.08</v>
      </c>
      <c r="G49" s="3179">
        <v>0.68</v>
      </c>
      <c r="H49" s="3196"/>
      <c r="I49" s="3180">
        <f t="shared" si="174"/>
        <v>0.08</v>
      </c>
      <c r="J49" s="3181"/>
      <c r="K49" s="3182"/>
      <c r="L49" s="3172">
        <f t="shared" si="175"/>
        <v>5.7999999999999996E-3</v>
      </c>
      <c r="M49" s="3172">
        <f t="shared" si="175"/>
        <v>8.0000000000000004E-4</v>
      </c>
      <c r="N49" s="3172">
        <f t="shared" si="175"/>
        <v>6.8000000000000005E-3</v>
      </c>
      <c r="O49" s="3172"/>
      <c r="P49" s="3172">
        <f t="shared" si="189"/>
        <v>8.0000000000000004E-4</v>
      </c>
      <c r="Q49" s="3181"/>
      <c r="R49" s="3183"/>
      <c r="S49" s="3183">
        <f>ROUND(IF(项目基本情况!$B$8="出让",SUMPRODUCT(PRODUCT(1+L49:L$52)),SUMPRODUCT(PRODUCT(1+L49:L$51))),4)</f>
        <v>1.0161</v>
      </c>
      <c r="T49" s="3183">
        <f>ROUND(IF(项目基本情况!$B$8="出让",SUMPRODUCT(PRODUCT(1+M49:M$52)),SUMPRODUCT(PRODUCT(1+M49:M$51))),4)</f>
        <v>1.0082</v>
      </c>
      <c r="U49" s="3183">
        <f>ROUND(IF(项目基本情况!$B$8="出让",SUMPRODUCT(PRODUCT(1+N49:N$52)),SUMPRODUCT(PRODUCT(1+N49:N$51))),4)</f>
        <v>1.0270999999999999</v>
      </c>
      <c r="V49" s="3183"/>
      <c r="W49" s="3183">
        <f t="shared" si="190"/>
        <v>1.0082</v>
      </c>
      <c r="X49" s="3181"/>
      <c r="Y49" s="3184"/>
      <c r="Z49" s="3212">
        <f t="shared" si="191"/>
        <v>4.8999999999999998E-3</v>
      </c>
      <c r="AA49" s="3214">
        <f t="shared" si="191"/>
        <v>3.3E-3</v>
      </c>
      <c r="AB49" s="3184">
        <f t="shared" si="191"/>
        <v>9.1999999999999998E-3</v>
      </c>
      <c r="AC49" s="3213"/>
      <c r="AD49" s="3184">
        <f t="shared" si="191"/>
        <v>3.3E-3</v>
      </c>
      <c r="AG49" s="3458">
        <f t="shared" si="129"/>
        <v>101.61</v>
      </c>
      <c r="AH49" s="3458">
        <f t="shared" si="130"/>
        <v>100.82</v>
      </c>
      <c r="AI49" s="3458">
        <f t="shared" si="131"/>
        <v>102.71</v>
      </c>
      <c r="AJ49" s="3460"/>
      <c r="AK49" s="3458">
        <f t="shared" si="132"/>
        <v>100.82</v>
      </c>
      <c r="AN49" s="3458">
        <f t="shared" si="148"/>
        <v>100.42383827280396</v>
      </c>
      <c r="AO49" s="3458">
        <f t="shared" si="159"/>
        <v>101.14679161755951</v>
      </c>
      <c r="AP49" s="3458">
        <f t="shared" si="160"/>
        <v>99.353064907809596</v>
      </c>
      <c r="AQ49" s="3458"/>
      <c r="AR49" s="3458">
        <f t="shared" si="161"/>
        <v>101.14679161755951</v>
      </c>
    </row>
    <row r="50" spans="1:44" s="3185" customFormat="1" ht="12.75">
      <c r="A50" s="3176" t="s">
        <v>2837</v>
      </c>
      <c r="B50" s="3177">
        <v>2021</v>
      </c>
      <c r="C50" s="3178">
        <v>3</v>
      </c>
      <c r="D50" s="3179"/>
      <c r="E50" s="3179">
        <v>0.47</v>
      </c>
      <c r="F50" s="3179">
        <v>0.28000000000000003</v>
      </c>
      <c r="G50" s="3179">
        <v>0.91</v>
      </c>
      <c r="H50" s="3196"/>
      <c r="I50" s="3180">
        <f t="shared" si="174"/>
        <v>0.28000000000000003</v>
      </c>
      <c r="J50" s="3181"/>
      <c r="K50" s="3182"/>
      <c r="L50" s="3172">
        <f t="shared" si="175"/>
        <v>4.6999999999999993E-3</v>
      </c>
      <c r="M50" s="3172">
        <f t="shared" si="175"/>
        <v>2.8000000000000004E-3</v>
      </c>
      <c r="N50" s="3172">
        <f t="shared" si="175"/>
        <v>9.1000000000000004E-3</v>
      </c>
      <c r="O50" s="3172"/>
      <c r="P50" s="3172">
        <f t="shared" si="189"/>
        <v>2.8000000000000004E-3</v>
      </c>
      <c r="Q50" s="3181"/>
      <c r="R50" s="3183"/>
      <c r="S50" s="3183">
        <f>ROUND(IF(项目基本情况!$B$8="出让",SUMPRODUCT(PRODUCT(1+L50:L$52)),SUMPRODUCT(PRODUCT(1+L50:L$51))),4)</f>
        <v>1.0102</v>
      </c>
      <c r="T50" s="3183">
        <f>ROUND(IF(项目基本情况!$B$8="出让",SUMPRODUCT(PRODUCT(1+M50:M$52)),SUMPRODUCT(PRODUCT(1+M50:M$51))),4)</f>
        <v>1.0074000000000001</v>
      </c>
      <c r="U50" s="3183">
        <f>ROUND(IF(项目基本情况!$B$8="出让",SUMPRODUCT(PRODUCT(1+N50:N$52)),SUMPRODUCT(PRODUCT(1+N50:N$51))),4)</f>
        <v>1.0202</v>
      </c>
      <c r="V50" s="3183"/>
      <c r="W50" s="3183">
        <f t="shared" si="190"/>
        <v>1.0074000000000001</v>
      </c>
      <c r="X50" s="3181"/>
      <c r="Y50" s="3184"/>
      <c r="Z50" s="3212">
        <f t="shared" si="191"/>
        <v>4.5999999999999999E-3</v>
      </c>
      <c r="AA50" s="3214">
        <f t="shared" si="191"/>
        <v>4.1000000000000003E-3</v>
      </c>
      <c r="AB50" s="3184">
        <f t="shared" si="191"/>
        <v>0.01</v>
      </c>
      <c r="AC50" s="3213"/>
      <c r="AD50" s="3184">
        <f t="shared" si="191"/>
        <v>4.1000000000000003E-3</v>
      </c>
      <c r="AG50" s="3458">
        <f t="shared" si="129"/>
        <v>101.02</v>
      </c>
      <c r="AH50" s="3458">
        <f t="shared" si="130"/>
        <v>100.74000000000001</v>
      </c>
      <c r="AI50" s="3458">
        <f t="shared" si="131"/>
        <v>102.02</v>
      </c>
      <c r="AJ50" s="3460"/>
      <c r="AK50" s="3458">
        <f t="shared" si="132"/>
        <v>100.74000000000001</v>
      </c>
      <c r="AN50" s="3458">
        <f t="shared" si="148"/>
        <v>99.844738787834515</v>
      </c>
      <c r="AO50" s="3458">
        <f t="shared" si="159"/>
        <v>101.06593886646635</v>
      </c>
      <c r="AP50" s="3458">
        <f t="shared" si="160"/>
        <v>98.682027123370688</v>
      </c>
      <c r="AQ50" s="3458"/>
      <c r="AR50" s="3458">
        <f t="shared" si="161"/>
        <v>101.06593886646635</v>
      </c>
    </row>
    <row r="51" spans="1:44" s="3185" customFormat="1" ht="12.75">
      <c r="A51" s="3176" t="s">
        <v>2838</v>
      </c>
      <c r="B51" s="3177">
        <v>2021</v>
      </c>
      <c r="C51" s="3178">
        <v>2</v>
      </c>
      <c r="D51" s="3179"/>
      <c r="E51" s="3179">
        <v>0.55000000000000004</v>
      </c>
      <c r="F51" s="3179">
        <v>0.46</v>
      </c>
      <c r="G51" s="3179">
        <v>1.1000000000000001</v>
      </c>
      <c r="H51" s="3196"/>
      <c r="I51" s="3180">
        <f t="shared" si="174"/>
        <v>0.46</v>
      </c>
      <c r="J51" s="3181"/>
      <c r="K51" s="3182"/>
      <c r="L51" s="3172">
        <f t="shared" si="175"/>
        <v>5.5000000000000005E-3</v>
      </c>
      <c r="M51" s="3172">
        <f t="shared" si="175"/>
        <v>4.5999999999999999E-3</v>
      </c>
      <c r="N51" s="3172">
        <f t="shared" si="175"/>
        <v>1.1000000000000001E-2</v>
      </c>
      <c r="O51" s="3172"/>
      <c r="P51" s="3172">
        <f t="shared" si="189"/>
        <v>4.5999999999999999E-3</v>
      </c>
      <c r="Q51" s="3181"/>
      <c r="R51" s="3183"/>
      <c r="S51" s="3183">
        <f>ROUND(IF(项目基本情况!$B$8="出让",SUMPRODUCT(PRODUCT(1+L51:L$52)),SUMPRODUCT(PRODUCT(1+L51:L$51))),4)</f>
        <v>1.0055000000000001</v>
      </c>
      <c r="T51" s="3183">
        <f>ROUND(IF(项目基本情况!$B$8="出让",SUMPRODUCT(PRODUCT(1+M51:M$52)),SUMPRODUCT(PRODUCT(1+M51:M$51))),4)</f>
        <v>1.0045999999999999</v>
      </c>
      <c r="U51" s="3183">
        <f>ROUND(IF(项目基本情况!$B$8="出让",SUMPRODUCT(PRODUCT(1+N51:N$52)),SUMPRODUCT(PRODUCT(1+N51:N$51))),4)</f>
        <v>1.0109999999999999</v>
      </c>
      <c r="V51" s="3183"/>
      <c r="W51" s="3183">
        <f t="shared" si="190"/>
        <v>1.0045999999999999</v>
      </c>
      <c r="X51" s="3181"/>
      <c r="Y51" s="3184"/>
      <c r="Z51" s="3212">
        <f t="shared" si="191"/>
        <v>4.4999999999999997E-3</v>
      </c>
      <c r="AA51" s="3214">
        <f t="shared" si="191"/>
        <v>4.7000000000000002E-3</v>
      </c>
      <c r="AB51" s="3184">
        <f t="shared" si="191"/>
        <v>1.04E-2</v>
      </c>
      <c r="AC51" s="3213"/>
      <c r="AD51" s="3184">
        <f t="shared" si="191"/>
        <v>4.7000000000000002E-3</v>
      </c>
      <c r="AG51" s="3458">
        <f>$AG$52*S51</f>
        <v>100.55000000000001</v>
      </c>
      <c r="AH51" s="3458">
        <f t="shared" ref="AH51:AK51" si="192">$AG$52*T51</f>
        <v>100.46</v>
      </c>
      <c r="AI51" s="3458">
        <f t="shared" si="192"/>
        <v>101.1</v>
      </c>
      <c r="AJ51" s="3460"/>
      <c r="AK51" s="3458">
        <f t="shared" si="192"/>
        <v>100.46</v>
      </c>
      <c r="AN51" s="3458">
        <f t="shared" si="148"/>
        <v>99.377663768124336</v>
      </c>
      <c r="AO51" s="3458">
        <f t="shared" si="159"/>
        <v>100.78374438219622</v>
      </c>
      <c r="AP51" s="3458">
        <f t="shared" si="160"/>
        <v>97.7921188419093</v>
      </c>
      <c r="AQ51" s="3458"/>
      <c r="AR51" s="3458">
        <f t="shared" si="161"/>
        <v>100.78374438219622</v>
      </c>
    </row>
    <row r="52" spans="1:44" s="3207" customFormat="1" ht="14.25" thickBot="1">
      <c r="A52" s="3197" t="s">
        <v>2824</v>
      </c>
      <c r="B52" s="3198">
        <v>2021</v>
      </c>
      <c r="C52" s="3199">
        <v>1</v>
      </c>
      <c r="D52" s="3200"/>
      <c r="E52" s="3200">
        <v>0.35</v>
      </c>
      <c r="F52" s="3200">
        <v>0.48</v>
      </c>
      <c r="G52" s="3200">
        <v>0.98</v>
      </c>
      <c r="H52" s="3201"/>
      <c r="I52" s="3202">
        <f t="shared" si="174"/>
        <v>0.48</v>
      </c>
      <c r="J52" s="3203"/>
      <c r="K52" s="3204"/>
      <c r="L52" s="3205">
        <f t="shared" si="175"/>
        <v>3.4999999999999996E-3</v>
      </c>
      <c r="M52" s="3205">
        <f>F52/100</f>
        <v>4.7999999999999996E-3</v>
      </c>
      <c r="N52" s="3205">
        <f t="shared" si="175"/>
        <v>9.7999999999999997E-3</v>
      </c>
      <c r="O52" s="3205"/>
      <c r="P52" s="3205">
        <f t="shared" si="189"/>
        <v>4.7999999999999996E-3</v>
      </c>
      <c r="Q52" s="3203"/>
      <c r="R52" s="3206"/>
      <c r="S52" s="3206">
        <v>1</v>
      </c>
      <c r="T52" s="3206">
        <v>1</v>
      </c>
      <c r="U52" s="3206">
        <v>1</v>
      </c>
      <c r="V52" s="3206"/>
      <c r="W52" s="3206">
        <f t="shared" si="190"/>
        <v>1</v>
      </c>
      <c r="X52" s="3203"/>
      <c r="Y52" s="3205"/>
      <c r="Z52" s="3218">
        <f t="shared" si="191"/>
        <v>3.5000000000000001E-3</v>
      </c>
      <c r="AA52" s="3219">
        <f t="shared" si="191"/>
        <v>4.7999999999999996E-3</v>
      </c>
      <c r="AB52" s="3205">
        <f t="shared" si="191"/>
        <v>9.7999999999999997E-3</v>
      </c>
      <c r="AC52" s="3220"/>
      <c r="AD52" s="3205">
        <f t="shared" si="191"/>
        <v>4.7999999999999996E-3</v>
      </c>
      <c r="AG52" s="3462">
        <v>100</v>
      </c>
      <c r="AH52" s="3462">
        <v>100</v>
      </c>
      <c r="AI52" s="3462">
        <v>100</v>
      </c>
      <c r="AJ52" s="3462"/>
      <c r="AK52" s="3462">
        <v>100</v>
      </c>
      <c r="AN52" s="3465">
        <f t="shared" si="148"/>
        <v>98.83407634820918</v>
      </c>
      <c r="AO52" s="3465">
        <f t="shared" si="159"/>
        <v>100.32226197710156</v>
      </c>
      <c r="AP52" s="3465">
        <f t="shared" si="160"/>
        <v>96.728109635914251</v>
      </c>
      <c r="AQ52" s="3465"/>
      <c r="AR52" s="3465">
        <f t="shared" si="161"/>
        <v>100.32226197710156</v>
      </c>
    </row>
    <row r="53" spans="1:44" ht="14.25" thickTop="1"/>
    <row r="54" spans="1:44">
      <c r="A54" s="3448" t="s">
        <v>3380</v>
      </c>
    </row>
  </sheetData>
  <sheetProtection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17" sqref="I17"/>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809" t="s">
        <v>452</v>
      </c>
      <c r="C1" s="3809"/>
      <c r="D1" s="3809"/>
      <c r="E1" s="3809"/>
      <c r="F1" s="3809"/>
      <c r="G1" s="3805" t="s">
        <v>453</v>
      </c>
      <c r="H1" s="3805"/>
      <c r="I1" s="3805"/>
      <c r="J1" s="3805"/>
      <c r="K1" s="3805"/>
      <c r="L1" s="3805"/>
      <c r="N1" s="3805" t="s">
        <v>454</v>
      </c>
      <c r="O1" s="3805"/>
      <c r="P1" s="3805"/>
      <c r="Q1" s="3805"/>
      <c r="S1" s="3805" t="s">
        <v>455</v>
      </c>
      <c r="T1" s="3805"/>
      <c r="U1" s="3805"/>
      <c r="V1" s="3805"/>
      <c r="X1" s="3804" t="s">
        <v>456</v>
      </c>
      <c r="Y1" s="3805"/>
      <c r="Z1" s="3805"/>
      <c r="AA1" s="3805"/>
      <c r="AB1" s="3805"/>
      <c r="AD1" s="3804" t="s">
        <v>457</v>
      </c>
      <c r="AE1" s="3805"/>
      <c r="AF1" s="3805"/>
      <c r="AG1" s="3805"/>
      <c r="AH1" s="3805"/>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3363</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3360</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3361</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3362</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2436</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2313</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2312</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2311</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2308</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2307</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807">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807"/>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807"/>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814"/>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810">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807"/>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807"/>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814"/>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810">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807"/>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807"/>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808"/>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806">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807"/>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807"/>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808"/>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806">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807"/>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807"/>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808"/>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811">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812"/>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812"/>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813"/>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806">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807"/>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807"/>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808"/>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806">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807">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807">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808">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806">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807">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807">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808">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806">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807">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807">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808">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806">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807">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807">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808">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806">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807">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807">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808">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806">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807">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807">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808">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806">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807">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807">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808">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806">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807">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807">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808">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806">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807">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807">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808">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806">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807">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807">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808">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I17" sqref="I17"/>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817" t="s">
        <v>2839</v>
      </c>
      <c r="B1" s="3817"/>
      <c r="C1" s="3817"/>
      <c r="D1" s="3817"/>
      <c r="E1" s="3817"/>
      <c r="F1" s="3817"/>
      <c r="G1" s="3818"/>
      <c r="I1" s="3223" t="s">
        <v>2840</v>
      </c>
      <c r="J1" s="3224" t="s">
        <v>2841</v>
      </c>
      <c r="K1" s="3224" t="s">
        <v>2842</v>
      </c>
      <c r="L1" s="3224" t="s">
        <v>2843</v>
      </c>
      <c r="M1" s="3224" t="s">
        <v>2844</v>
      </c>
      <c r="N1" s="3224" t="s">
        <v>2845</v>
      </c>
      <c r="O1" s="3224" t="s">
        <v>2846</v>
      </c>
      <c r="P1" s="3224" t="s">
        <v>2847</v>
      </c>
      <c r="Q1" s="3224" t="s">
        <v>2848</v>
      </c>
      <c r="R1" s="3224" t="s">
        <v>2849</v>
      </c>
      <c r="S1" s="3224" t="s">
        <v>2850</v>
      </c>
      <c r="T1" s="3225" t="s">
        <v>2851</v>
      </c>
    </row>
    <row r="2" spans="1:20" ht="12" thickBot="1">
      <c r="A2" s="3227" t="s">
        <v>2852</v>
      </c>
      <c r="B2" s="3227"/>
      <c r="C2" s="3227"/>
      <c r="D2" s="3227"/>
      <c r="E2" s="3227"/>
      <c r="F2" s="3227"/>
      <c r="G2" s="3228" t="s">
        <v>2853</v>
      </c>
      <c r="I2" s="3229" t="s">
        <v>2854</v>
      </c>
      <c r="J2" s="3229" t="s">
        <v>2855</v>
      </c>
      <c r="K2" s="3229" t="s">
        <v>2856</v>
      </c>
      <c r="L2" s="3229" t="s">
        <v>2857</v>
      </c>
      <c r="M2" s="3229" t="s">
        <v>2858</v>
      </c>
      <c r="N2" s="3229" t="s">
        <v>2859</v>
      </c>
      <c r="O2" s="3229" t="s">
        <v>2860</v>
      </c>
      <c r="P2" s="3229" t="s">
        <v>2861</v>
      </c>
      <c r="Q2" s="3229" t="s">
        <v>2862</v>
      </c>
      <c r="R2" s="3229" t="s">
        <v>2863</v>
      </c>
      <c r="S2" s="3229" t="s">
        <v>2864</v>
      </c>
      <c r="T2" s="3229" t="s">
        <v>2865</v>
      </c>
    </row>
    <row r="3" spans="1:20" s="3235" customFormat="1">
      <c r="A3" s="3815" t="s">
        <v>2866</v>
      </c>
      <c r="B3" s="3230"/>
      <c r="C3" s="3231" t="s">
        <v>2811</v>
      </c>
      <c r="D3" s="3231" t="s">
        <v>2867</v>
      </c>
      <c r="E3" s="3231" t="s">
        <v>2813</v>
      </c>
      <c r="F3" s="3231" t="s">
        <v>2868</v>
      </c>
      <c r="G3" s="3231" t="s">
        <v>2631</v>
      </c>
      <c r="H3" s="3232"/>
      <c r="I3" s="3233" t="s">
        <v>2869</v>
      </c>
      <c r="J3" s="3234" t="s">
        <v>128</v>
      </c>
      <c r="K3" s="3234" t="s">
        <v>129</v>
      </c>
      <c r="L3" s="3233" t="s">
        <v>130</v>
      </c>
      <c r="M3" s="3233" t="s">
        <v>131</v>
      </c>
      <c r="N3" s="3233" t="s">
        <v>132</v>
      </c>
      <c r="O3" s="3233" t="s">
        <v>133</v>
      </c>
      <c r="P3" s="3233" t="s">
        <v>134</v>
      </c>
      <c r="Q3" s="3233" t="s">
        <v>135</v>
      </c>
      <c r="R3" s="3233" t="s">
        <v>136</v>
      </c>
      <c r="S3" s="3233" t="s">
        <v>2870</v>
      </c>
      <c r="T3" s="3233" t="s">
        <v>2871</v>
      </c>
    </row>
    <row r="4" spans="1:20" s="3235" customFormat="1" ht="12" thickBot="1">
      <c r="A4" s="3816"/>
      <c r="B4" s="3236" t="s">
        <v>2872</v>
      </c>
      <c r="C4" s="3236" t="s">
        <v>2873</v>
      </c>
      <c r="D4" s="3236" t="s">
        <v>2873</v>
      </c>
      <c r="E4" s="3236" t="s">
        <v>2873</v>
      </c>
      <c r="F4" s="3237" t="s">
        <v>2873</v>
      </c>
      <c r="G4" s="3237" t="s">
        <v>2873</v>
      </c>
      <c r="H4" s="3232"/>
      <c r="I4" s="3234" t="s">
        <v>137</v>
      </c>
      <c r="J4" s="3234" t="s">
        <v>111</v>
      </c>
      <c r="K4" s="3234" t="s">
        <v>138</v>
      </c>
      <c r="L4" s="3233" t="s">
        <v>139</v>
      </c>
      <c r="M4" s="3233" t="s">
        <v>140</v>
      </c>
      <c r="N4" s="3233" t="s">
        <v>141</v>
      </c>
      <c r="O4" s="3233" t="s">
        <v>142</v>
      </c>
      <c r="P4" s="3233" t="s">
        <v>143</v>
      </c>
      <c r="Q4" s="3233" t="s">
        <v>2874</v>
      </c>
      <c r="R4" s="3233" t="s">
        <v>2875</v>
      </c>
      <c r="S4" s="3233" t="s">
        <v>2876</v>
      </c>
      <c r="T4" s="3233" t="s">
        <v>2877</v>
      </c>
    </row>
    <row r="5" spans="1:20">
      <c r="A5" s="3238" t="s">
        <v>2840</v>
      </c>
      <c r="B5" s="3229" t="s">
        <v>2854</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2878</v>
      </c>
      <c r="R5" s="3233" t="s">
        <v>2879</v>
      </c>
      <c r="S5" s="3233" t="s">
        <v>153</v>
      </c>
      <c r="T5" s="3233" t="s">
        <v>2880</v>
      </c>
    </row>
    <row r="6" spans="1:20" ht="12" thickBot="1">
      <c r="A6" s="3233" t="s">
        <v>144</v>
      </c>
      <c r="B6" s="3233" t="s">
        <v>2869</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2881</v>
      </c>
      <c r="Q6" s="3233" t="s">
        <v>2882</v>
      </c>
      <c r="R6" s="3233" t="s">
        <v>161</v>
      </c>
      <c r="S6" s="3233" t="s">
        <v>2883</v>
      </c>
      <c r="T6" s="3233" t="s">
        <v>2884</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2885</v>
      </c>
      <c r="Q7" s="3233" t="s">
        <v>2886</v>
      </c>
      <c r="R7" s="3233" t="s">
        <v>2887</v>
      </c>
      <c r="S7" s="3233" t="s">
        <v>2888</v>
      </c>
      <c r="T7" s="3233" t="s">
        <v>2889</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2890</v>
      </c>
      <c r="Q8" s="3233" t="s">
        <v>174</v>
      </c>
      <c r="R8" s="3233" t="s">
        <v>2891</v>
      </c>
      <c r="S8" s="3233" t="s">
        <v>2892</v>
      </c>
      <c r="T8" s="3240" t="s">
        <v>2893</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2894</v>
      </c>
      <c r="Q9" s="3233" t="s">
        <v>182</v>
      </c>
      <c r="R9" s="3233" t="s">
        <v>183</v>
      </c>
      <c r="S9" s="3233" t="s">
        <v>200</v>
      </c>
    </row>
    <row r="10" spans="1:20">
      <c r="A10" s="3238" t="s">
        <v>184</v>
      </c>
      <c r="B10" s="3229" t="s">
        <v>2855</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2895</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2896</v>
      </c>
      <c r="P11" s="3233" t="s">
        <v>191</v>
      </c>
      <c r="Q11" s="3233" t="s">
        <v>199</v>
      </c>
      <c r="R11" s="3233" t="s">
        <v>2897</v>
      </c>
      <c r="S11" s="3233" t="s">
        <v>2898</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2899</v>
      </c>
      <c r="P12" s="3233" t="s">
        <v>2900</v>
      </c>
      <c r="Q12" s="3233" t="s">
        <v>2901</v>
      </c>
      <c r="R12" s="3233" t="s">
        <v>2902</v>
      </c>
      <c r="S12" s="3233" t="s">
        <v>2903</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2904</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2905</v>
      </c>
      <c r="K14" s="3234" t="s">
        <v>215</v>
      </c>
      <c r="L14" s="3233" t="s">
        <v>216</v>
      </c>
      <c r="M14" s="3233" t="s">
        <v>217</v>
      </c>
      <c r="N14" s="3233" t="s">
        <v>218</v>
      </c>
      <c r="O14" s="3233" t="s">
        <v>240</v>
      </c>
      <c r="P14" s="3233" t="s">
        <v>213</v>
      </c>
      <c r="Q14" s="3233" t="s">
        <v>2906</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2907</v>
      </c>
      <c r="P15" s="3233" t="s">
        <v>2908</v>
      </c>
      <c r="Q15" s="3233" t="s">
        <v>242</v>
      </c>
      <c r="R15" s="3233" t="s">
        <v>2909</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2910</v>
      </c>
      <c r="P16" s="3233" t="s">
        <v>227</v>
      </c>
      <c r="Q16" s="3233" t="s">
        <v>250</v>
      </c>
      <c r="R16" s="3233" t="s">
        <v>207</v>
      </c>
      <c r="S16" s="3233" t="s">
        <v>2911</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2912</v>
      </c>
      <c r="P17" s="3233" t="s">
        <v>2913</v>
      </c>
      <c r="Q17" s="3233" t="s">
        <v>256</v>
      </c>
      <c r="R17" s="3233" t="s">
        <v>2914</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2915</v>
      </c>
      <c r="P18" s="3233" t="s">
        <v>241</v>
      </c>
      <c r="Q18" s="3233" t="s">
        <v>2916</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2917</v>
      </c>
      <c r="P19" s="3233" t="s">
        <v>249</v>
      </c>
      <c r="Q19" s="3233" t="s">
        <v>2918</v>
      </c>
      <c r="R19" s="3233" t="s">
        <v>265</v>
      </c>
      <c r="S19" s="3233" t="s">
        <v>2919</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2920</v>
      </c>
      <c r="P20" s="3233" t="s">
        <v>2921</v>
      </c>
      <c r="Q20" s="3233" t="s">
        <v>290</v>
      </c>
      <c r="R20" s="3233" t="s">
        <v>2922</v>
      </c>
      <c r="S20" s="3233" t="s">
        <v>277</v>
      </c>
    </row>
    <row r="21" spans="1:19" ht="14.25" customHeight="1" thickBot="1">
      <c r="A21" s="3233" t="s">
        <v>184</v>
      </c>
      <c r="B21" s="3234" t="s">
        <v>208</v>
      </c>
      <c r="C21" s="3233">
        <v>32370</v>
      </c>
      <c r="D21" s="3233">
        <v>26730</v>
      </c>
      <c r="E21" s="3233">
        <v>26640</v>
      </c>
      <c r="F21" s="3233"/>
      <c r="G21" s="3233">
        <v>19440</v>
      </c>
      <c r="J21" s="3240" t="s">
        <v>2923</v>
      </c>
      <c r="K21" s="3234" t="s">
        <v>267</v>
      </c>
      <c r="L21" s="3233" t="s">
        <v>268</v>
      </c>
      <c r="M21" s="3233" t="s">
        <v>269</v>
      </c>
      <c r="N21" s="3233" t="s">
        <v>270</v>
      </c>
      <c r="O21" s="3233" t="s">
        <v>264</v>
      </c>
      <c r="P21" s="3233" t="s">
        <v>283</v>
      </c>
      <c r="Q21" s="3233" t="s">
        <v>293</v>
      </c>
      <c r="R21" s="3233" t="s">
        <v>2924</v>
      </c>
      <c r="S21" s="3240" t="s">
        <v>2925</v>
      </c>
    </row>
    <row r="22" spans="1:19" ht="14.25" customHeight="1">
      <c r="A22" s="3233" t="s">
        <v>184</v>
      </c>
      <c r="B22" s="3234" t="s">
        <v>2905</v>
      </c>
      <c r="C22" s="3233">
        <v>29830</v>
      </c>
      <c r="D22" s="3233">
        <v>27600</v>
      </c>
      <c r="E22" s="3233">
        <v>28150</v>
      </c>
      <c r="F22" s="3233"/>
      <c r="G22" s="3233">
        <v>20080</v>
      </c>
      <c r="K22" s="3234" t="s">
        <v>2926</v>
      </c>
      <c r="L22" s="3233" t="s">
        <v>272</v>
      </c>
      <c r="M22" s="3233" t="s">
        <v>273</v>
      </c>
      <c r="N22" s="3233" t="s">
        <v>274</v>
      </c>
      <c r="O22" s="3233" t="s">
        <v>2927</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2928</v>
      </c>
      <c r="L23" s="3233" t="s">
        <v>278</v>
      </c>
      <c r="M23" s="3233" t="s">
        <v>279</v>
      </c>
      <c r="N23" s="3233" t="s">
        <v>2929</v>
      </c>
      <c r="O23" s="3233" t="s">
        <v>2930</v>
      </c>
      <c r="P23" s="3233" t="s">
        <v>289</v>
      </c>
      <c r="Q23" s="3233" t="s">
        <v>298</v>
      </c>
      <c r="R23" s="3233" t="s">
        <v>2931</v>
      </c>
    </row>
    <row r="24" spans="1:19" ht="14.25" customHeight="1">
      <c r="A24" s="3233" t="s">
        <v>184</v>
      </c>
      <c r="B24" s="3234" t="s">
        <v>230</v>
      </c>
      <c r="C24" s="3233">
        <v>27930</v>
      </c>
      <c r="D24" s="3233">
        <v>32260</v>
      </c>
      <c r="E24" s="3233">
        <v>32120</v>
      </c>
      <c r="F24" s="3233"/>
      <c r="G24" s="3233">
        <v>23470</v>
      </c>
      <c r="K24" s="3234" t="s">
        <v>2932</v>
      </c>
      <c r="L24" s="3233" t="s">
        <v>281</v>
      </c>
      <c r="M24" s="3233" t="s">
        <v>282</v>
      </c>
      <c r="N24" s="3233" t="s">
        <v>2933</v>
      </c>
      <c r="O24" s="3233" t="s">
        <v>285</v>
      </c>
      <c r="P24" s="3233" t="s">
        <v>2934</v>
      </c>
      <c r="Q24" s="3242" t="s">
        <v>2935</v>
      </c>
      <c r="R24" s="3233" t="s">
        <v>2936</v>
      </c>
    </row>
    <row r="25" spans="1:19" ht="14.25" customHeight="1">
      <c r="A25" s="3233" t="s">
        <v>184</v>
      </c>
      <c r="B25" s="3234" t="s">
        <v>235</v>
      </c>
      <c r="C25" s="3233">
        <v>32230</v>
      </c>
      <c r="D25" s="3233">
        <v>29640</v>
      </c>
      <c r="E25" s="3233">
        <v>29510</v>
      </c>
      <c r="F25" s="3233"/>
      <c r="G25" s="3233">
        <v>21560</v>
      </c>
      <c r="K25" s="3234" t="s">
        <v>2937</v>
      </c>
      <c r="L25" s="3233" t="s">
        <v>2938</v>
      </c>
      <c r="M25" s="3233" t="s">
        <v>284</v>
      </c>
      <c r="N25" s="3233" t="s">
        <v>292</v>
      </c>
      <c r="O25" s="3233" t="s">
        <v>288</v>
      </c>
      <c r="P25" s="3233" t="s">
        <v>275</v>
      </c>
      <c r="Q25" s="3242" t="s">
        <v>271</v>
      </c>
      <c r="R25" s="3233" t="s">
        <v>2939</v>
      </c>
    </row>
    <row r="26" spans="1:19" ht="14.25" customHeight="1" thickBot="1">
      <c r="A26" s="3233" t="s">
        <v>184</v>
      </c>
      <c r="B26" s="3234" t="s">
        <v>244</v>
      </c>
      <c r="C26" s="3233">
        <v>31690</v>
      </c>
      <c r="D26" s="3233">
        <v>27650</v>
      </c>
      <c r="E26" s="3233">
        <v>28200</v>
      </c>
      <c r="F26" s="3233"/>
      <c r="G26" s="3233">
        <v>20110</v>
      </c>
      <c r="K26" s="3239" t="s">
        <v>2940</v>
      </c>
      <c r="L26" s="3233" t="s">
        <v>2941</v>
      </c>
      <c r="M26" s="3233" t="s">
        <v>287</v>
      </c>
      <c r="N26" s="3233" t="s">
        <v>294</v>
      </c>
      <c r="O26" s="3233" t="s">
        <v>2942</v>
      </c>
      <c r="P26" s="3233" t="s">
        <v>2943</v>
      </c>
      <c r="Q26" s="3242" t="s">
        <v>276</v>
      </c>
      <c r="R26" s="3233" t="s">
        <v>2944</v>
      </c>
    </row>
    <row r="27" spans="1:19" ht="14.25" customHeight="1">
      <c r="A27" s="3233" t="s">
        <v>184</v>
      </c>
      <c r="B27" s="3234" t="s">
        <v>251</v>
      </c>
      <c r="C27" s="3233">
        <v>29610</v>
      </c>
      <c r="D27" s="3233">
        <v>27770</v>
      </c>
      <c r="E27" s="3233">
        <v>28300</v>
      </c>
      <c r="F27" s="3233"/>
      <c r="G27" s="3233">
        <v>20210</v>
      </c>
      <c r="L27" s="3233" t="s">
        <v>2945</v>
      </c>
      <c r="M27" s="3233" t="s">
        <v>291</v>
      </c>
      <c r="N27" s="3233" t="s">
        <v>297</v>
      </c>
      <c r="O27" s="3233" t="s">
        <v>2946</v>
      </c>
      <c r="P27" s="3233" t="s">
        <v>2947</v>
      </c>
      <c r="Q27" s="3233" t="s">
        <v>2948</v>
      </c>
      <c r="R27" s="3233" t="s">
        <v>2949</v>
      </c>
    </row>
    <row r="28" spans="1:19" ht="14.25" customHeight="1">
      <c r="A28" s="3233" t="s">
        <v>184</v>
      </c>
      <c r="B28" s="3234" t="s">
        <v>259</v>
      </c>
      <c r="C28" s="3233"/>
      <c r="D28" s="3233">
        <v>31520</v>
      </c>
      <c r="E28" s="3233">
        <v>31410</v>
      </c>
      <c r="F28" s="3233"/>
      <c r="G28" s="3233">
        <v>22940</v>
      </c>
      <c r="L28" s="3233" t="s">
        <v>2950</v>
      </c>
      <c r="M28" s="3233" t="s">
        <v>2951</v>
      </c>
      <c r="N28" s="3233" t="s">
        <v>2952</v>
      </c>
      <c r="O28" s="3233" t="s">
        <v>2953</v>
      </c>
      <c r="P28" s="3233" t="s">
        <v>2954</v>
      </c>
      <c r="Q28" s="3233" t="s">
        <v>2955</v>
      </c>
      <c r="R28" s="3233" t="s">
        <v>2956</v>
      </c>
    </row>
    <row r="29" spans="1:19" ht="14.25" customHeight="1" thickBot="1">
      <c r="A29" s="3241" t="s">
        <v>184</v>
      </c>
      <c r="B29" s="3243" t="s">
        <v>2923</v>
      </c>
      <c r="C29" s="3244"/>
      <c r="D29" s="3244">
        <v>29460</v>
      </c>
      <c r="E29" s="3244">
        <v>28640</v>
      </c>
      <c r="F29" s="3244"/>
      <c r="G29" s="3244">
        <v>21430</v>
      </c>
      <c r="L29" s="3233" t="s">
        <v>2957</v>
      </c>
      <c r="M29" s="3233" t="s">
        <v>2958</v>
      </c>
      <c r="N29" s="3233" t="s">
        <v>2959</v>
      </c>
      <c r="O29" s="3233" t="s">
        <v>2960</v>
      </c>
      <c r="P29" s="3233" t="s">
        <v>2961</v>
      </c>
      <c r="Q29" s="3233" t="s">
        <v>2962</v>
      </c>
      <c r="R29" s="3233" t="s">
        <v>280</v>
      </c>
    </row>
    <row r="30" spans="1:19" ht="14.25" customHeight="1">
      <c r="A30" s="3238" t="s">
        <v>296</v>
      </c>
      <c r="B30" s="3229" t="s">
        <v>2856</v>
      </c>
      <c r="C30" s="3229">
        <v>26890</v>
      </c>
      <c r="D30" s="3229">
        <v>26770</v>
      </c>
      <c r="E30" s="3229">
        <v>25700</v>
      </c>
      <c r="F30" s="3229">
        <v>8180</v>
      </c>
      <c r="G30" s="3245">
        <v>18740</v>
      </c>
      <c r="L30" s="3233" t="s">
        <v>2963</v>
      </c>
      <c r="M30" s="3233" t="s">
        <v>2964</v>
      </c>
      <c r="N30" s="3233" t="s">
        <v>2965</v>
      </c>
      <c r="O30" s="3233" t="s">
        <v>2966</v>
      </c>
      <c r="P30" s="3233" t="s">
        <v>2967</v>
      </c>
      <c r="Q30" s="3233" t="s">
        <v>2968</v>
      </c>
      <c r="R30" s="3233" t="s">
        <v>2969</v>
      </c>
    </row>
    <row r="31" spans="1:19" ht="14.25" customHeight="1">
      <c r="A31" s="3233" t="s">
        <v>296</v>
      </c>
      <c r="B31" s="3234" t="s">
        <v>129</v>
      </c>
      <c r="C31" s="3233">
        <v>24550</v>
      </c>
      <c r="D31" s="3233">
        <v>23990</v>
      </c>
      <c r="E31" s="3233">
        <v>22930</v>
      </c>
      <c r="F31" s="3233">
        <v>7470</v>
      </c>
      <c r="G31" s="3246">
        <v>16790</v>
      </c>
      <c r="L31" s="3233" t="s">
        <v>2970</v>
      </c>
      <c r="M31" s="3233" t="s">
        <v>2971</v>
      </c>
      <c r="N31" s="3233" t="s">
        <v>2972</v>
      </c>
      <c r="O31" s="3233" t="s">
        <v>2973</v>
      </c>
      <c r="P31" s="3233" t="s">
        <v>2974</v>
      </c>
      <c r="Q31" s="3233" t="s">
        <v>2975</v>
      </c>
      <c r="R31" s="3233" t="s">
        <v>2976</v>
      </c>
    </row>
    <row r="32" spans="1:19" ht="14.25" customHeight="1" thickBot="1">
      <c r="A32" s="3233" t="s">
        <v>296</v>
      </c>
      <c r="B32" s="3234" t="s">
        <v>138</v>
      </c>
      <c r="C32" s="3233">
        <v>27210</v>
      </c>
      <c r="D32" s="3233">
        <v>23240</v>
      </c>
      <c r="E32" s="3233">
        <v>23260</v>
      </c>
      <c r="F32" s="3233">
        <v>7130</v>
      </c>
      <c r="G32" s="3246">
        <v>16270</v>
      </c>
      <c r="L32" s="3233" t="s">
        <v>2977</v>
      </c>
      <c r="M32" s="3233" t="s">
        <v>2978</v>
      </c>
      <c r="N32" s="3233" t="s">
        <v>300</v>
      </c>
      <c r="O32" s="3233" t="s">
        <v>2979</v>
      </c>
      <c r="P32" s="3233" t="s">
        <v>299</v>
      </c>
      <c r="Q32" s="3233" t="s">
        <v>2980</v>
      </c>
      <c r="R32" s="3240" t="s">
        <v>2981</v>
      </c>
    </row>
    <row r="33" spans="1:17" ht="14.25" customHeight="1" thickBot="1">
      <c r="A33" s="3233" t="s">
        <v>296</v>
      </c>
      <c r="B33" s="3234" t="s">
        <v>147</v>
      </c>
      <c r="C33" s="3233">
        <v>27300</v>
      </c>
      <c r="D33" s="3233">
        <v>22980</v>
      </c>
      <c r="E33" s="3233">
        <v>24260</v>
      </c>
      <c r="F33" s="3233">
        <v>5860</v>
      </c>
      <c r="G33" s="3246">
        <v>16090</v>
      </c>
      <c r="L33" s="3240" t="s">
        <v>2982</v>
      </c>
      <c r="M33" s="3233" t="s">
        <v>2983</v>
      </c>
      <c r="N33" s="3233" t="s">
        <v>301</v>
      </c>
      <c r="O33" s="3233" t="s">
        <v>2984</v>
      </c>
      <c r="P33" s="3233" t="s">
        <v>2985</v>
      </c>
      <c r="Q33" s="3233" t="s">
        <v>2986</v>
      </c>
    </row>
    <row r="34" spans="1:17" ht="14.25" customHeight="1">
      <c r="A34" s="3233" t="s">
        <v>296</v>
      </c>
      <c r="B34" s="3234" t="s">
        <v>156</v>
      </c>
      <c r="C34" s="3233">
        <v>23090</v>
      </c>
      <c r="D34" s="3233">
        <v>23390</v>
      </c>
      <c r="E34" s="3233">
        <v>23510</v>
      </c>
      <c r="F34" s="3233">
        <v>6700</v>
      </c>
      <c r="G34" s="3246">
        <v>16370</v>
      </c>
      <c r="M34" s="3233" t="s">
        <v>2987</v>
      </c>
      <c r="N34" s="3233" t="s">
        <v>302</v>
      </c>
      <c r="O34" s="3233" t="s">
        <v>2988</v>
      </c>
      <c r="P34" s="3233" t="s">
        <v>2989</v>
      </c>
      <c r="Q34" s="3233" t="s">
        <v>2990</v>
      </c>
    </row>
    <row r="35" spans="1:17" ht="14.25" customHeight="1">
      <c r="A35" s="3233" t="s">
        <v>296</v>
      </c>
      <c r="B35" s="3234" t="s">
        <v>163</v>
      </c>
      <c r="C35" s="3233">
        <v>27270</v>
      </c>
      <c r="D35" s="3233">
        <v>24270</v>
      </c>
      <c r="E35" s="3233">
        <v>24950</v>
      </c>
      <c r="F35" s="3233">
        <v>6600</v>
      </c>
      <c r="G35" s="3246">
        <v>16990</v>
      </c>
      <c r="M35" s="3233" t="s">
        <v>2991</v>
      </c>
      <c r="N35" s="3233" t="s">
        <v>2992</v>
      </c>
      <c r="O35" s="3233" t="s">
        <v>2993</v>
      </c>
      <c r="P35" s="3233" t="s">
        <v>2994</v>
      </c>
      <c r="Q35" s="3233" t="s">
        <v>2995</v>
      </c>
    </row>
    <row r="36" spans="1:17" ht="14.25" customHeight="1">
      <c r="A36" s="3233" t="s">
        <v>296</v>
      </c>
      <c r="B36" s="3234" t="s">
        <v>169</v>
      </c>
      <c r="C36" s="3233">
        <v>23490</v>
      </c>
      <c r="D36" s="3233">
        <v>23020</v>
      </c>
      <c r="E36" s="3233">
        <v>25230</v>
      </c>
      <c r="F36" s="3233">
        <v>6780</v>
      </c>
      <c r="G36" s="3246">
        <v>16120</v>
      </c>
      <c r="M36" s="3233" t="s">
        <v>2996</v>
      </c>
      <c r="N36" s="3233" t="s">
        <v>2997</v>
      </c>
      <c r="O36" s="3233" t="s">
        <v>2998</v>
      </c>
      <c r="P36" s="3233" t="s">
        <v>2999</v>
      </c>
      <c r="Q36" s="3233" t="s">
        <v>3000</v>
      </c>
    </row>
    <row r="37" spans="1:17" ht="14.25" customHeight="1">
      <c r="A37" s="3233" t="s">
        <v>296</v>
      </c>
      <c r="B37" s="3234" t="s">
        <v>176</v>
      </c>
      <c r="C37" s="3233">
        <v>24380</v>
      </c>
      <c r="D37" s="3233">
        <v>22240</v>
      </c>
      <c r="E37" s="3233">
        <v>25980</v>
      </c>
      <c r="F37" s="3233">
        <v>8160</v>
      </c>
      <c r="G37" s="3246">
        <v>15570</v>
      </c>
      <c r="M37" s="3233" t="s">
        <v>3001</v>
      </c>
      <c r="N37" s="3233" t="s">
        <v>3002</v>
      </c>
      <c r="O37" s="3233" t="s">
        <v>3003</v>
      </c>
      <c r="P37" s="3233" t="s">
        <v>3004</v>
      </c>
      <c r="Q37" s="3233" t="s">
        <v>3005</v>
      </c>
    </row>
    <row r="38" spans="1:17" ht="14.25" customHeight="1">
      <c r="A38" s="3233" t="s">
        <v>296</v>
      </c>
      <c r="B38" s="3234" t="s">
        <v>186</v>
      </c>
      <c r="C38" s="3233">
        <v>23120</v>
      </c>
      <c r="D38" s="3233">
        <v>24630</v>
      </c>
      <c r="E38" s="3233">
        <v>25030</v>
      </c>
      <c r="F38" s="3233">
        <v>7710</v>
      </c>
      <c r="G38" s="3246">
        <v>17240</v>
      </c>
      <c r="M38" s="3233" t="s">
        <v>3006</v>
      </c>
      <c r="N38" s="3233" t="s">
        <v>3007</v>
      </c>
      <c r="O38" s="3233" t="s">
        <v>3008</v>
      </c>
      <c r="P38" s="3233" t="s">
        <v>3009</v>
      </c>
      <c r="Q38" s="3233" t="s">
        <v>3010</v>
      </c>
    </row>
    <row r="39" spans="1:17" ht="14.25" customHeight="1">
      <c r="A39" s="3233" t="s">
        <v>296</v>
      </c>
      <c r="B39" s="3234" t="s">
        <v>195</v>
      </c>
      <c r="C39" s="3233">
        <v>22330</v>
      </c>
      <c r="D39" s="3233">
        <v>21140</v>
      </c>
      <c r="E39" s="3233">
        <v>23970</v>
      </c>
      <c r="F39" s="3233">
        <v>7940</v>
      </c>
      <c r="G39" s="3246">
        <v>14790</v>
      </c>
      <c r="M39" s="3233" t="s">
        <v>3011</v>
      </c>
      <c r="N39" s="3233" t="s">
        <v>3012</v>
      </c>
      <c r="O39" s="3233" t="s">
        <v>3013</v>
      </c>
      <c r="P39" s="3233" t="s">
        <v>3014</v>
      </c>
      <c r="Q39" s="3233" t="s">
        <v>3015</v>
      </c>
    </row>
    <row r="40" spans="1:17" ht="14.25" customHeight="1">
      <c r="A40" s="3233" t="s">
        <v>296</v>
      </c>
      <c r="B40" s="3234" t="s">
        <v>202</v>
      </c>
      <c r="C40" s="3233">
        <v>24740</v>
      </c>
      <c r="D40" s="3233">
        <v>24690</v>
      </c>
      <c r="E40" s="3233">
        <v>22610</v>
      </c>
      <c r="F40" s="3233"/>
      <c r="G40" s="3246">
        <v>17280</v>
      </c>
      <c r="M40" s="3233" t="s">
        <v>3016</v>
      </c>
      <c r="N40" s="3233" t="s">
        <v>3017</v>
      </c>
      <c r="O40" s="3233" t="s">
        <v>3018</v>
      </c>
      <c r="P40" s="3233" t="s">
        <v>3019</v>
      </c>
      <c r="Q40" s="3233" t="s">
        <v>3020</v>
      </c>
    </row>
    <row r="41" spans="1:17" ht="14.25" customHeight="1" thickBot="1">
      <c r="A41" s="3233" t="s">
        <v>296</v>
      </c>
      <c r="B41" s="3234" t="s">
        <v>209</v>
      </c>
      <c r="C41" s="3233">
        <v>21220</v>
      </c>
      <c r="D41" s="3233">
        <v>21120</v>
      </c>
      <c r="E41" s="3233">
        <v>22590</v>
      </c>
      <c r="F41" s="3233"/>
      <c r="G41" s="3246">
        <v>14780</v>
      </c>
      <c r="M41" s="3240" t="s">
        <v>3021</v>
      </c>
      <c r="N41" s="3233" t="s">
        <v>3022</v>
      </c>
      <c r="O41" s="3233" t="s">
        <v>3023</v>
      </c>
      <c r="P41" s="3233" t="s">
        <v>3024</v>
      </c>
      <c r="Q41" s="3233" t="s">
        <v>3025</v>
      </c>
    </row>
    <row r="42" spans="1:17" ht="14.25" customHeight="1">
      <c r="A42" s="3233" t="s">
        <v>296</v>
      </c>
      <c r="B42" s="3234" t="s">
        <v>215</v>
      </c>
      <c r="C42" s="3233">
        <v>24800</v>
      </c>
      <c r="D42" s="3233">
        <v>22280</v>
      </c>
      <c r="E42" s="3233">
        <v>24350</v>
      </c>
      <c r="F42" s="3233"/>
      <c r="G42" s="3246">
        <v>15590</v>
      </c>
      <c r="N42" s="3233" t="s">
        <v>3026</v>
      </c>
      <c r="O42" s="3233" t="s">
        <v>3027</v>
      </c>
      <c r="P42" s="3233" t="s">
        <v>3028</v>
      </c>
      <c r="Q42" s="3233" t="s">
        <v>3029</v>
      </c>
    </row>
    <row r="43" spans="1:17" ht="14.25" customHeight="1">
      <c r="A43" s="3233" t="s">
        <v>3030</v>
      </c>
      <c r="B43" s="3234" t="s">
        <v>223</v>
      </c>
      <c r="C43" s="3233">
        <v>21210</v>
      </c>
      <c r="D43" s="3233">
        <v>21160</v>
      </c>
      <c r="E43" s="3233">
        <v>22650</v>
      </c>
      <c r="F43" s="3233"/>
      <c r="G43" s="3246">
        <v>14800</v>
      </c>
      <c r="N43" s="3233" t="s">
        <v>3031</v>
      </c>
      <c r="O43" s="3233" t="s">
        <v>3032</v>
      </c>
      <c r="P43" s="3233" t="s">
        <v>3033</v>
      </c>
      <c r="Q43" s="3233" t="s">
        <v>3034</v>
      </c>
    </row>
    <row r="44" spans="1:17" ht="14.25" customHeight="1" thickBot="1">
      <c r="A44" s="3233" t="s">
        <v>296</v>
      </c>
      <c r="B44" s="3234" t="s">
        <v>231</v>
      </c>
      <c r="C44" s="3233">
        <v>22370</v>
      </c>
      <c r="D44" s="3233">
        <v>23140</v>
      </c>
      <c r="E44" s="3233">
        <v>25090</v>
      </c>
      <c r="F44" s="3233"/>
      <c r="G44" s="3246">
        <v>16190</v>
      </c>
      <c r="N44" s="3233" t="s">
        <v>3035</v>
      </c>
      <c r="O44" s="3233" t="s">
        <v>3036</v>
      </c>
      <c r="P44" s="3240" t="s">
        <v>3037</v>
      </c>
      <c r="Q44" s="3233" t="s">
        <v>3038</v>
      </c>
    </row>
    <row r="45" spans="1:17" ht="14.25" customHeight="1" thickBot="1">
      <c r="A45" s="3233" t="s">
        <v>296</v>
      </c>
      <c r="B45" s="3234" t="s">
        <v>236</v>
      </c>
      <c r="C45" s="3233">
        <v>21240</v>
      </c>
      <c r="D45" s="3233">
        <v>27050</v>
      </c>
      <c r="E45" s="3233">
        <v>28000</v>
      </c>
      <c r="F45" s="3233"/>
      <c r="G45" s="3246">
        <v>18940</v>
      </c>
      <c r="N45" s="3233" t="s">
        <v>3039</v>
      </c>
      <c r="O45" s="3240" t="s">
        <v>3040</v>
      </c>
      <c r="Q45" s="3233" t="s">
        <v>3041</v>
      </c>
    </row>
    <row r="46" spans="1:17" ht="14.25" customHeight="1">
      <c r="A46" s="3233" t="s">
        <v>296</v>
      </c>
      <c r="B46" s="3234" t="s">
        <v>245</v>
      </c>
      <c r="C46" s="3233">
        <v>23240</v>
      </c>
      <c r="D46" s="3233">
        <v>23000</v>
      </c>
      <c r="E46" s="3233">
        <v>24980</v>
      </c>
      <c r="F46" s="3233"/>
      <c r="G46" s="3246">
        <v>16100</v>
      </c>
      <c r="N46" s="3233" t="s">
        <v>3042</v>
      </c>
      <c r="Q46" s="3233" t="s">
        <v>3043</v>
      </c>
    </row>
    <row r="47" spans="1:17" ht="14.25" customHeight="1">
      <c r="A47" s="3233" t="s">
        <v>296</v>
      </c>
      <c r="B47" s="3234" t="s">
        <v>252</v>
      </c>
      <c r="C47" s="3233">
        <v>27150</v>
      </c>
      <c r="D47" s="3233">
        <v>23310</v>
      </c>
      <c r="E47" s="3233">
        <v>25150</v>
      </c>
      <c r="F47" s="3233"/>
      <c r="G47" s="3246">
        <v>16310</v>
      </c>
      <c r="N47" s="3233" t="s">
        <v>3044</v>
      </c>
      <c r="Q47" s="3233" t="s">
        <v>3045</v>
      </c>
    </row>
    <row r="48" spans="1:17" ht="14.25" customHeight="1">
      <c r="A48" s="3233" t="s">
        <v>296</v>
      </c>
      <c r="B48" s="3234" t="s">
        <v>260</v>
      </c>
      <c r="C48" s="3233">
        <v>23100</v>
      </c>
      <c r="D48" s="3233">
        <v>21110</v>
      </c>
      <c r="E48" s="3233">
        <v>23080</v>
      </c>
      <c r="F48" s="3233"/>
      <c r="G48" s="3246">
        <v>14780</v>
      </c>
      <c r="N48" s="3233" t="s">
        <v>3046</v>
      </c>
      <c r="Q48" s="3233" t="s">
        <v>3047</v>
      </c>
    </row>
    <row r="49" spans="1:17" ht="14.25" customHeight="1">
      <c r="A49" s="3233" t="s">
        <v>296</v>
      </c>
      <c r="B49" s="3234" t="s">
        <v>267</v>
      </c>
      <c r="C49" s="3233">
        <v>23400</v>
      </c>
      <c r="D49" s="3233">
        <v>22920</v>
      </c>
      <c r="E49" s="3233">
        <v>24900</v>
      </c>
      <c r="F49" s="3233"/>
      <c r="G49" s="3246">
        <v>16040</v>
      </c>
      <c r="N49" s="3233" t="s">
        <v>3048</v>
      </c>
      <c r="Q49" s="3233" t="s">
        <v>3049</v>
      </c>
    </row>
    <row r="50" spans="1:17" ht="14.25" customHeight="1">
      <c r="A50" s="3233" t="s">
        <v>296</v>
      </c>
      <c r="B50" s="3234" t="s">
        <v>2926</v>
      </c>
      <c r="C50" s="3233">
        <v>21200</v>
      </c>
      <c r="D50" s="3233">
        <v>26540</v>
      </c>
      <c r="E50" s="3233">
        <v>23200</v>
      </c>
      <c r="F50" s="3233"/>
      <c r="G50" s="3246">
        <v>18580</v>
      </c>
      <c r="N50" s="3233" t="s">
        <v>3050</v>
      </c>
      <c r="Q50" s="3234" t="s">
        <v>3051</v>
      </c>
    </row>
    <row r="51" spans="1:17" ht="14.25" customHeight="1" thickBot="1">
      <c r="A51" s="3233" t="s">
        <v>296</v>
      </c>
      <c r="B51" s="3234" t="s">
        <v>2928</v>
      </c>
      <c r="C51" s="3233">
        <v>23000</v>
      </c>
      <c r="D51" s="3233">
        <v>23460</v>
      </c>
      <c r="E51" s="3233">
        <v>25290</v>
      </c>
      <c r="F51" s="3233"/>
      <c r="G51" s="3246">
        <v>16420</v>
      </c>
      <c r="N51" s="3233" t="s">
        <v>3052</v>
      </c>
      <c r="Q51" s="3240" t="s">
        <v>3053</v>
      </c>
    </row>
    <row r="52" spans="1:17" ht="14.25" customHeight="1">
      <c r="A52" s="3233" t="s">
        <v>296</v>
      </c>
      <c r="B52" s="3234" t="s">
        <v>2932</v>
      </c>
      <c r="C52" s="3233">
        <v>26660</v>
      </c>
      <c r="D52" s="3233">
        <v>22350</v>
      </c>
      <c r="E52" s="3233">
        <v>22920</v>
      </c>
      <c r="F52" s="3233"/>
      <c r="G52" s="3246">
        <v>15640</v>
      </c>
      <c r="N52" s="3233" t="s">
        <v>3054</v>
      </c>
    </row>
    <row r="53" spans="1:17" ht="14.25" customHeight="1">
      <c r="A53" s="3233" t="s">
        <v>296</v>
      </c>
      <c r="B53" s="3234" t="s">
        <v>2937</v>
      </c>
      <c r="C53" s="3233">
        <v>23580</v>
      </c>
      <c r="D53" s="3233"/>
      <c r="E53" s="3233">
        <v>24280</v>
      </c>
      <c r="F53" s="3233"/>
      <c r="G53" s="3246"/>
      <c r="N53" s="3233" t="s">
        <v>3055</v>
      </c>
    </row>
    <row r="54" spans="1:17" ht="14.25" customHeight="1" thickBot="1">
      <c r="A54" s="3247" t="s">
        <v>296</v>
      </c>
      <c r="B54" s="3239" t="s">
        <v>2940</v>
      </c>
      <c r="C54" s="3240">
        <v>22460</v>
      </c>
      <c r="D54" s="3240"/>
      <c r="E54" s="3240"/>
      <c r="F54" s="3240"/>
      <c r="G54" s="3248"/>
      <c r="N54" s="3233" t="s">
        <v>3056</v>
      </c>
    </row>
    <row r="55" spans="1:17" ht="14.25" customHeight="1">
      <c r="A55" s="3238" t="s">
        <v>110</v>
      </c>
      <c r="B55" s="3229" t="s">
        <v>3057</v>
      </c>
      <c r="C55" s="3233">
        <v>21970</v>
      </c>
      <c r="D55" s="3233">
        <v>20370</v>
      </c>
      <c r="E55" s="3233">
        <v>20180</v>
      </c>
      <c r="F55" s="3233">
        <v>5730</v>
      </c>
      <c r="G55" s="3233">
        <v>13820</v>
      </c>
      <c r="N55" s="3233" t="s">
        <v>3058</v>
      </c>
    </row>
    <row r="56" spans="1:17" ht="14.25" customHeight="1">
      <c r="A56" s="3233" t="s">
        <v>110</v>
      </c>
      <c r="B56" s="3233" t="s">
        <v>130</v>
      </c>
      <c r="C56" s="3233">
        <v>20470</v>
      </c>
      <c r="D56" s="3233">
        <v>20700</v>
      </c>
      <c r="E56" s="3233">
        <v>20380</v>
      </c>
      <c r="F56" s="3233">
        <v>4760</v>
      </c>
      <c r="G56" s="3233">
        <v>14050</v>
      </c>
      <c r="N56" s="3233" t="s">
        <v>3059</v>
      </c>
    </row>
    <row r="57" spans="1:17" ht="14.25" customHeight="1">
      <c r="A57" s="3233" t="s">
        <v>110</v>
      </c>
      <c r="B57" s="3233" t="s">
        <v>139</v>
      </c>
      <c r="C57" s="3233">
        <v>20790</v>
      </c>
      <c r="D57" s="3233">
        <v>21370</v>
      </c>
      <c r="E57" s="3233">
        <v>20890</v>
      </c>
      <c r="F57" s="3233">
        <v>4910</v>
      </c>
      <c r="G57" s="3233">
        <v>14510</v>
      </c>
      <c r="N57" s="3233" t="s">
        <v>3060</v>
      </c>
    </row>
    <row r="58" spans="1:17" ht="14.25" customHeight="1">
      <c r="A58" s="3233" t="s">
        <v>110</v>
      </c>
      <c r="B58" s="3233" t="s">
        <v>148</v>
      </c>
      <c r="C58" s="3233">
        <v>21460</v>
      </c>
      <c r="D58" s="3233">
        <v>20920</v>
      </c>
      <c r="E58" s="3233">
        <v>23410</v>
      </c>
      <c r="F58" s="3233">
        <v>5100</v>
      </c>
      <c r="G58" s="3233">
        <v>14200</v>
      </c>
      <c r="N58" s="3233" t="s">
        <v>3061</v>
      </c>
    </row>
    <row r="59" spans="1:17" ht="14.25" customHeight="1">
      <c r="A59" s="3233" t="s">
        <v>110</v>
      </c>
      <c r="B59" s="3233" t="s">
        <v>157</v>
      </c>
      <c r="C59" s="3233">
        <v>21000</v>
      </c>
      <c r="D59" s="3233">
        <v>21550</v>
      </c>
      <c r="E59" s="3233">
        <v>21150</v>
      </c>
      <c r="F59" s="3233">
        <v>5250</v>
      </c>
      <c r="G59" s="3233">
        <v>14630</v>
      </c>
      <c r="N59" s="3233" t="s">
        <v>3062</v>
      </c>
    </row>
    <row r="60" spans="1:17" ht="14.25" customHeight="1">
      <c r="A60" s="3233" t="s">
        <v>110</v>
      </c>
      <c r="B60" s="3233" t="s">
        <v>164</v>
      </c>
      <c r="C60" s="3233">
        <v>21640</v>
      </c>
      <c r="D60" s="3233">
        <v>21260</v>
      </c>
      <c r="E60" s="3233">
        <v>24040</v>
      </c>
      <c r="F60" s="3233">
        <v>4470</v>
      </c>
      <c r="G60" s="3233">
        <v>14430</v>
      </c>
      <c r="N60" s="3233" t="s">
        <v>3063</v>
      </c>
    </row>
    <row r="61" spans="1:17" ht="14.25" customHeight="1">
      <c r="A61" s="3233" t="s">
        <v>110</v>
      </c>
      <c r="B61" s="3233" t="s">
        <v>170</v>
      </c>
      <c r="C61" s="3233">
        <v>21330</v>
      </c>
      <c r="D61" s="3233">
        <v>18640</v>
      </c>
      <c r="E61" s="3233">
        <v>21190</v>
      </c>
      <c r="F61" s="3233">
        <v>4180</v>
      </c>
      <c r="G61" s="3233">
        <v>12650</v>
      </c>
      <c r="N61" s="3233" t="s">
        <v>3064</v>
      </c>
    </row>
    <row r="62" spans="1:17" ht="14.25" customHeight="1">
      <c r="A62" s="3233" t="s">
        <v>110</v>
      </c>
      <c r="B62" s="3233" t="s">
        <v>177</v>
      </c>
      <c r="C62" s="3233">
        <v>18710</v>
      </c>
      <c r="D62" s="3233">
        <v>19400</v>
      </c>
      <c r="E62" s="3233">
        <v>23750</v>
      </c>
      <c r="F62" s="3233">
        <v>4860</v>
      </c>
      <c r="G62" s="3233">
        <v>13170</v>
      </c>
      <c r="N62" s="3233" t="s">
        <v>3065</v>
      </c>
    </row>
    <row r="63" spans="1:17" ht="14.25" customHeight="1">
      <c r="A63" s="3233" t="s">
        <v>110</v>
      </c>
      <c r="B63" s="3233" t="s">
        <v>187</v>
      </c>
      <c r="C63" s="3233">
        <v>19480</v>
      </c>
      <c r="D63" s="3233">
        <v>16830</v>
      </c>
      <c r="E63" s="3233">
        <v>21590</v>
      </c>
      <c r="F63" s="3233">
        <v>4560</v>
      </c>
      <c r="G63" s="3233">
        <v>11420</v>
      </c>
      <c r="N63" s="3233" t="s">
        <v>3066</v>
      </c>
    </row>
    <row r="64" spans="1:17" ht="14.25" customHeight="1" thickBot="1">
      <c r="A64" s="3233" t="s">
        <v>110</v>
      </c>
      <c r="B64" s="3233" t="s">
        <v>196</v>
      </c>
      <c r="C64" s="3233">
        <v>16920</v>
      </c>
      <c r="D64" s="3233">
        <v>19190</v>
      </c>
      <c r="E64" s="3233">
        <v>22200</v>
      </c>
      <c r="F64" s="3233">
        <v>4390</v>
      </c>
      <c r="G64" s="3233">
        <v>13030</v>
      </c>
      <c r="N64" s="3240" t="s">
        <v>3067</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2938</v>
      </c>
      <c r="C78" s="3233">
        <v>19820</v>
      </c>
      <c r="D78" s="3233">
        <v>19780</v>
      </c>
      <c r="E78" s="3233">
        <v>18560</v>
      </c>
      <c r="F78" s="3233"/>
      <c r="G78" s="3233">
        <v>13430</v>
      </c>
    </row>
    <row r="79" spans="1:7" s="3222" customFormat="1" ht="14.25" customHeight="1">
      <c r="A79" s="3233" t="s">
        <v>110</v>
      </c>
      <c r="B79" s="3233" t="s">
        <v>2941</v>
      </c>
      <c r="C79" s="3233">
        <v>21660</v>
      </c>
      <c r="D79" s="3233">
        <v>18000</v>
      </c>
      <c r="E79" s="3233">
        <v>22570</v>
      </c>
      <c r="F79" s="3233"/>
      <c r="G79" s="3233">
        <v>12220</v>
      </c>
    </row>
    <row r="80" spans="1:7" s="3222" customFormat="1" ht="14.25" customHeight="1">
      <c r="A80" s="3233" t="s">
        <v>110</v>
      </c>
      <c r="B80" s="3233" t="s">
        <v>2945</v>
      </c>
      <c r="C80" s="3233">
        <v>19850</v>
      </c>
      <c r="D80" s="3233"/>
      <c r="E80" s="3233">
        <v>21700</v>
      </c>
      <c r="F80" s="3233"/>
      <c r="G80" s="3233"/>
    </row>
    <row r="81" spans="1:7" s="3222" customFormat="1" ht="14.25" customHeight="1">
      <c r="A81" s="3233" t="s">
        <v>110</v>
      </c>
      <c r="B81" s="3233" t="s">
        <v>2950</v>
      </c>
      <c r="C81" s="3233">
        <v>18080</v>
      </c>
      <c r="D81" s="3233"/>
      <c r="E81" s="3233">
        <v>20900</v>
      </c>
      <c r="F81" s="3233"/>
      <c r="G81" s="3233"/>
    </row>
    <row r="82" spans="1:7" s="3222" customFormat="1" ht="14.25" customHeight="1">
      <c r="A82" s="3233" t="s">
        <v>110</v>
      </c>
      <c r="B82" s="3233" t="s">
        <v>2957</v>
      </c>
      <c r="C82" s="3233"/>
      <c r="D82" s="3233"/>
      <c r="E82" s="3233">
        <v>20840</v>
      </c>
      <c r="F82" s="3233"/>
      <c r="G82" s="3233"/>
    </row>
    <row r="83" spans="1:7" s="3222" customFormat="1" ht="14.25" customHeight="1">
      <c r="A83" s="3233" t="s">
        <v>110</v>
      </c>
      <c r="B83" s="3233" t="s">
        <v>3068</v>
      </c>
      <c r="C83" s="3233"/>
      <c r="D83" s="3233"/>
      <c r="E83" s="3233"/>
      <c r="F83" s="3233">
        <v>4770</v>
      </c>
      <c r="G83" s="3233"/>
    </row>
    <row r="84" spans="1:7" s="3222" customFormat="1" ht="14.25" customHeight="1">
      <c r="A84" s="3233" t="s">
        <v>110</v>
      </c>
      <c r="B84" s="3233" t="s">
        <v>3069</v>
      </c>
      <c r="C84" s="3233"/>
      <c r="D84" s="3233"/>
      <c r="E84" s="3233"/>
      <c r="F84" s="3233">
        <v>4600</v>
      </c>
      <c r="G84" s="3233"/>
    </row>
    <row r="85" spans="1:7" s="3222" customFormat="1" ht="14.25" customHeight="1">
      <c r="A85" s="3233" t="s">
        <v>110</v>
      </c>
      <c r="B85" s="3233" t="s">
        <v>3070</v>
      </c>
      <c r="C85" s="3233"/>
      <c r="D85" s="3233"/>
      <c r="E85" s="3233"/>
      <c r="F85" s="3233">
        <v>4680</v>
      </c>
      <c r="G85" s="3233"/>
    </row>
    <row r="86" spans="1:7" s="3222" customFormat="1" ht="14.25" customHeight="1" thickBot="1">
      <c r="A86" s="3241" t="s">
        <v>110</v>
      </c>
      <c r="B86" s="3243" t="s">
        <v>3071</v>
      </c>
      <c r="C86" s="3244">
        <v>16610</v>
      </c>
      <c r="D86" s="3244">
        <v>16540</v>
      </c>
      <c r="E86" s="3244">
        <v>18850</v>
      </c>
      <c r="F86" s="3244"/>
      <c r="G86" s="3244">
        <v>11220</v>
      </c>
    </row>
    <row r="87" spans="1:7" s="3222" customFormat="1" ht="14.25" customHeight="1">
      <c r="A87" s="3238" t="s">
        <v>303</v>
      </c>
      <c r="B87" s="3229" t="s">
        <v>3072</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2951</v>
      </c>
      <c r="C113" s="3233">
        <v>15520</v>
      </c>
      <c r="D113" s="3233">
        <v>15450</v>
      </c>
      <c r="E113" s="3233"/>
      <c r="F113" s="3233"/>
      <c r="G113" s="3246">
        <v>10210</v>
      </c>
    </row>
    <row r="114" spans="1:7" s="3222" customFormat="1" ht="14.25" customHeight="1">
      <c r="A114" s="3233" t="s">
        <v>303</v>
      </c>
      <c r="B114" s="3233" t="s">
        <v>2958</v>
      </c>
      <c r="C114" s="3233">
        <v>13110</v>
      </c>
      <c r="D114" s="3233">
        <v>13050</v>
      </c>
      <c r="E114" s="3233"/>
      <c r="F114" s="3233"/>
      <c r="G114" s="3246">
        <v>8620</v>
      </c>
    </row>
    <row r="115" spans="1:7" s="3222" customFormat="1" ht="14.25" customHeight="1">
      <c r="A115" s="3233" t="s">
        <v>303</v>
      </c>
      <c r="B115" s="3233" t="s">
        <v>2964</v>
      </c>
      <c r="C115" s="3233">
        <v>12460</v>
      </c>
      <c r="D115" s="3233">
        <v>12390</v>
      </c>
      <c r="E115" s="3233"/>
      <c r="F115" s="3233"/>
      <c r="G115" s="3246">
        <v>8190</v>
      </c>
    </row>
    <row r="116" spans="1:7" s="3222" customFormat="1" ht="14.25" customHeight="1">
      <c r="A116" s="3233" t="s">
        <v>303</v>
      </c>
      <c r="B116" s="3233" t="s">
        <v>2971</v>
      </c>
      <c r="C116" s="3233">
        <v>13580</v>
      </c>
      <c r="D116" s="3233">
        <v>13520</v>
      </c>
      <c r="E116" s="3233"/>
      <c r="F116" s="3233"/>
      <c r="G116" s="3246">
        <v>8930</v>
      </c>
    </row>
    <row r="117" spans="1:7" s="3222" customFormat="1" ht="14.25" customHeight="1">
      <c r="A117" s="3233" t="s">
        <v>303</v>
      </c>
      <c r="B117" s="3233" t="s">
        <v>2978</v>
      </c>
      <c r="C117" s="3233">
        <v>17120</v>
      </c>
      <c r="D117" s="3233">
        <v>17040</v>
      </c>
      <c r="E117" s="3233"/>
      <c r="F117" s="3233"/>
      <c r="G117" s="3246">
        <v>11260</v>
      </c>
    </row>
    <row r="118" spans="1:7" s="3222" customFormat="1" ht="14.25" customHeight="1">
      <c r="A118" s="3233" t="s">
        <v>303</v>
      </c>
      <c r="B118" s="3233" t="s">
        <v>2983</v>
      </c>
      <c r="C118" s="3233">
        <v>14860</v>
      </c>
      <c r="D118" s="3233">
        <v>14790</v>
      </c>
      <c r="E118" s="3233"/>
      <c r="F118" s="3233"/>
      <c r="G118" s="3246">
        <v>9780</v>
      </c>
    </row>
    <row r="119" spans="1:7" s="3222" customFormat="1" ht="14.25" customHeight="1">
      <c r="A119" s="3233" t="s">
        <v>303</v>
      </c>
      <c r="B119" s="3233" t="s">
        <v>2987</v>
      </c>
      <c r="C119" s="3233">
        <v>16470</v>
      </c>
      <c r="D119" s="3233">
        <v>16400</v>
      </c>
      <c r="E119" s="3233"/>
      <c r="F119" s="3233"/>
      <c r="G119" s="3246">
        <v>10840</v>
      </c>
    </row>
    <row r="120" spans="1:7" s="3222" customFormat="1" ht="14.25" customHeight="1">
      <c r="A120" s="3233" t="s">
        <v>303</v>
      </c>
      <c r="B120" s="3233" t="s">
        <v>3073</v>
      </c>
      <c r="C120" s="3233"/>
      <c r="D120" s="3233"/>
      <c r="E120" s="3233"/>
      <c r="F120" s="3233">
        <v>4160</v>
      </c>
      <c r="G120" s="3246"/>
    </row>
    <row r="121" spans="1:7" s="3222" customFormat="1" ht="14.25" customHeight="1">
      <c r="A121" s="3233" t="s">
        <v>303</v>
      </c>
      <c r="B121" s="3233" t="s">
        <v>3074</v>
      </c>
      <c r="C121" s="3233"/>
      <c r="D121" s="3233"/>
      <c r="E121" s="3233"/>
      <c r="F121" s="3233">
        <v>3880</v>
      </c>
      <c r="G121" s="3246"/>
    </row>
    <row r="122" spans="1:7" s="3222" customFormat="1" ht="14.25" customHeight="1">
      <c r="A122" s="3233" t="s">
        <v>303</v>
      </c>
      <c r="B122" s="3233" t="s">
        <v>3075</v>
      </c>
      <c r="C122" s="3233">
        <v>13750</v>
      </c>
      <c r="D122" s="3233">
        <v>13680</v>
      </c>
      <c r="E122" s="3233">
        <v>16460</v>
      </c>
      <c r="F122" s="3233">
        <v>2880</v>
      </c>
      <c r="G122" s="3246">
        <v>9040</v>
      </c>
    </row>
    <row r="123" spans="1:7" s="3222" customFormat="1" ht="14.25" customHeight="1">
      <c r="A123" s="3233" t="s">
        <v>303</v>
      </c>
      <c r="B123" s="3233" t="s">
        <v>3006</v>
      </c>
      <c r="C123" s="3233">
        <v>13590</v>
      </c>
      <c r="D123" s="3233">
        <v>13520</v>
      </c>
      <c r="E123" s="3233">
        <v>16290</v>
      </c>
      <c r="F123" s="3233">
        <v>2790</v>
      </c>
      <c r="G123" s="3246">
        <v>8930</v>
      </c>
    </row>
    <row r="124" spans="1:7" s="3222" customFormat="1" ht="14.25" customHeight="1">
      <c r="A124" s="3233" t="s">
        <v>303</v>
      </c>
      <c r="B124" s="3233" t="s">
        <v>3011</v>
      </c>
      <c r="C124" s="3233">
        <v>13400</v>
      </c>
      <c r="D124" s="3233">
        <v>13320</v>
      </c>
      <c r="E124" s="3233">
        <v>16100</v>
      </c>
      <c r="F124" s="3233">
        <v>2320</v>
      </c>
      <c r="G124" s="3246">
        <v>8800</v>
      </c>
    </row>
    <row r="125" spans="1:7" s="3222" customFormat="1" ht="14.25" customHeight="1">
      <c r="A125" s="3233" t="s">
        <v>303</v>
      </c>
      <c r="B125" s="3233" t="s">
        <v>3016</v>
      </c>
      <c r="C125" s="3233">
        <v>12860</v>
      </c>
      <c r="D125" s="3233">
        <v>12790</v>
      </c>
      <c r="E125" s="3233">
        <v>15370</v>
      </c>
      <c r="F125" s="3233">
        <v>2280</v>
      </c>
      <c r="G125" s="3246">
        <v>8450</v>
      </c>
    </row>
    <row r="126" spans="1:7" s="3222" customFormat="1" ht="14.25" customHeight="1" thickBot="1">
      <c r="A126" s="3247" t="s">
        <v>303</v>
      </c>
      <c r="B126" s="3240" t="s">
        <v>3021</v>
      </c>
      <c r="C126" s="3240">
        <v>12960</v>
      </c>
      <c r="D126" s="3240">
        <v>12890</v>
      </c>
      <c r="E126" s="3240">
        <v>15530</v>
      </c>
      <c r="F126" s="3240">
        <v>2910</v>
      </c>
      <c r="G126" s="3248">
        <v>8520</v>
      </c>
    </row>
    <row r="127" spans="1:7" s="3222" customFormat="1" ht="14.25" customHeight="1">
      <c r="A127" s="3238" t="s">
        <v>29</v>
      </c>
      <c r="B127" s="3229" t="s">
        <v>3076</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3077</v>
      </c>
      <c r="C148" s="3233">
        <v>10370</v>
      </c>
      <c r="D148" s="3233">
        <v>10310</v>
      </c>
      <c r="E148" s="3233">
        <v>12970</v>
      </c>
      <c r="F148" s="3233"/>
      <c r="G148" s="3233">
        <v>6630</v>
      </c>
    </row>
    <row r="149" spans="1:7" s="3222" customFormat="1" ht="14.25" customHeight="1">
      <c r="A149" s="3233" t="s">
        <v>29</v>
      </c>
      <c r="B149" s="3233" t="s">
        <v>3078</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2952</v>
      </c>
      <c r="C153" s="3233">
        <v>10880</v>
      </c>
      <c r="D153" s="3233">
        <v>10820</v>
      </c>
      <c r="E153" s="3233">
        <v>13660</v>
      </c>
      <c r="F153" s="3233">
        <v>2260</v>
      </c>
      <c r="G153" s="3233">
        <v>6970</v>
      </c>
    </row>
    <row r="154" spans="1:7" s="3222" customFormat="1" ht="14.25" customHeight="1">
      <c r="A154" s="3233" t="s">
        <v>29</v>
      </c>
      <c r="B154" s="3233" t="s">
        <v>3079</v>
      </c>
      <c r="C154" s="3233">
        <v>11220</v>
      </c>
      <c r="D154" s="3233">
        <v>11160</v>
      </c>
      <c r="E154" s="3233">
        <v>14130</v>
      </c>
      <c r="F154" s="3233">
        <v>2230</v>
      </c>
      <c r="G154" s="3233">
        <v>7180</v>
      </c>
    </row>
    <row r="155" spans="1:7" s="3222" customFormat="1" ht="14.25" customHeight="1">
      <c r="A155" s="3233" t="s">
        <v>29</v>
      </c>
      <c r="B155" s="3233" t="s">
        <v>2965</v>
      </c>
      <c r="C155" s="3233">
        <v>10430</v>
      </c>
      <c r="D155" s="3233">
        <v>10380</v>
      </c>
      <c r="E155" s="3233">
        <v>13140</v>
      </c>
      <c r="F155" s="3233">
        <v>2080</v>
      </c>
      <c r="G155" s="3233">
        <v>6650</v>
      </c>
    </row>
    <row r="156" spans="1:7" s="3222" customFormat="1" ht="14.25" customHeight="1">
      <c r="A156" s="3233" t="s">
        <v>29</v>
      </c>
      <c r="B156" s="3233" t="s">
        <v>3080</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3081</v>
      </c>
      <c r="C160" s="3233">
        <v>11180</v>
      </c>
      <c r="D160" s="3233">
        <v>11140</v>
      </c>
      <c r="E160" s="3233">
        <v>14050</v>
      </c>
      <c r="F160" s="3233">
        <v>2270</v>
      </c>
      <c r="G160" s="3233">
        <v>7170</v>
      </c>
    </row>
    <row r="161" spans="1:7" s="3222" customFormat="1" ht="14.25" customHeight="1">
      <c r="A161" s="3233" t="s">
        <v>29</v>
      </c>
      <c r="B161" s="3233" t="s">
        <v>2997</v>
      </c>
      <c r="C161" s="3233">
        <v>11160</v>
      </c>
      <c r="D161" s="3233">
        <v>11120</v>
      </c>
      <c r="E161" s="3233">
        <v>14020</v>
      </c>
      <c r="F161" s="3233">
        <v>2150</v>
      </c>
      <c r="G161" s="3233">
        <v>7160</v>
      </c>
    </row>
    <row r="162" spans="1:7" s="3222" customFormat="1" ht="14.25" customHeight="1">
      <c r="A162" s="3233" t="s">
        <v>29</v>
      </c>
      <c r="B162" s="3233" t="s">
        <v>3002</v>
      </c>
      <c r="C162" s="3233">
        <v>9620</v>
      </c>
      <c r="D162" s="3233">
        <v>9570</v>
      </c>
      <c r="E162" s="3233">
        <v>12320</v>
      </c>
      <c r="F162" s="3233">
        <v>2010</v>
      </c>
      <c r="G162" s="3233">
        <v>6160</v>
      </c>
    </row>
    <row r="163" spans="1:7" s="3222" customFormat="1" ht="14.25" customHeight="1">
      <c r="A163" s="3233" t="s">
        <v>29</v>
      </c>
      <c r="B163" s="3233" t="s">
        <v>3007</v>
      </c>
      <c r="C163" s="3233">
        <v>9320</v>
      </c>
      <c r="D163" s="3233">
        <v>9270</v>
      </c>
      <c r="E163" s="3233">
        <v>11790</v>
      </c>
      <c r="F163" s="3233">
        <v>1920</v>
      </c>
      <c r="G163" s="3233">
        <v>5960</v>
      </c>
    </row>
    <row r="164" spans="1:7" s="3222" customFormat="1" ht="14.25" customHeight="1">
      <c r="A164" s="3233" t="s">
        <v>29</v>
      </c>
      <c r="B164" s="3233" t="s">
        <v>3012</v>
      </c>
      <c r="C164" s="3233"/>
      <c r="D164" s="3233"/>
      <c r="E164" s="3233"/>
      <c r="F164" s="3233">
        <v>1980</v>
      </c>
      <c r="G164" s="3233"/>
    </row>
    <row r="165" spans="1:7" s="3222" customFormat="1" ht="14.25" customHeight="1">
      <c r="A165" s="3233" t="s">
        <v>29</v>
      </c>
      <c r="B165" s="3233" t="s">
        <v>3082</v>
      </c>
      <c r="C165" s="3233">
        <v>11060</v>
      </c>
      <c r="D165" s="3233">
        <v>11030</v>
      </c>
      <c r="E165" s="3233">
        <v>13850</v>
      </c>
      <c r="F165" s="3233">
        <v>2170</v>
      </c>
      <c r="G165" s="3233">
        <v>7090</v>
      </c>
    </row>
    <row r="166" spans="1:7" s="3222" customFormat="1" ht="14.25" customHeight="1">
      <c r="A166" s="3233" t="s">
        <v>29</v>
      </c>
      <c r="B166" s="3233" t="s">
        <v>3022</v>
      </c>
      <c r="C166" s="3233">
        <v>11050</v>
      </c>
      <c r="D166" s="3233">
        <v>11010</v>
      </c>
      <c r="E166" s="3233">
        <v>13920</v>
      </c>
      <c r="F166" s="3233">
        <v>2140</v>
      </c>
      <c r="G166" s="3233">
        <v>7080</v>
      </c>
    </row>
    <row r="167" spans="1:7" s="3222" customFormat="1" ht="14.25" customHeight="1">
      <c r="A167" s="3233" t="s">
        <v>29</v>
      </c>
      <c r="B167" s="3233" t="s">
        <v>3026</v>
      </c>
      <c r="C167" s="3233">
        <v>10930</v>
      </c>
      <c r="D167" s="3233">
        <v>10890</v>
      </c>
      <c r="E167" s="3233">
        <v>13790</v>
      </c>
      <c r="F167" s="3233">
        <v>2010</v>
      </c>
      <c r="G167" s="3233">
        <v>7000</v>
      </c>
    </row>
    <row r="168" spans="1:7" s="3222" customFormat="1" ht="14.25" customHeight="1">
      <c r="A168" s="3233" t="s">
        <v>29</v>
      </c>
      <c r="B168" s="3233" t="s">
        <v>3031</v>
      </c>
      <c r="C168" s="3233">
        <v>9420</v>
      </c>
      <c r="D168" s="3233">
        <v>9380</v>
      </c>
      <c r="E168" s="3233">
        <v>11970</v>
      </c>
      <c r="F168" s="3233"/>
      <c r="G168" s="3233">
        <v>6040</v>
      </c>
    </row>
    <row r="169" spans="1:7" s="3222" customFormat="1" ht="14.25" customHeight="1">
      <c r="A169" s="3233" t="s">
        <v>29</v>
      </c>
      <c r="B169" s="3233" t="s">
        <v>3083</v>
      </c>
      <c r="C169" s="3233"/>
      <c r="D169" s="3233"/>
      <c r="E169" s="3233"/>
      <c r="F169" s="3233">
        <v>2880</v>
      </c>
      <c r="G169" s="3233"/>
    </row>
    <row r="170" spans="1:7" s="3222" customFormat="1" ht="14.25" customHeight="1">
      <c r="A170" s="3233" t="s">
        <v>29</v>
      </c>
      <c r="B170" s="3233" t="s">
        <v>3039</v>
      </c>
      <c r="C170" s="3233"/>
      <c r="D170" s="3233"/>
      <c r="E170" s="3233"/>
      <c r="F170" s="3233">
        <v>2880</v>
      </c>
      <c r="G170" s="3233"/>
    </row>
    <row r="171" spans="1:7" s="3222" customFormat="1" ht="14.25" customHeight="1">
      <c r="A171" s="3233" t="s">
        <v>29</v>
      </c>
      <c r="B171" s="3233" t="s">
        <v>3042</v>
      </c>
      <c r="C171" s="3233"/>
      <c r="D171" s="3233"/>
      <c r="E171" s="3233"/>
      <c r="F171" s="3233">
        <v>2880</v>
      </c>
      <c r="G171" s="3233"/>
    </row>
    <row r="172" spans="1:7" s="3222" customFormat="1" ht="14.25" customHeight="1">
      <c r="A172" s="3233" t="s">
        <v>29</v>
      </c>
      <c r="B172" s="3233" t="s">
        <v>3044</v>
      </c>
      <c r="C172" s="3233"/>
      <c r="D172" s="3233"/>
      <c r="E172" s="3233"/>
      <c r="F172" s="3233">
        <v>2880</v>
      </c>
      <c r="G172" s="3233"/>
    </row>
    <row r="173" spans="1:7" s="3222" customFormat="1" ht="14.25" customHeight="1">
      <c r="A173" s="3233" t="s">
        <v>29</v>
      </c>
      <c r="B173" s="3233" t="s">
        <v>3046</v>
      </c>
      <c r="C173" s="3233"/>
      <c r="D173" s="3233"/>
      <c r="E173" s="3233"/>
      <c r="F173" s="3233">
        <v>2150</v>
      </c>
      <c r="G173" s="3233"/>
    </row>
    <row r="174" spans="1:7" s="3222" customFormat="1" ht="14.25" customHeight="1">
      <c r="A174" s="3233" t="s">
        <v>29</v>
      </c>
      <c r="B174" s="3233" t="s">
        <v>3048</v>
      </c>
      <c r="C174" s="3233"/>
      <c r="D174" s="3233"/>
      <c r="E174" s="3233"/>
      <c r="F174" s="3233">
        <v>2030</v>
      </c>
      <c r="G174" s="3233"/>
    </row>
    <row r="175" spans="1:7" s="3222" customFormat="1" ht="14.25" customHeight="1">
      <c r="A175" s="3233" t="s">
        <v>29</v>
      </c>
      <c r="B175" s="3233" t="s">
        <v>3050</v>
      </c>
      <c r="C175" s="3233"/>
      <c r="D175" s="3233"/>
      <c r="E175" s="3233"/>
      <c r="F175" s="3233">
        <v>2780</v>
      </c>
      <c r="G175" s="3233"/>
    </row>
    <row r="176" spans="1:7" s="3222" customFormat="1" ht="14.25" customHeight="1">
      <c r="A176" s="3233" t="s">
        <v>29</v>
      </c>
      <c r="B176" s="3233" t="s">
        <v>3052</v>
      </c>
      <c r="C176" s="3233"/>
      <c r="D176" s="3233"/>
      <c r="E176" s="3233"/>
      <c r="F176" s="3233">
        <v>2780</v>
      </c>
      <c r="G176" s="3233"/>
    </row>
    <row r="177" spans="1:7" s="3222" customFormat="1" ht="14.25" customHeight="1">
      <c r="A177" s="3233" t="s">
        <v>29</v>
      </c>
      <c r="B177" s="3233" t="s">
        <v>3084</v>
      </c>
      <c r="C177" s="3233"/>
      <c r="D177" s="3233"/>
      <c r="E177" s="3233"/>
      <c r="F177" s="3233">
        <v>2780</v>
      </c>
      <c r="G177" s="3233"/>
    </row>
    <row r="178" spans="1:7" s="3222" customFormat="1" ht="14.25" customHeight="1">
      <c r="A178" s="3233" t="s">
        <v>29</v>
      </c>
      <c r="B178" s="3233" t="s">
        <v>3085</v>
      </c>
      <c r="C178" s="3233"/>
      <c r="D178" s="3233"/>
      <c r="E178" s="3233"/>
      <c r="F178" s="3233">
        <v>2060</v>
      </c>
      <c r="G178" s="3233"/>
    </row>
    <row r="179" spans="1:7" s="3222" customFormat="1" ht="14.25" customHeight="1">
      <c r="A179" s="3233" t="s">
        <v>29</v>
      </c>
      <c r="B179" s="3233" t="s">
        <v>3086</v>
      </c>
      <c r="C179" s="3233"/>
      <c r="D179" s="3233"/>
      <c r="E179" s="3233"/>
      <c r="F179" s="3233">
        <v>2120</v>
      </c>
      <c r="G179" s="3233"/>
    </row>
    <row r="180" spans="1:7" s="3222" customFormat="1" ht="14.25" customHeight="1">
      <c r="A180" s="3233" t="s">
        <v>29</v>
      </c>
      <c r="B180" s="3233" t="s">
        <v>3058</v>
      </c>
      <c r="C180" s="3233"/>
      <c r="D180" s="3233"/>
      <c r="E180" s="3233"/>
      <c r="F180" s="3233">
        <v>2340</v>
      </c>
      <c r="G180" s="3233"/>
    </row>
    <row r="181" spans="1:7" s="3222" customFormat="1" ht="14.25" customHeight="1">
      <c r="A181" s="3233" t="s">
        <v>29</v>
      </c>
      <c r="B181" s="3233" t="s">
        <v>3059</v>
      </c>
      <c r="C181" s="3233"/>
      <c r="D181" s="3233"/>
      <c r="E181" s="3233"/>
      <c r="F181" s="3233">
        <v>2340</v>
      </c>
      <c r="G181" s="3233"/>
    </row>
    <row r="182" spans="1:7" s="3222" customFormat="1" ht="14.25" customHeight="1">
      <c r="A182" s="3233" t="s">
        <v>29</v>
      </c>
      <c r="B182" s="3233" t="s">
        <v>3060</v>
      </c>
      <c r="C182" s="3233"/>
      <c r="D182" s="3233"/>
      <c r="E182" s="3233"/>
      <c r="F182" s="3233">
        <v>2340</v>
      </c>
      <c r="G182" s="3233"/>
    </row>
    <row r="183" spans="1:7" s="3222" customFormat="1" ht="14.25" customHeight="1">
      <c r="A183" s="3233" t="s">
        <v>29</v>
      </c>
      <c r="B183" s="3233" t="s">
        <v>3061</v>
      </c>
      <c r="C183" s="3233"/>
      <c r="D183" s="3233"/>
      <c r="E183" s="3233"/>
      <c r="F183" s="3233">
        <v>2340</v>
      </c>
      <c r="G183" s="3233"/>
    </row>
    <row r="184" spans="1:7" s="3222" customFormat="1" ht="14.25" customHeight="1">
      <c r="A184" s="3233" t="s">
        <v>29</v>
      </c>
      <c r="B184" s="3233" t="s">
        <v>3062</v>
      </c>
      <c r="C184" s="3233"/>
      <c r="D184" s="3233"/>
      <c r="E184" s="3233"/>
      <c r="F184" s="3233">
        <v>2340</v>
      </c>
      <c r="G184" s="3233"/>
    </row>
    <row r="185" spans="1:7" s="3222" customFormat="1" ht="14.25" customHeight="1">
      <c r="A185" s="3233" t="s">
        <v>29</v>
      </c>
      <c r="B185" s="3233" t="s">
        <v>3063</v>
      </c>
      <c r="C185" s="3233"/>
      <c r="D185" s="3233"/>
      <c r="E185" s="3233"/>
      <c r="F185" s="3233">
        <v>2530</v>
      </c>
      <c r="G185" s="3233"/>
    </row>
    <row r="186" spans="1:7" s="3222" customFormat="1" ht="14.25" customHeight="1">
      <c r="A186" s="3233" t="s">
        <v>29</v>
      </c>
      <c r="B186" s="3233" t="s">
        <v>3064</v>
      </c>
      <c r="C186" s="3233"/>
      <c r="D186" s="3233"/>
      <c r="E186" s="3233"/>
      <c r="F186" s="3233">
        <v>2550</v>
      </c>
      <c r="G186" s="3233"/>
    </row>
    <row r="187" spans="1:7" s="3222" customFormat="1" ht="14.25" customHeight="1">
      <c r="A187" s="3233" t="s">
        <v>29</v>
      </c>
      <c r="B187" s="3233" t="s">
        <v>3065</v>
      </c>
      <c r="C187" s="3233"/>
      <c r="D187" s="3233"/>
      <c r="E187" s="3233"/>
      <c r="F187" s="3233">
        <v>2070</v>
      </c>
      <c r="G187" s="3233"/>
    </row>
    <row r="188" spans="1:7" s="3222" customFormat="1" ht="14.25" customHeight="1">
      <c r="A188" s="3233" t="s">
        <v>29</v>
      </c>
      <c r="B188" s="3233" t="s">
        <v>3066</v>
      </c>
      <c r="C188" s="3233"/>
      <c r="D188" s="3233"/>
      <c r="E188" s="3233"/>
      <c r="F188" s="3233">
        <v>2340</v>
      </c>
      <c r="G188" s="3233"/>
    </row>
    <row r="189" spans="1:7" s="3222" customFormat="1" ht="14.25" customHeight="1" thickBot="1">
      <c r="A189" s="3241" t="s">
        <v>29</v>
      </c>
      <c r="B189" s="3244" t="s">
        <v>3067</v>
      </c>
      <c r="C189" s="3244"/>
      <c r="D189" s="3244"/>
      <c r="E189" s="3244"/>
      <c r="F189" s="3244">
        <v>2050</v>
      </c>
      <c r="G189" s="3244"/>
    </row>
    <row r="190" spans="1:7" s="3222" customFormat="1" ht="14.25" customHeight="1">
      <c r="A190" s="3238" t="s">
        <v>304</v>
      </c>
      <c r="B190" s="3229" t="s">
        <v>3087</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3088</v>
      </c>
      <c r="C199" s="3233">
        <v>8690</v>
      </c>
      <c r="D199" s="3233">
        <v>8630</v>
      </c>
      <c r="E199" s="3233">
        <v>11350</v>
      </c>
      <c r="F199" s="3233">
        <v>1600</v>
      </c>
      <c r="G199" s="3246">
        <v>5450</v>
      </c>
    </row>
    <row r="200" spans="1:7" s="3222" customFormat="1" ht="14.25" customHeight="1">
      <c r="A200" s="3233" t="s">
        <v>304</v>
      </c>
      <c r="B200" s="3233" t="s">
        <v>2899</v>
      </c>
      <c r="C200" s="3233"/>
      <c r="D200" s="3233"/>
      <c r="E200" s="3233"/>
      <c r="F200" s="3233">
        <v>1510</v>
      </c>
      <c r="G200" s="3246"/>
    </row>
    <row r="201" spans="1:7" s="3222" customFormat="1" ht="14.25" customHeight="1">
      <c r="A201" s="3233" t="s">
        <v>304</v>
      </c>
      <c r="B201" s="3233" t="s">
        <v>3089</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3090</v>
      </c>
      <c r="C203" s="3233">
        <v>8130</v>
      </c>
      <c r="D203" s="3233">
        <v>8070</v>
      </c>
      <c r="E203" s="3233">
        <v>10820</v>
      </c>
      <c r="F203" s="3233">
        <v>1690</v>
      </c>
      <c r="G203" s="3246">
        <v>5100</v>
      </c>
    </row>
    <row r="204" spans="1:7" s="3222" customFormat="1" ht="14.25" customHeight="1">
      <c r="A204" s="3233" t="s">
        <v>304</v>
      </c>
      <c r="B204" s="3233" t="s">
        <v>2910</v>
      </c>
      <c r="C204" s="3233">
        <v>8350</v>
      </c>
      <c r="D204" s="3233">
        <v>8290</v>
      </c>
      <c r="E204" s="3233">
        <v>11080</v>
      </c>
      <c r="F204" s="3233">
        <v>1450</v>
      </c>
      <c r="G204" s="3246">
        <v>5240</v>
      </c>
    </row>
    <row r="205" spans="1:7" s="3222" customFormat="1" ht="14.25" customHeight="1">
      <c r="A205" s="3233" t="s">
        <v>304</v>
      </c>
      <c r="B205" s="3233" t="s">
        <v>2912</v>
      </c>
      <c r="C205" s="3233">
        <v>7190</v>
      </c>
      <c r="D205" s="3233">
        <v>7130</v>
      </c>
      <c r="E205" s="3233">
        <v>9490</v>
      </c>
      <c r="F205" s="3233">
        <v>1470</v>
      </c>
      <c r="G205" s="3246">
        <v>4510</v>
      </c>
    </row>
    <row r="206" spans="1:7" s="3222" customFormat="1" ht="14.25" customHeight="1">
      <c r="A206" s="3233" t="s">
        <v>304</v>
      </c>
      <c r="B206" s="3233" t="s">
        <v>2915</v>
      </c>
      <c r="C206" s="3233">
        <v>7000</v>
      </c>
      <c r="D206" s="3233">
        <v>6950</v>
      </c>
      <c r="E206" s="3233">
        <v>9170</v>
      </c>
      <c r="F206" s="3233">
        <v>1400</v>
      </c>
      <c r="G206" s="3246">
        <v>4380</v>
      </c>
    </row>
    <row r="207" spans="1:7" s="3222" customFormat="1" ht="14.25" customHeight="1">
      <c r="A207" s="3233" t="s">
        <v>304</v>
      </c>
      <c r="B207" s="3233" t="s">
        <v>2917</v>
      </c>
      <c r="C207" s="3233">
        <v>6950</v>
      </c>
      <c r="D207" s="3233">
        <v>6900</v>
      </c>
      <c r="E207" s="3233">
        <v>9110</v>
      </c>
      <c r="F207" s="3233">
        <v>1790</v>
      </c>
      <c r="G207" s="3246">
        <v>4360</v>
      </c>
    </row>
    <row r="208" spans="1:7" s="3222" customFormat="1" ht="14.25" customHeight="1">
      <c r="A208" s="3233" t="s">
        <v>304</v>
      </c>
      <c r="B208" s="3233" t="s">
        <v>3091</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2927</v>
      </c>
      <c r="C210" s="3233">
        <v>8710</v>
      </c>
      <c r="D210" s="3233">
        <v>8660</v>
      </c>
      <c r="E210" s="3233">
        <v>11440</v>
      </c>
      <c r="F210" s="3233">
        <v>1740</v>
      </c>
      <c r="G210" s="3246">
        <v>5470</v>
      </c>
    </row>
    <row r="211" spans="1:7" s="3222" customFormat="1" ht="14.25" customHeight="1">
      <c r="A211" s="3233" t="s">
        <v>304</v>
      </c>
      <c r="B211" s="3233" t="s">
        <v>3092</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3093</v>
      </c>
      <c r="C214" s="3233">
        <v>8090</v>
      </c>
      <c r="D214" s="3233">
        <v>8030</v>
      </c>
      <c r="E214" s="3233">
        <v>10780</v>
      </c>
      <c r="F214" s="3233">
        <v>1570</v>
      </c>
      <c r="G214" s="3246">
        <v>5070</v>
      </c>
    </row>
    <row r="215" spans="1:7" s="3222" customFormat="1" ht="14.25" customHeight="1">
      <c r="A215" s="3233" t="s">
        <v>304</v>
      </c>
      <c r="B215" s="3233" t="s">
        <v>3094</v>
      </c>
      <c r="C215" s="3233">
        <v>7950</v>
      </c>
      <c r="D215" s="3233">
        <v>7900</v>
      </c>
      <c r="E215" s="3233">
        <v>10560</v>
      </c>
      <c r="F215" s="3233">
        <v>1630</v>
      </c>
      <c r="G215" s="3246">
        <v>4990</v>
      </c>
    </row>
    <row r="216" spans="1:7" s="3222" customFormat="1" ht="14.25" customHeight="1">
      <c r="A216" s="3233" t="s">
        <v>304</v>
      </c>
      <c r="B216" s="3233" t="s">
        <v>3095</v>
      </c>
      <c r="C216" s="3233">
        <v>8490</v>
      </c>
      <c r="D216" s="3233">
        <v>8440</v>
      </c>
      <c r="E216" s="3233">
        <v>11260</v>
      </c>
      <c r="F216" s="3233">
        <v>1690</v>
      </c>
      <c r="G216" s="3246">
        <v>5330</v>
      </c>
    </row>
    <row r="217" spans="1:7" s="3222" customFormat="1" ht="14.25" customHeight="1">
      <c r="A217" s="3233" t="s">
        <v>304</v>
      </c>
      <c r="B217" s="3233" t="s">
        <v>2960</v>
      </c>
      <c r="C217" s="3233">
        <v>8200</v>
      </c>
      <c r="D217" s="3233">
        <v>8150</v>
      </c>
      <c r="E217" s="3233">
        <v>10910</v>
      </c>
      <c r="F217" s="3233">
        <v>1670</v>
      </c>
      <c r="G217" s="3246">
        <v>5150</v>
      </c>
    </row>
    <row r="218" spans="1:7" s="3222" customFormat="1" ht="14.25" customHeight="1">
      <c r="A218" s="3233" t="s">
        <v>304</v>
      </c>
      <c r="B218" s="3233" t="s">
        <v>3096</v>
      </c>
      <c r="C218" s="3233"/>
      <c r="D218" s="3233"/>
      <c r="E218" s="3233"/>
      <c r="F218" s="3233">
        <v>2040</v>
      </c>
      <c r="G218" s="3246"/>
    </row>
    <row r="219" spans="1:7" s="3222" customFormat="1" ht="14.25" customHeight="1">
      <c r="A219" s="3233" t="s">
        <v>304</v>
      </c>
      <c r="B219" s="3233" t="s">
        <v>3097</v>
      </c>
      <c r="C219" s="3233"/>
      <c r="D219" s="3233"/>
      <c r="E219" s="3233"/>
      <c r="F219" s="3233">
        <v>2040</v>
      </c>
      <c r="G219" s="3246"/>
    </row>
    <row r="220" spans="1:7" s="3222" customFormat="1" ht="14.25" customHeight="1">
      <c r="A220" s="3233" t="s">
        <v>304</v>
      </c>
      <c r="B220" s="3233" t="s">
        <v>3098</v>
      </c>
      <c r="C220" s="3233"/>
      <c r="D220" s="3233"/>
      <c r="E220" s="3233"/>
      <c r="F220" s="3233">
        <v>2040</v>
      </c>
      <c r="G220" s="3246"/>
    </row>
    <row r="221" spans="1:7" s="3222" customFormat="1" ht="14.25" customHeight="1">
      <c r="A221" s="3233" t="s">
        <v>304</v>
      </c>
      <c r="B221" s="3233" t="s">
        <v>3099</v>
      </c>
      <c r="C221" s="3233"/>
      <c r="D221" s="3233"/>
      <c r="E221" s="3233"/>
      <c r="F221" s="3233">
        <v>2040</v>
      </c>
      <c r="G221" s="3246"/>
    </row>
    <row r="222" spans="1:7" s="3222" customFormat="1" ht="14.25" customHeight="1">
      <c r="A222" s="3233" t="s">
        <v>304</v>
      </c>
      <c r="B222" s="3233" t="s">
        <v>3100</v>
      </c>
      <c r="C222" s="3233"/>
      <c r="D222" s="3233"/>
      <c r="E222" s="3233"/>
      <c r="F222" s="3233">
        <v>2040</v>
      </c>
      <c r="G222" s="3246"/>
    </row>
    <row r="223" spans="1:7" s="3222" customFormat="1" ht="14.25" customHeight="1">
      <c r="A223" s="3233" t="s">
        <v>304</v>
      </c>
      <c r="B223" s="3233" t="s">
        <v>3101</v>
      </c>
      <c r="C223" s="3233"/>
      <c r="D223" s="3233"/>
      <c r="E223" s="3233"/>
      <c r="F223" s="3233">
        <v>1930</v>
      </c>
      <c r="G223" s="3246"/>
    </row>
    <row r="224" spans="1:7" s="3222" customFormat="1" ht="14.25" customHeight="1">
      <c r="A224" s="3233" t="s">
        <v>304</v>
      </c>
      <c r="B224" s="3233" t="s">
        <v>3102</v>
      </c>
      <c r="C224" s="3233"/>
      <c r="D224" s="3233"/>
      <c r="E224" s="3233"/>
      <c r="F224" s="3233">
        <v>1930</v>
      </c>
      <c r="G224" s="3246"/>
    </row>
    <row r="225" spans="1:7" s="3222" customFormat="1" ht="14.25" customHeight="1">
      <c r="A225" s="3233" t="s">
        <v>304</v>
      </c>
      <c r="B225" s="3233" t="s">
        <v>3103</v>
      </c>
      <c r="C225" s="3233"/>
      <c r="D225" s="3233"/>
      <c r="E225" s="3233"/>
      <c r="F225" s="3233">
        <v>1930</v>
      </c>
      <c r="G225" s="3246"/>
    </row>
    <row r="226" spans="1:7" s="3222" customFormat="1" ht="14.25" customHeight="1">
      <c r="A226" s="3233" t="s">
        <v>304</v>
      </c>
      <c r="B226" s="3233" t="s">
        <v>3104</v>
      </c>
      <c r="C226" s="3233"/>
      <c r="D226" s="3233"/>
      <c r="E226" s="3233"/>
      <c r="F226" s="3233">
        <v>1700</v>
      </c>
      <c r="G226" s="3246"/>
    </row>
    <row r="227" spans="1:7" s="3222" customFormat="1" ht="14.25" customHeight="1">
      <c r="A227" s="3233" t="s">
        <v>304</v>
      </c>
      <c r="B227" s="3233" t="s">
        <v>3105</v>
      </c>
      <c r="C227" s="3233"/>
      <c r="D227" s="3233"/>
      <c r="E227" s="3233"/>
      <c r="F227" s="3233">
        <v>1520</v>
      </c>
      <c r="G227" s="3246"/>
    </row>
    <row r="228" spans="1:7" s="3222" customFormat="1" ht="14.25" customHeight="1">
      <c r="A228" s="3233" t="s">
        <v>304</v>
      </c>
      <c r="B228" s="3233" t="s">
        <v>3106</v>
      </c>
      <c r="C228" s="3233"/>
      <c r="D228" s="3233"/>
      <c r="E228" s="3233"/>
      <c r="F228" s="3233">
        <v>1520</v>
      </c>
      <c r="G228" s="3246"/>
    </row>
    <row r="229" spans="1:7" s="3222" customFormat="1" ht="14.25" customHeight="1">
      <c r="A229" s="3233" t="s">
        <v>304</v>
      </c>
      <c r="B229" s="3233" t="s">
        <v>3023</v>
      </c>
      <c r="C229" s="3233"/>
      <c r="D229" s="3233"/>
      <c r="E229" s="3233"/>
      <c r="F229" s="3233">
        <v>1520</v>
      </c>
      <c r="G229" s="3246"/>
    </row>
    <row r="230" spans="1:7" s="3222" customFormat="1" ht="14.25" customHeight="1">
      <c r="A230" s="3233" t="s">
        <v>304</v>
      </c>
      <c r="B230" s="3233" t="s">
        <v>3107</v>
      </c>
      <c r="C230" s="3233"/>
      <c r="D230" s="3233"/>
      <c r="E230" s="3233"/>
      <c r="F230" s="3233">
        <v>1820</v>
      </c>
      <c r="G230" s="3246"/>
    </row>
    <row r="231" spans="1:7" s="3222" customFormat="1" ht="14.25" customHeight="1">
      <c r="A231" s="3233" t="s">
        <v>304</v>
      </c>
      <c r="B231" s="3233" t="s">
        <v>3108</v>
      </c>
      <c r="C231" s="3233"/>
      <c r="D231" s="3233"/>
      <c r="E231" s="3233"/>
      <c r="F231" s="3233">
        <v>1760</v>
      </c>
      <c r="G231" s="3246"/>
    </row>
    <row r="232" spans="1:7" s="3222" customFormat="1" ht="14.25" customHeight="1">
      <c r="A232" s="3233" t="s">
        <v>304</v>
      </c>
      <c r="B232" s="3233" t="s">
        <v>3109</v>
      </c>
      <c r="C232" s="3233"/>
      <c r="D232" s="3233"/>
      <c r="E232" s="3233"/>
      <c r="F232" s="3233">
        <v>1840</v>
      </c>
      <c r="G232" s="3246"/>
    </row>
    <row r="233" spans="1:7" s="3222" customFormat="1" ht="14.25" customHeight="1" thickBot="1">
      <c r="A233" s="3247" t="s">
        <v>304</v>
      </c>
      <c r="B233" s="3240" t="s">
        <v>3040</v>
      </c>
      <c r="C233" s="3240"/>
      <c r="D233" s="3240"/>
      <c r="E233" s="3240"/>
      <c r="F233" s="3240">
        <v>1770</v>
      </c>
      <c r="G233" s="3248"/>
    </row>
    <row r="234" spans="1:7" s="3222" customFormat="1" ht="14.25" customHeight="1">
      <c r="A234" s="3238" t="s">
        <v>305</v>
      </c>
      <c r="B234" s="3229" t="s">
        <v>3110</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2881</v>
      </c>
      <c r="C238" s="3233">
        <v>6920</v>
      </c>
      <c r="D238" s="3233">
        <v>6890</v>
      </c>
      <c r="E238" s="3233">
        <v>8640</v>
      </c>
      <c r="F238" s="3233">
        <v>1310</v>
      </c>
      <c r="G238" s="3233">
        <v>4230</v>
      </c>
    </row>
    <row r="239" spans="1:7" s="3222" customFormat="1" ht="14.25" customHeight="1">
      <c r="A239" s="3233" t="s">
        <v>305</v>
      </c>
      <c r="B239" s="3233" t="s">
        <v>3111</v>
      </c>
      <c r="C239" s="3233">
        <v>6780</v>
      </c>
      <c r="D239" s="3233">
        <v>6750</v>
      </c>
      <c r="E239" s="3233">
        <v>8440</v>
      </c>
      <c r="F239" s="3233">
        <v>1160</v>
      </c>
      <c r="G239" s="3233">
        <v>4140</v>
      </c>
    </row>
    <row r="240" spans="1:7" s="3222" customFormat="1" ht="14.25" customHeight="1">
      <c r="A240" s="3233" t="s">
        <v>305</v>
      </c>
      <c r="B240" s="3233" t="s">
        <v>3112</v>
      </c>
      <c r="C240" s="3233">
        <v>5420</v>
      </c>
      <c r="D240" s="3233">
        <v>5380</v>
      </c>
      <c r="E240" s="3233">
        <v>6640</v>
      </c>
      <c r="F240" s="3233">
        <v>1020</v>
      </c>
      <c r="G240" s="3233">
        <v>3300</v>
      </c>
    </row>
    <row r="241" spans="1:7" s="3222" customFormat="1" ht="14.25" customHeight="1">
      <c r="A241" s="3233" t="s">
        <v>305</v>
      </c>
      <c r="B241" s="3233" t="s">
        <v>3113</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3114</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3115</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3116</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3117</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3118</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2943</v>
      </c>
      <c r="C258" s="3233">
        <v>6190</v>
      </c>
      <c r="D258" s="3233">
        <v>6160</v>
      </c>
      <c r="E258" s="3233">
        <v>7680</v>
      </c>
      <c r="F258" s="3233">
        <v>1170</v>
      </c>
      <c r="G258" s="3233">
        <v>3780</v>
      </c>
    </row>
    <row r="259" spans="1:7" s="3222" customFormat="1" ht="14.25" customHeight="1">
      <c r="A259" s="3233" t="s">
        <v>305</v>
      </c>
      <c r="B259" s="3233" t="s">
        <v>3119</v>
      </c>
      <c r="C259" s="3233">
        <v>7610</v>
      </c>
      <c r="D259" s="3233">
        <v>7570</v>
      </c>
      <c r="E259" s="3233">
        <v>9350</v>
      </c>
      <c r="F259" s="3233">
        <v>1350</v>
      </c>
      <c r="G259" s="3233">
        <v>4650</v>
      </c>
    </row>
    <row r="260" spans="1:7" s="3222" customFormat="1" ht="14.25" customHeight="1">
      <c r="A260" s="3233" t="s">
        <v>305</v>
      </c>
      <c r="B260" s="3233" t="s">
        <v>3120</v>
      </c>
      <c r="C260" s="3233">
        <v>6920</v>
      </c>
      <c r="D260" s="3233">
        <v>6880</v>
      </c>
      <c r="E260" s="3233">
        <v>8380</v>
      </c>
      <c r="F260" s="3233">
        <v>1160</v>
      </c>
      <c r="G260" s="3233">
        <v>4220</v>
      </c>
    </row>
    <row r="261" spans="1:7" s="3222" customFormat="1" ht="14.25" customHeight="1">
      <c r="A261" s="3233" t="s">
        <v>305</v>
      </c>
      <c r="B261" s="3233" t="s">
        <v>3121</v>
      </c>
      <c r="C261" s="3233">
        <v>6850</v>
      </c>
      <c r="D261" s="3233">
        <v>6810</v>
      </c>
      <c r="E261" s="3233">
        <v>8290</v>
      </c>
      <c r="F261" s="3233">
        <v>1130</v>
      </c>
      <c r="G261" s="3233">
        <v>4180</v>
      </c>
    </row>
    <row r="262" spans="1:7" s="3222" customFormat="1" ht="14.25" customHeight="1">
      <c r="A262" s="3233" t="s">
        <v>305</v>
      </c>
      <c r="B262" s="3233" t="s">
        <v>3122</v>
      </c>
      <c r="C262" s="3233">
        <v>5860</v>
      </c>
      <c r="D262" s="3233">
        <v>5820</v>
      </c>
      <c r="E262" s="3233">
        <v>7640</v>
      </c>
      <c r="F262" s="3233">
        <v>1070</v>
      </c>
      <c r="G262" s="3233">
        <v>3570</v>
      </c>
    </row>
    <row r="263" spans="1:7" s="3222" customFormat="1" ht="14.25" customHeight="1">
      <c r="A263" s="3233" t="s">
        <v>305</v>
      </c>
      <c r="B263" s="3233" t="s">
        <v>3123</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3124</v>
      </c>
      <c r="C265" s="3233"/>
      <c r="D265" s="3233"/>
      <c r="E265" s="3233"/>
      <c r="F265" s="3233">
        <v>1500</v>
      </c>
      <c r="G265" s="3233"/>
    </row>
    <row r="266" spans="1:7" s="3222" customFormat="1" ht="14.25" customHeight="1">
      <c r="A266" s="3233" t="s">
        <v>305</v>
      </c>
      <c r="B266" s="3233" t="s">
        <v>3125</v>
      </c>
      <c r="C266" s="3233"/>
      <c r="D266" s="3233"/>
      <c r="E266" s="3233"/>
      <c r="F266" s="3233">
        <v>1500</v>
      </c>
      <c r="G266" s="3233"/>
    </row>
    <row r="267" spans="1:7" s="3222" customFormat="1" ht="14.25" customHeight="1">
      <c r="A267" s="3233" t="s">
        <v>305</v>
      </c>
      <c r="B267" s="3233" t="s">
        <v>3126</v>
      </c>
      <c r="C267" s="3233"/>
      <c r="D267" s="3233"/>
      <c r="E267" s="3233"/>
      <c r="F267" s="3233">
        <v>1500</v>
      </c>
      <c r="G267" s="3233"/>
    </row>
    <row r="268" spans="1:7" s="3222" customFormat="1" ht="14.25" customHeight="1">
      <c r="A268" s="3233" t="s">
        <v>305</v>
      </c>
      <c r="B268" s="3233" t="s">
        <v>3127</v>
      </c>
      <c r="C268" s="3233"/>
      <c r="D268" s="3233"/>
      <c r="E268" s="3233"/>
      <c r="F268" s="3233">
        <v>1290</v>
      </c>
      <c r="G268" s="3233"/>
    </row>
    <row r="269" spans="1:7" s="3222" customFormat="1" ht="14.25" customHeight="1">
      <c r="A269" s="3233" t="s">
        <v>305</v>
      </c>
      <c r="B269" s="3233" t="s">
        <v>3128</v>
      </c>
      <c r="C269" s="3233"/>
      <c r="D269" s="3233"/>
      <c r="E269" s="3233"/>
      <c r="F269" s="3233">
        <v>1150</v>
      </c>
      <c r="G269" s="3233"/>
    </row>
    <row r="270" spans="1:7" s="3222" customFormat="1" ht="14.25" customHeight="1">
      <c r="A270" s="3233" t="s">
        <v>305</v>
      </c>
      <c r="B270" s="3233" t="s">
        <v>3129</v>
      </c>
      <c r="C270" s="3233"/>
      <c r="D270" s="3233"/>
      <c r="E270" s="3233"/>
      <c r="F270" s="3233">
        <v>1380</v>
      </c>
      <c r="G270" s="3233"/>
    </row>
    <row r="271" spans="1:7" s="3222" customFormat="1" ht="14.25" customHeight="1">
      <c r="A271" s="3233" t="s">
        <v>305</v>
      </c>
      <c r="B271" s="3233" t="s">
        <v>3130</v>
      </c>
      <c r="C271" s="3233"/>
      <c r="D271" s="3233"/>
      <c r="E271" s="3233"/>
      <c r="F271" s="3233">
        <v>1460</v>
      </c>
      <c r="G271" s="3233"/>
    </row>
    <row r="272" spans="1:7" s="3222" customFormat="1" ht="14.25" customHeight="1">
      <c r="A272" s="3233" t="s">
        <v>305</v>
      </c>
      <c r="B272" s="3233" t="s">
        <v>3131</v>
      </c>
      <c r="C272" s="3233"/>
      <c r="D272" s="3233"/>
      <c r="E272" s="3233"/>
      <c r="F272" s="3233">
        <v>1460</v>
      </c>
      <c r="G272" s="3233"/>
    </row>
    <row r="273" spans="1:7" s="3222" customFormat="1" ht="14.25" customHeight="1">
      <c r="A273" s="3233" t="s">
        <v>305</v>
      </c>
      <c r="B273" s="3233" t="s">
        <v>3024</v>
      </c>
      <c r="C273" s="3233"/>
      <c r="D273" s="3233"/>
      <c r="E273" s="3233"/>
      <c r="F273" s="3233">
        <v>1490</v>
      </c>
      <c r="G273" s="3233"/>
    </row>
    <row r="274" spans="1:7" s="3222" customFormat="1" ht="14.25" customHeight="1">
      <c r="A274" s="3233" t="s">
        <v>305</v>
      </c>
      <c r="B274" s="3233" t="s">
        <v>3132</v>
      </c>
      <c r="C274" s="3233"/>
      <c r="D274" s="3233"/>
      <c r="E274" s="3233"/>
      <c r="F274" s="3233">
        <v>1490</v>
      </c>
      <c r="G274" s="3233"/>
    </row>
    <row r="275" spans="1:7" s="3222" customFormat="1" ht="14.25" customHeight="1">
      <c r="A275" s="3233" t="s">
        <v>305</v>
      </c>
      <c r="B275" s="3233" t="s">
        <v>3133</v>
      </c>
      <c r="C275" s="3233"/>
      <c r="D275" s="3233"/>
      <c r="E275" s="3233"/>
      <c r="F275" s="3233">
        <v>1220</v>
      </c>
      <c r="G275" s="3233"/>
    </row>
    <row r="276" spans="1:7" s="3222" customFormat="1" ht="14.25" customHeight="1" thickBot="1">
      <c r="A276" s="3241" t="s">
        <v>305</v>
      </c>
      <c r="B276" s="3243" t="s">
        <v>3134</v>
      </c>
      <c r="C276" s="3244"/>
      <c r="D276" s="3244"/>
      <c r="E276" s="3244"/>
      <c r="F276" s="3244">
        <v>1380</v>
      </c>
      <c r="G276" s="3244"/>
    </row>
    <row r="277" spans="1:7" s="3222" customFormat="1" ht="14.25" customHeight="1">
      <c r="A277" s="3238" t="s">
        <v>306</v>
      </c>
      <c r="B277" s="3229" t="s">
        <v>3135</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3136</v>
      </c>
      <c r="C279" s="3233">
        <v>4760</v>
      </c>
      <c r="D279" s="3233">
        <v>4720</v>
      </c>
      <c r="E279" s="3233">
        <v>5540</v>
      </c>
      <c r="F279" s="3233">
        <v>810</v>
      </c>
      <c r="G279" s="3246">
        <v>2850</v>
      </c>
    </row>
    <row r="280" spans="1:7" s="3222" customFormat="1" ht="14.25" customHeight="1">
      <c r="A280" s="3233" t="s">
        <v>306</v>
      </c>
      <c r="B280" s="3233" t="s">
        <v>3137</v>
      </c>
      <c r="C280" s="3233">
        <v>4010</v>
      </c>
      <c r="D280" s="3233">
        <v>3950</v>
      </c>
      <c r="E280" s="3233">
        <v>4710</v>
      </c>
      <c r="F280" s="3233">
        <v>800</v>
      </c>
      <c r="G280" s="3246">
        <v>2390</v>
      </c>
    </row>
    <row r="281" spans="1:7" s="3222" customFormat="1" ht="14.25" customHeight="1">
      <c r="A281" s="3233" t="s">
        <v>306</v>
      </c>
      <c r="B281" s="3233" t="s">
        <v>3138</v>
      </c>
      <c r="C281" s="3233">
        <v>4480</v>
      </c>
      <c r="D281" s="3233">
        <v>4420</v>
      </c>
      <c r="E281" s="3233">
        <v>5230</v>
      </c>
      <c r="F281" s="3233">
        <v>870</v>
      </c>
      <c r="G281" s="3246">
        <v>2660</v>
      </c>
    </row>
    <row r="282" spans="1:7" s="3222" customFormat="1" ht="14.25" customHeight="1">
      <c r="A282" s="3233" t="s">
        <v>306</v>
      </c>
      <c r="B282" s="3233" t="s">
        <v>3139</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3140</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3141</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2916</v>
      </c>
      <c r="C293" s="3233">
        <v>5320</v>
      </c>
      <c r="D293" s="3233">
        <v>5270</v>
      </c>
      <c r="E293" s="3233">
        <v>6160</v>
      </c>
      <c r="F293" s="3233">
        <v>990</v>
      </c>
      <c r="G293" s="3246">
        <v>3170</v>
      </c>
    </row>
    <row r="294" spans="1:7" s="3222" customFormat="1" ht="14.25" customHeight="1">
      <c r="A294" s="3233" t="s">
        <v>306</v>
      </c>
      <c r="B294" s="3233" t="s">
        <v>3142</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2935</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3143</v>
      </c>
      <c r="C302" s="3233">
        <v>5520</v>
      </c>
      <c r="D302" s="3233">
        <v>5470</v>
      </c>
      <c r="E302" s="3233">
        <v>6410</v>
      </c>
      <c r="F302" s="3233">
        <v>950</v>
      </c>
      <c r="G302" s="3246">
        <v>3300</v>
      </c>
    </row>
    <row r="303" spans="1:7" s="3222" customFormat="1" ht="14.25" customHeight="1">
      <c r="A303" s="3233" t="s">
        <v>306</v>
      </c>
      <c r="B303" s="3233" t="s">
        <v>2955</v>
      </c>
      <c r="C303" s="3233">
        <v>5630</v>
      </c>
      <c r="D303" s="3233">
        <v>5590</v>
      </c>
      <c r="E303" s="3233">
        <v>6550</v>
      </c>
      <c r="F303" s="3233">
        <v>1010</v>
      </c>
      <c r="G303" s="3246">
        <v>3370</v>
      </c>
    </row>
    <row r="304" spans="1:7" s="3222" customFormat="1" ht="14.25" customHeight="1">
      <c r="A304" s="3233" t="s">
        <v>306</v>
      </c>
      <c r="B304" s="3233" t="s">
        <v>2962</v>
      </c>
      <c r="C304" s="3233">
        <v>5680</v>
      </c>
      <c r="D304" s="3233">
        <v>5620</v>
      </c>
      <c r="E304" s="3233">
        <v>6620</v>
      </c>
      <c r="F304" s="3233">
        <v>1050</v>
      </c>
      <c r="G304" s="3246">
        <v>3390</v>
      </c>
    </row>
    <row r="305" spans="1:7" s="3222" customFormat="1" ht="14.25" customHeight="1">
      <c r="A305" s="3233" t="s">
        <v>306</v>
      </c>
      <c r="B305" s="3233" t="s">
        <v>2968</v>
      </c>
      <c r="C305" s="3233">
        <v>5590</v>
      </c>
      <c r="D305" s="3233">
        <v>5530</v>
      </c>
      <c r="E305" s="3233">
        <v>6460</v>
      </c>
      <c r="F305" s="3233">
        <v>900</v>
      </c>
      <c r="G305" s="3246">
        <v>3340</v>
      </c>
    </row>
    <row r="306" spans="1:7" s="3222" customFormat="1" ht="14.25" customHeight="1">
      <c r="A306" s="3233" t="s">
        <v>306</v>
      </c>
      <c r="B306" s="3233" t="s">
        <v>3144</v>
      </c>
      <c r="C306" s="3233">
        <v>5560</v>
      </c>
      <c r="D306" s="3233">
        <v>5510</v>
      </c>
      <c r="E306" s="3233">
        <v>6440</v>
      </c>
      <c r="F306" s="3233">
        <v>900</v>
      </c>
      <c r="G306" s="3246">
        <v>3320</v>
      </c>
    </row>
    <row r="307" spans="1:7" s="3222" customFormat="1" ht="14.25" customHeight="1">
      <c r="A307" s="3233" t="s">
        <v>306</v>
      </c>
      <c r="B307" s="3233" t="s">
        <v>2980</v>
      </c>
      <c r="C307" s="3233">
        <v>5650</v>
      </c>
      <c r="D307" s="3233">
        <v>5600</v>
      </c>
      <c r="E307" s="3233">
        <v>6590</v>
      </c>
      <c r="F307" s="3233">
        <v>930</v>
      </c>
      <c r="G307" s="3246">
        <v>3380</v>
      </c>
    </row>
    <row r="308" spans="1:7" s="3222" customFormat="1" ht="14.25" customHeight="1">
      <c r="A308" s="3233" t="s">
        <v>306</v>
      </c>
      <c r="B308" s="3233" t="s">
        <v>3145</v>
      </c>
      <c r="C308" s="3233">
        <v>5620</v>
      </c>
      <c r="D308" s="3233">
        <v>5580</v>
      </c>
      <c r="E308" s="3233">
        <v>6540</v>
      </c>
      <c r="F308" s="3233">
        <v>910</v>
      </c>
      <c r="G308" s="3246">
        <v>3370</v>
      </c>
    </row>
    <row r="309" spans="1:7" s="3222" customFormat="1" ht="14.25" customHeight="1">
      <c r="A309" s="3233" t="s">
        <v>306</v>
      </c>
      <c r="B309" s="3233" t="s">
        <v>3146</v>
      </c>
      <c r="C309" s="3233">
        <v>5060</v>
      </c>
      <c r="D309" s="3233">
        <v>5020</v>
      </c>
      <c r="E309" s="3233">
        <v>6370</v>
      </c>
      <c r="F309" s="3233">
        <v>800</v>
      </c>
      <c r="G309" s="3246">
        <v>3020</v>
      </c>
    </row>
    <row r="310" spans="1:7" s="3222" customFormat="1" ht="14.25" customHeight="1">
      <c r="A310" s="3233" t="s">
        <v>306</v>
      </c>
      <c r="B310" s="3233" t="s">
        <v>2995</v>
      </c>
      <c r="C310" s="3233">
        <v>5150</v>
      </c>
      <c r="D310" s="3233">
        <v>5110</v>
      </c>
      <c r="E310" s="3233">
        <v>6500</v>
      </c>
      <c r="F310" s="3233">
        <v>880</v>
      </c>
      <c r="G310" s="3246">
        <v>3080</v>
      </c>
    </row>
    <row r="311" spans="1:7" s="3222" customFormat="1" ht="14.25" customHeight="1">
      <c r="A311" s="3233" t="s">
        <v>306</v>
      </c>
      <c r="B311" s="3233" t="s">
        <v>3147</v>
      </c>
      <c r="C311" s="3233">
        <v>4750</v>
      </c>
      <c r="D311" s="3233">
        <v>4710</v>
      </c>
      <c r="E311" s="3233">
        <v>5510</v>
      </c>
      <c r="F311" s="3233">
        <v>880</v>
      </c>
      <c r="G311" s="3246">
        <v>2840</v>
      </c>
    </row>
    <row r="312" spans="1:7" s="3222" customFormat="1" ht="14.25" customHeight="1">
      <c r="A312" s="3233" t="s">
        <v>306</v>
      </c>
      <c r="B312" s="3233" t="s">
        <v>3005</v>
      </c>
      <c r="C312" s="3233">
        <v>4690</v>
      </c>
      <c r="D312" s="3233">
        <v>4640</v>
      </c>
      <c r="E312" s="3233">
        <v>5420</v>
      </c>
      <c r="F312" s="3233">
        <v>800</v>
      </c>
      <c r="G312" s="3246">
        <v>2800</v>
      </c>
    </row>
    <row r="313" spans="1:7" s="3222" customFormat="1" ht="14.25" customHeight="1">
      <c r="A313" s="3233" t="s">
        <v>306</v>
      </c>
      <c r="B313" s="3233" t="s">
        <v>3010</v>
      </c>
      <c r="C313" s="3233">
        <v>4810</v>
      </c>
      <c r="D313" s="3233">
        <v>4760</v>
      </c>
      <c r="E313" s="3233">
        <v>5550</v>
      </c>
      <c r="F313" s="3233">
        <v>920</v>
      </c>
      <c r="G313" s="3246">
        <v>2870</v>
      </c>
    </row>
    <row r="314" spans="1:7" s="3222" customFormat="1" ht="14.25" customHeight="1">
      <c r="A314" s="3233" t="s">
        <v>306</v>
      </c>
      <c r="B314" s="3233" t="s">
        <v>3148</v>
      </c>
      <c r="C314" s="3233"/>
      <c r="D314" s="3233"/>
      <c r="E314" s="3233"/>
      <c r="F314" s="3233">
        <v>1020</v>
      </c>
      <c r="G314" s="3246"/>
    </row>
    <row r="315" spans="1:7" s="3222" customFormat="1" ht="14.25" customHeight="1">
      <c r="A315" s="3233" t="s">
        <v>306</v>
      </c>
      <c r="B315" s="3233" t="s">
        <v>3149</v>
      </c>
      <c r="C315" s="3233"/>
      <c r="D315" s="3233"/>
      <c r="E315" s="3233"/>
      <c r="F315" s="3233">
        <v>1050</v>
      </c>
      <c r="G315" s="3246"/>
    </row>
    <row r="316" spans="1:7" s="3222" customFormat="1" ht="14.25" customHeight="1">
      <c r="A316" s="3233" t="s">
        <v>306</v>
      </c>
      <c r="B316" s="3233" t="s">
        <v>3025</v>
      </c>
      <c r="C316" s="3233"/>
      <c r="D316" s="3233"/>
      <c r="E316" s="3233"/>
      <c r="F316" s="3233">
        <v>900</v>
      </c>
      <c r="G316" s="3246"/>
    </row>
    <row r="317" spans="1:7" s="3222" customFormat="1" ht="14.25" customHeight="1">
      <c r="A317" s="3233" t="s">
        <v>306</v>
      </c>
      <c r="B317" s="3233" t="s">
        <v>3150</v>
      </c>
      <c r="C317" s="3233"/>
      <c r="D317" s="3233"/>
      <c r="E317" s="3233"/>
      <c r="F317" s="3233">
        <v>920</v>
      </c>
      <c r="G317" s="3246"/>
    </row>
    <row r="318" spans="1:7" s="3222" customFormat="1" ht="14.25" customHeight="1">
      <c r="A318" s="3233" t="s">
        <v>306</v>
      </c>
      <c r="B318" s="3233" t="s">
        <v>3151</v>
      </c>
      <c r="C318" s="3233"/>
      <c r="D318" s="3233"/>
      <c r="E318" s="3233"/>
      <c r="F318" s="3233">
        <v>1080</v>
      </c>
      <c r="G318" s="3246"/>
    </row>
    <row r="319" spans="1:7" s="3222" customFormat="1" ht="14.25" customHeight="1">
      <c r="A319" s="3233" t="s">
        <v>306</v>
      </c>
      <c r="B319" s="3233" t="s">
        <v>3038</v>
      </c>
      <c r="C319" s="3233"/>
      <c r="D319" s="3233"/>
      <c r="E319" s="3233"/>
      <c r="F319" s="3233">
        <v>1020</v>
      </c>
      <c r="G319" s="3246"/>
    </row>
    <row r="320" spans="1:7" s="3222" customFormat="1" ht="14.25" customHeight="1">
      <c r="A320" s="3233" t="s">
        <v>306</v>
      </c>
      <c r="B320" s="3233" t="s">
        <v>3041</v>
      </c>
      <c r="C320" s="3233"/>
      <c r="D320" s="3233"/>
      <c r="E320" s="3233"/>
      <c r="F320" s="3233">
        <v>1050</v>
      </c>
      <c r="G320" s="3246"/>
    </row>
    <row r="321" spans="1:7" s="3222" customFormat="1" ht="14.25" customHeight="1">
      <c r="A321" s="3233" t="s">
        <v>306</v>
      </c>
      <c r="B321" s="3233" t="s">
        <v>3043</v>
      </c>
      <c r="C321" s="3233"/>
      <c r="D321" s="3233"/>
      <c r="E321" s="3233"/>
      <c r="F321" s="3233">
        <v>960</v>
      </c>
      <c r="G321" s="3246"/>
    </row>
    <row r="322" spans="1:7" s="3222" customFormat="1" ht="14.25" customHeight="1">
      <c r="A322" s="3233" t="s">
        <v>306</v>
      </c>
      <c r="B322" s="3233" t="s">
        <v>3045</v>
      </c>
      <c r="C322" s="3233"/>
      <c r="D322" s="3233"/>
      <c r="E322" s="3233"/>
      <c r="F322" s="3233">
        <v>960</v>
      </c>
      <c r="G322" s="3246"/>
    </row>
    <row r="323" spans="1:7" s="3222" customFormat="1" ht="14.25" customHeight="1">
      <c r="A323" s="3233" t="s">
        <v>306</v>
      </c>
      <c r="B323" s="3233" t="s">
        <v>3047</v>
      </c>
      <c r="C323" s="3233"/>
      <c r="D323" s="3233"/>
      <c r="E323" s="3233"/>
      <c r="F323" s="3233">
        <v>880</v>
      </c>
      <c r="G323" s="3246"/>
    </row>
    <row r="324" spans="1:7" s="3222" customFormat="1" ht="14.25" customHeight="1">
      <c r="A324" s="3233" t="s">
        <v>306</v>
      </c>
      <c r="B324" s="3233" t="s">
        <v>3049</v>
      </c>
      <c r="C324" s="3233"/>
      <c r="D324" s="3233"/>
      <c r="E324" s="3233"/>
      <c r="F324" s="3233">
        <v>930</v>
      </c>
      <c r="G324" s="3246"/>
    </row>
    <row r="325" spans="1:7" s="3222" customFormat="1" ht="14.25" customHeight="1">
      <c r="A325" s="3233" t="s">
        <v>306</v>
      </c>
      <c r="B325" s="3234" t="s">
        <v>3051</v>
      </c>
      <c r="C325" s="3233"/>
      <c r="D325" s="3233"/>
      <c r="E325" s="3233"/>
      <c r="F325" s="3233">
        <v>900</v>
      </c>
      <c r="G325" s="3246"/>
    </row>
    <row r="326" spans="1:7" s="3222" customFormat="1" ht="14.25" customHeight="1" thickBot="1">
      <c r="A326" s="3247" t="s">
        <v>306</v>
      </c>
      <c r="B326" s="3240" t="s">
        <v>3053</v>
      </c>
      <c r="C326" s="3240"/>
      <c r="D326" s="3240"/>
      <c r="E326" s="3240"/>
      <c r="F326" s="3240">
        <v>790</v>
      </c>
      <c r="G326" s="3248"/>
    </row>
    <row r="327" spans="1:7" s="3222" customFormat="1" ht="14.25" customHeight="1">
      <c r="A327" s="3238" t="s">
        <v>307</v>
      </c>
      <c r="B327" s="3229" t="s">
        <v>3152</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3153</v>
      </c>
      <c r="C329" s="3233">
        <v>2730</v>
      </c>
      <c r="D329" s="3233">
        <v>2690</v>
      </c>
      <c r="E329" s="3233">
        <v>3100</v>
      </c>
      <c r="F329" s="3233">
        <v>660</v>
      </c>
      <c r="G329" s="3233">
        <v>1610</v>
      </c>
    </row>
    <row r="330" spans="1:7" s="3222" customFormat="1" ht="14.25" customHeight="1">
      <c r="A330" s="3233" t="s">
        <v>307</v>
      </c>
      <c r="B330" s="3233" t="s">
        <v>3154</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2887</v>
      </c>
      <c r="C332" s="3233">
        <v>3520</v>
      </c>
      <c r="D332" s="3233">
        <v>3480</v>
      </c>
      <c r="E332" s="3233">
        <v>3830</v>
      </c>
      <c r="F332" s="3233">
        <v>720</v>
      </c>
      <c r="G332" s="3233">
        <v>2090</v>
      </c>
    </row>
    <row r="333" spans="1:7" s="3222" customFormat="1" ht="14.25" customHeight="1">
      <c r="A333" s="3233" t="s">
        <v>307</v>
      </c>
      <c r="B333" s="3233" t="s">
        <v>3155</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2897</v>
      </c>
      <c r="C336" s="3233">
        <v>3570</v>
      </c>
      <c r="D336" s="3233">
        <v>3530</v>
      </c>
      <c r="E336" s="3233">
        <v>3880</v>
      </c>
      <c r="F336" s="3233">
        <v>770</v>
      </c>
      <c r="G336" s="3233">
        <v>2110</v>
      </c>
    </row>
    <row r="337" spans="1:10" s="3222" customFormat="1" ht="14.25" customHeight="1">
      <c r="A337" s="3233" t="s">
        <v>307</v>
      </c>
      <c r="B337" s="3233" t="s">
        <v>3156</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3157</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3158</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2922</v>
      </c>
      <c r="C345" s="3233">
        <v>3190</v>
      </c>
      <c r="D345" s="3233">
        <v>3140</v>
      </c>
      <c r="E345" s="3233">
        <v>3450</v>
      </c>
      <c r="F345" s="3233">
        <v>720</v>
      </c>
      <c r="G345" s="3233">
        <v>1880</v>
      </c>
      <c r="J345" s="3222"/>
    </row>
    <row r="346" spans="1:10">
      <c r="A346" s="3233" t="s">
        <v>307</v>
      </c>
      <c r="B346" s="3233" t="s">
        <v>3159</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2931</v>
      </c>
      <c r="C348" s="3233">
        <v>4000</v>
      </c>
      <c r="D348" s="3233">
        <v>3950</v>
      </c>
      <c r="E348" s="3233">
        <v>4430</v>
      </c>
      <c r="F348" s="3233">
        <v>760</v>
      </c>
      <c r="G348" s="3233">
        <v>2360</v>
      </c>
      <c r="J348" s="3222"/>
    </row>
    <row r="349" spans="1:10">
      <c r="A349" s="3233" t="s">
        <v>307</v>
      </c>
      <c r="B349" s="3233" t="s">
        <v>2936</v>
      </c>
      <c r="C349" s="3233">
        <v>3820</v>
      </c>
      <c r="D349" s="3233">
        <v>3780</v>
      </c>
      <c r="E349" s="3233">
        <v>4170</v>
      </c>
      <c r="F349" s="3233">
        <v>710</v>
      </c>
      <c r="G349" s="3233">
        <v>2260</v>
      </c>
      <c r="J349" s="3222"/>
    </row>
    <row r="350" spans="1:10">
      <c r="A350" s="3233" t="s">
        <v>307</v>
      </c>
      <c r="B350" s="3233" t="s">
        <v>3160</v>
      </c>
      <c r="C350" s="3233">
        <v>3760</v>
      </c>
      <c r="D350" s="3233">
        <v>3730</v>
      </c>
      <c r="E350" s="3233">
        <v>4100</v>
      </c>
      <c r="F350" s="3233">
        <v>800</v>
      </c>
      <c r="G350" s="3233">
        <v>2230</v>
      </c>
      <c r="J350" s="3222"/>
    </row>
    <row r="351" spans="1:10">
      <c r="A351" s="3233" t="s">
        <v>307</v>
      </c>
      <c r="B351" s="3233" t="s">
        <v>2944</v>
      </c>
      <c r="C351" s="3233">
        <v>3610</v>
      </c>
      <c r="D351" s="3233">
        <v>3580</v>
      </c>
      <c r="E351" s="3233">
        <v>3930</v>
      </c>
      <c r="F351" s="3233">
        <v>700</v>
      </c>
      <c r="G351" s="3233">
        <v>2140</v>
      </c>
      <c r="J351" s="3222"/>
    </row>
    <row r="352" spans="1:10">
      <c r="A352" s="3233" t="s">
        <v>307</v>
      </c>
      <c r="B352" s="3233" t="s">
        <v>2949</v>
      </c>
      <c r="C352" s="3233">
        <v>3670</v>
      </c>
      <c r="D352" s="3233">
        <v>3630</v>
      </c>
      <c r="E352" s="3233">
        <v>4000</v>
      </c>
      <c r="F352" s="3233">
        <v>750</v>
      </c>
      <c r="G352" s="3233">
        <v>2180</v>
      </c>
    </row>
    <row r="353" spans="1:7" s="3226" customFormat="1">
      <c r="A353" s="3233" t="s">
        <v>307</v>
      </c>
      <c r="B353" s="3233" t="s">
        <v>3161</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2969</v>
      </c>
      <c r="C355" s="3233">
        <v>3650</v>
      </c>
      <c r="D355" s="3233">
        <v>3610</v>
      </c>
      <c r="E355" s="3233">
        <v>4200</v>
      </c>
      <c r="F355" s="3233">
        <v>640</v>
      </c>
      <c r="G355" s="3233">
        <v>2160</v>
      </c>
    </row>
    <row r="356" spans="1:7" s="3226" customFormat="1">
      <c r="A356" s="3233" t="s">
        <v>307</v>
      </c>
      <c r="B356" s="3233" t="s">
        <v>2976</v>
      </c>
      <c r="C356" s="3233">
        <v>3260</v>
      </c>
      <c r="D356" s="3233">
        <v>3230</v>
      </c>
      <c r="E356" s="3233">
        <v>3740</v>
      </c>
      <c r="F356" s="3233">
        <v>600</v>
      </c>
      <c r="G356" s="3233">
        <v>1930</v>
      </c>
    </row>
    <row r="357" spans="1:7" s="3226" customFormat="1" ht="12" thickBot="1">
      <c r="A357" s="3241" t="s">
        <v>307</v>
      </c>
      <c r="B357" s="3244" t="s">
        <v>3162</v>
      </c>
      <c r="C357" s="3244">
        <v>3690</v>
      </c>
      <c r="D357" s="3244">
        <v>3650</v>
      </c>
      <c r="E357" s="3244">
        <v>4020</v>
      </c>
      <c r="F357" s="3244">
        <v>700</v>
      </c>
      <c r="G357" s="3244">
        <v>2190</v>
      </c>
    </row>
    <row r="358" spans="1:7" s="3226" customFormat="1">
      <c r="A358" s="3238" t="s">
        <v>3163</v>
      </c>
      <c r="B358" s="3229" t="s">
        <v>3164</v>
      </c>
      <c r="C358" s="3229">
        <v>2080</v>
      </c>
      <c r="D358" s="3229">
        <v>2040</v>
      </c>
      <c r="E358" s="3229">
        <v>2010</v>
      </c>
      <c r="F358" s="3229">
        <v>530</v>
      </c>
      <c r="G358" s="3245">
        <v>1230</v>
      </c>
    </row>
    <row r="359" spans="1:7" s="3226" customFormat="1">
      <c r="A359" s="3233" t="s">
        <v>3163</v>
      </c>
      <c r="B359" s="3233" t="s">
        <v>3165</v>
      </c>
      <c r="C359" s="3233">
        <v>1850</v>
      </c>
      <c r="D359" s="3233">
        <v>1820</v>
      </c>
      <c r="E359" s="3233">
        <v>1780</v>
      </c>
      <c r="F359" s="3233">
        <v>520</v>
      </c>
      <c r="G359" s="3246">
        <v>1100</v>
      </c>
    </row>
    <row r="360" spans="1:7" s="3226" customFormat="1">
      <c r="A360" s="3233" t="s">
        <v>3163</v>
      </c>
      <c r="B360" s="3233" t="s">
        <v>3166</v>
      </c>
      <c r="C360" s="3233">
        <v>2020</v>
      </c>
      <c r="D360" s="3233">
        <v>1990</v>
      </c>
      <c r="E360" s="3233">
        <v>1950</v>
      </c>
      <c r="F360" s="3233">
        <v>500</v>
      </c>
      <c r="G360" s="3246">
        <v>1200</v>
      </c>
    </row>
    <row r="361" spans="1:7" s="3226" customFormat="1">
      <c r="A361" s="3233" t="s">
        <v>3163</v>
      </c>
      <c r="B361" s="3233" t="s">
        <v>153</v>
      </c>
      <c r="C361" s="3233">
        <v>2260</v>
      </c>
      <c r="D361" s="3233">
        <v>2220</v>
      </c>
      <c r="E361" s="3233">
        <v>2180</v>
      </c>
      <c r="F361" s="3233">
        <v>580</v>
      </c>
      <c r="G361" s="3246">
        <v>1340</v>
      </c>
    </row>
    <row r="362" spans="1:7" s="3226" customFormat="1">
      <c r="A362" s="3233" t="s">
        <v>3163</v>
      </c>
      <c r="B362" s="3233" t="s">
        <v>3167</v>
      </c>
      <c r="C362" s="3233">
        <v>2650</v>
      </c>
      <c r="D362" s="3233">
        <v>2610</v>
      </c>
      <c r="E362" s="3233">
        <v>2570</v>
      </c>
      <c r="F362" s="3233">
        <v>630</v>
      </c>
      <c r="G362" s="3246">
        <v>1570</v>
      </c>
    </row>
    <row r="363" spans="1:7" s="3226" customFormat="1">
      <c r="A363" s="3233" t="s">
        <v>3163</v>
      </c>
      <c r="B363" s="3233" t="s">
        <v>2888</v>
      </c>
      <c r="C363" s="3233">
        <v>2390</v>
      </c>
      <c r="D363" s="3233">
        <v>2360</v>
      </c>
      <c r="E363" s="3233">
        <v>2320</v>
      </c>
      <c r="F363" s="3233">
        <v>600</v>
      </c>
      <c r="G363" s="3246">
        <v>1420</v>
      </c>
    </row>
    <row r="364" spans="1:7" s="3226" customFormat="1">
      <c r="A364" s="3233" t="s">
        <v>3163</v>
      </c>
      <c r="B364" s="3233" t="s">
        <v>3168</v>
      </c>
      <c r="C364" s="3233">
        <v>2050</v>
      </c>
      <c r="D364" s="3233">
        <v>2030</v>
      </c>
      <c r="E364" s="3233">
        <v>1990</v>
      </c>
      <c r="F364" s="3233">
        <v>550</v>
      </c>
      <c r="G364" s="3246">
        <v>1220</v>
      </c>
    </row>
    <row r="365" spans="1:7" s="3226" customFormat="1">
      <c r="A365" s="3233" t="s">
        <v>3163</v>
      </c>
      <c r="B365" s="3233" t="s">
        <v>200</v>
      </c>
      <c r="C365" s="3233">
        <v>2140</v>
      </c>
      <c r="D365" s="3233">
        <v>2100</v>
      </c>
      <c r="E365" s="3233">
        <v>2060</v>
      </c>
      <c r="F365" s="3233">
        <v>540</v>
      </c>
      <c r="G365" s="3246">
        <v>1270</v>
      </c>
    </row>
    <row r="366" spans="1:7" s="3226" customFormat="1">
      <c r="A366" s="3233" t="s">
        <v>3163</v>
      </c>
      <c r="B366" s="3233" t="s">
        <v>2895</v>
      </c>
      <c r="C366" s="3233">
        <v>2410</v>
      </c>
      <c r="D366" s="3233">
        <v>2370</v>
      </c>
      <c r="E366" s="3233">
        <v>2330</v>
      </c>
      <c r="F366" s="3233">
        <v>570</v>
      </c>
      <c r="G366" s="3246">
        <v>1440</v>
      </c>
    </row>
    <row r="367" spans="1:7" s="3226" customFormat="1">
      <c r="A367" s="3233" t="s">
        <v>3163</v>
      </c>
      <c r="B367" s="3233" t="s">
        <v>3169</v>
      </c>
      <c r="C367" s="3233">
        <v>2300</v>
      </c>
      <c r="D367" s="3233">
        <v>2260</v>
      </c>
      <c r="E367" s="3233">
        <v>2220</v>
      </c>
      <c r="F367" s="3233">
        <v>560</v>
      </c>
      <c r="G367" s="3246">
        <v>1370</v>
      </c>
    </row>
    <row r="368" spans="1:7" s="3226" customFormat="1">
      <c r="A368" s="3233" t="s">
        <v>3163</v>
      </c>
      <c r="B368" s="3233" t="s">
        <v>3170</v>
      </c>
      <c r="C368" s="3233">
        <v>2430</v>
      </c>
      <c r="D368" s="3233">
        <v>2390</v>
      </c>
      <c r="E368" s="3233">
        <v>2350</v>
      </c>
      <c r="F368" s="3233">
        <v>570</v>
      </c>
      <c r="G368" s="3246">
        <v>1450</v>
      </c>
    </row>
    <row r="369" spans="1:7" s="3226" customFormat="1">
      <c r="A369" s="3233" t="s">
        <v>3163</v>
      </c>
      <c r="B369" s="3233" t="s">
        <v>214</v>
      </c>
      <c r="C369" s="3233">
        <v>2320</v>
      </c>
      <c r="D369" s="3233">
        <v>2290</v>
      </c>
      <c r="E369" s="3233">
        <v>2250</v>
      </c>
      <c r="F369" s="3233">
        <v>550</v>
      </c>
      <c r="G369" s="3246">
        <v>1380</v>
      </c>
    </row>
    <row r="370" spans="1:7" s="3226" customFormat="1">
      <c r="A370" s="3233" t="s">
        <v>3163</v>
      </c>
      <c r="B370" s="3233" t="s">
        <v>221</v>
      </c>
      <c r="C370" s="3233">
        <v>2190</v>
      </c>
      <c r="D370" s="3233">
        <v>2170</v>
      </c>
      <c r="E370" s="3233">
        <v>2130</v>
      </c>
      <c r="F370" s="3233">
        <v>530</v>
      </c>
      <c r="G370" s="3246">
        <v>1310</v>
      </c>
    </row>
    <row r="371" spans="1:7" s="3226" customFormat="1">
      <c r="A371" s="3233" t="s">
        <v>3163</v>
      </c>
      <c r="B371" s="3233" t="s">
        <v>229</v>
      </c>
      <c r="C371" s="3233">
        <v>2460</v>
      </c>
      <c r="D371" s="3233">
        <v>2420</v>
      </c>
      <c r="E371" s="3233">
        <v>2370</v>
      </c>
      <c r="F371" s="3233">
        <v>560</v>
      </c>
      <c r="G371" s="3246">
        <v>1470</v>
      </c>
    </row>
    <row r="372" spans="1:7" s="3226" customFormat="1">
      <c r="A372" s="3233" t="s">
        <v>3163</v>
      </c>
      <c r="B372" s="3233" t="s">
        <v>3171</v>
      </c>
      <c r="C372" s="3233">
        <v>2250</v>
      </c>
      <c r="D372" s="3233">
        <v>2210</v>
      </c>
      <c r="E372" s="3233">
        <v>2180</v>
      </c>
      <c r="F372" s="3233">
        <v>550</v>
      </c>
      <c r="G372" s="3246">
        <v>1340</v>
      </c>
    </row>
    <row r="373" spans="1:7" s="3226" customFormat="1">
      <c r="A373" s="3233" t="s">
        <v>3163</v>
      </c>
      <c r="B373" s="3233" t="s">
        <v>258</v>
      </c>
      <c r="C373" s="3233">
        <v>2210</v>
      </c>
      <c r="D373" s="3233">
        <v>2190</v>
      </c>
      <c r="E373" s="3233">
        <v>2150</v>
      </c>
      <c r="F373" s="3233">
        <v>530</v>
      </c>
      <c r="G373" s="3246">
        <v>1320</v>
      </c>
    </row>
    <row r="374" spans="1:7" s="3226" customFormat="1">
      <c r="A374" s="3233" t="s">
        <v>3163</v>
      </c>
      <c r="B374" s="3233" t="s">
        <v>266</v>
      </c>
      <c r="C374" s="3233">
        <v>2320</v>
      </c>
      <c r="D374" s="3233">
        <v>2280</v>
      </c>
      <c r="E374" s="3233">
        <v>2230</v>
      </c>
      <c r="F374" s="3233">
        <v>580</v>
      </c>
      <c r="G374" s="3246">
        <v>1380</v>
      </c>
    </row>
    <row r="375" spans="1:7" s="3226" customFormat="1">
      <c r="A375" s="3233" t="s">
        <v>3163</v>
      </c>
      <c r="B375" s="3233" t="s">
        <v>3172</v>
      </c>
      <c r="C375" s="3233">
        <v>2090</v>
      </c>
      <c r="D375" s="3233">
        <v>2050</v>
      </c>
      <c r="E375" s="3233">
        <v>2020</v>
      </c>
      <c r="F375" s="3233">
        <v>520</v>
      </c>
      <c r="G375" s="3246">
        <v>1240</v>
      </c>
    </row>
    <row r="376" spans="1:7" s="3226" customFormat="1">
      <c r="A376" s="3233" t="s">
        <v>3163</v>
      </c>
      <c r="B376" s="3233" t="s">
        <v>277</v>
      </c>
      <c r="C376" s="3233">
        <v>2010</v>
      </c>
      <c r="D376" s="3233">
        <v>1980</v>
      </c>
      <c r="E376" s="3233">
        <v>1940</v>
      </c>
      <c r="F376" s="3233">
        <v>540</v>
      </c>
      <c r="G376" s="3246">
        <v>1190</v>
      </c>
    </row>
    <row r="377" spans="1:7" s="3226" customFormat="1" ht="12" thickBot="1">
      <c r="A377" s="3241" t="s">
        <v>3163</v>
      </c>
      <c r="B377" s="3244" t="s">
        <v>2925</v>
      </c>
      <c r="C377" s="3244">
        <v>1930</v>
      </c>
      <c r="D377" s="3244">
        <v>1890</v>
      </c>
      <c r="E377" s="3244">
        <v>1860</v>
      </c>
      <c r="F377" s="3244">
        <v>530</v>
      </c>
      <c r="G377" s="3249">
        <v>1150</v>
      </c>
    </row>
    <row r="378" spans="1:7" s="3226" customFormat="1">
      <c r="A378" s="3250" t="s">
        <v>3173</v>
      </c>
      <c r="B378" s="3229" t="s">
        <v>3174</v>
      </c>
      <c r="C378" s="3229">
        <v>1520</v>
      </c>
      <c r="D378" s="3229">
        <v>1490</v>
      </c>
      <c r="E378" s="3229">
        <v>1460</v>
      </c>
      <c r="F378" s="3229">
        <v>460</v>
      </c>
      <c r="G378" s="3245">
        <v>940</v>
      </c>
    </row>
    <row r="379" spans="1:7" s="3226" customFormat="1">
      <c r="A379" s="3251" t="s">
        <v>3173</v>
      </c>
      <c r="B379" s="3233" t="s">
        <v>3175</v>
      </c>
      <c r="C379" s="3233">
        <v>1500</v>
      </c>
      <c r="D379" s="3233">
        <v>1470</v>
      </c>
      <c r="E379" s="3233">
        <v>1430</v>
      </c>
      <c r="F379" s="3233">
        <v>460</v>
      </c>
      <c r="G379" s="3246">
        <v>920</v>
      </c>
    </row>
    <row r="380" spans="1:7" s="3226" customFormat="1">
      <c r="A380" s="3251" t="s">
        <v>3173</v>
      </c>
      <c r="B380" s="3233" t="s">
        <v>3176</v>
      </c>
      <c r="C380" s="3233">
        <v>1620</v>
      </c>
      <c r="D380" s="3233">
        <v>1590</v>
      </c>
      <c r="E380" s="3233">
        <v>1560</v>
      </c>
      <c r="F380" s="3233">
        <v>480</v>
      </c>
      <c r="G380" s="3246">
        <v>1000</v>
      </c>
    </row>
    <row r="381" spans="1:7" s="3226" customFormat="1">
      <c r="A381" s="3251" t="s">
        <v>3173</v>
      </c>
      <c r="B381" s="3233" t="s">
        <v>3177</v>
      </c>
      <c r="C381" s="3233">
        <v>1460</v>
      </c>
      <c r="D381" s="3233">
        <v>1430</v>
      </c>
      <c r="E381" s="3233">
        <v>1390</v>
      </c>
      <c r="F381" s="3233">
        <v>450</v>
      </c>
      <c r="G381" s="3246">
        <v>900</v>
      </c>
    </row>
    <row r="382" spans="1:7" s="3226" customFormat="1">
      <c r="A382" s="3251" t="s">
        <v>3173</v>
      </c>
      <c r="B382" s="3233" t="s">
        <v>3178</v>
      </c>
      <c r="C382" s="3233">
        <v>1310</v>
      </c>
      <c r="D382" s="3233">
        <v>1280</v>
      </c>
      <c r="E382" s="3233">
        <v>1250</v>
      </c>
      <c r="F382" s="3233">
        <v>440</v>
      </c>
      <c r="G382" s="3246">
        <v>800</v>
      </c>
    </row>
    <row r="383" spans="1:7" s="3226" customFormat="1">
      <c r="A383" s="3251" t="s">
        <v>3173</v>
      </c>
      <c r="B383" s="3233" t="s">
        <v>3179</v>
      </c>
      <c r="C383" s="3233">
        <v>1260</v>
      </c>
      <c r="D383" s="3233">
        <v>1230</v>
      </c>
      <c r="E383" s="3233">
        <v>1200</v>
      </c>
      <c r="F383" s="3233">
        <v>420</v>
      </c>
      <c r="G383" s="3246">
        <v>770</v>
      </c>
    </row>
    <row r="384" spans="1:7" s="3226" customFormat="1" ht="12" thickBot="1">
      <c r="A384" s="3252" t="s">
        <v>3173</v>
      </c>
      <c r="B384" s="3240" t="s">
        <v>3180</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I17" sqref="I17"/>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45861</v>
      </c>
      <c r="D1" s="1302" t="s">
        <v>603</v>
      </c>
      <c r="E1" s="1297">
        <f>'数据-取费表'!B22</f>
        <v>0</v>
      </c>
      <c r="F1" s="1302" t="s">
        <v>604</v>
      </c>
      <c r="G1" s="1298" t="e">
        <f ca="1">INDIRECT("d"&amp;$K$1)/100</f>
        <v>#VALUE!</v>
      </c>
      <c r="H1" s="1302" t="s">
        <v>634</v>
      </c>
      <c r="I1" s="1298">
        <f ca="1">F4/100</f>
        <v>1.4999999999999999E-2</v>
      </c>
      <c r="J1" s="1303">
        <f>IF(C1&gt;C13,0,MATCH(C1,C$13:C$115,-1))+IF(SUMIF(C13:C115,C1,D13:D115)=0,13,12)</f>
        <v>13</v>
      </c>
      <c r="K1" s="1303">
        <f ca="1">MATCH(E1,C3:C7,1)+IF(SUMIF(C3:C7,E1,D3:D7)=0,2,1)</f>
        <v>2</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3.5</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45797</v>
      </c>
      <c r="D13" s="2822">
        <v>3</v>
      </c>
      <c r="E13" s="2822">
        <v>3</v>
      </c>
      <c r="F13" s="2822">
        <f t="shared" ref="F13:F18" si="0">D13</f>
        <v>3</v>
      </c>
      <c r="G13" s="2822">
        <f t="shared" ref="G13:G18" si="1">D13</f>
        <v>3</v>
      </c>
      <c r="H13" s="2822">
        <v>3.5</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45586</v>
      </c>
      <c r="D14" s="2817">
        <v>3.1</v>
      </c>
      <c r="E14" s="2817">
        <f>D14</f>
        <v>3.1</v>
      </c>
      <c r="F14" s="2817">
        <f t="shared" si="0"/>
        <v>3.1</v>
      </c>
      <c r="G14" s="2817">
        <f t="shared" si="1"/>
        <v>3.1</v>
      </c>
      <c r="H14" s="2817">
        <v>3.6</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45495</v>
      </c>
      <c r="D15" s="2817">
        <v>3.35</v>
      </c>
      <c r="E15" s="2817">
        <f>D15</f>
        <v>3.35</v>
      </c>
      <c r="F15" s="2817">
        <f t="shared" si="0"/>
        <v>3.35</v>
      </c>
      <c r="G15" s="2817">
        <f t="shared" si="1"/>
        <v>3.35</v>
      </c>
      <c r="H15" s="2817">
        <v>3.85</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45342</v>
      </c>
      <c r="D16" s="2817">
        <v>3.45</v>
      </c>
      <c r="E16" s="2817">
        <f>D16</f>
        <v>3.45</v>
      </c>
      <c r="F16" s="2817">
        <f t="shared" si="0"/>
        <v>3.45</v>
      </c>
      <c r="G16" s="2817">
        <f t="shared" si="1"/>
        <v>3.45</v>
      </c>
      <c r="H16" s="2817">
        <v>3.95</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6"/>
      <c r="C17" s="2818">
        <v>45159</v>
      </c>
      <c r="D17" s="2817">
        <v>3.45</v>
      </c>
      <c r="E17" s="2817">
        <f>D17</f>
        <v>3.45</v>
      </c>
      <c r="F17" s="2817">
        <f t="shared" si="0"/>
        <v>3.45</v>
      </c>
      <c r="G17" s="2817">
        <f t="shared" si="1"/>
        <v>3.45</v>
      </c>
      <c r="H17" s="2817">
        <v>4.2</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6"/>
      <c r="C18" s="2818">
        <v>45097</v>
      </c>
      <c r="D18" s="2817">
        <v>3.55</v>
      </c>
      <c r="E18" s="2817">
        <f>D18</f>
        <v>3.55</v>
      </c>
      <c r="F18" s="2817">
        <f t="shared" si="0"/>
        <v>3.55</v>
      </c>
      <c r="G18" s="2817">
        <f t="shared" si="1"/>
        <v>3.55</v>
      </c>
      <c r="H18" s="2817">
        <v>4.2</v>
      </c>
      <c r="I18" s="2822"/>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6"/>
      <c r="C19" s="2818">
        <v>44795</v>
      </c>
      <c r="D19" s="2817">
        <v>3.65</v>
      </c>
      <c r="E19" s="2817">
        <v>3.65</v>
      </c>
      <c r="F19" s="2817">
        <v>3.65</v>
      </c>
      <c r="G19" s="2817">
        <v>3.65</v>
      </c>
      <c r="H19" s="2817">
        <v>4.3</v>
      </c>
      <c r="I19" s="2822"/>
      <c r="J19" s="2822"/>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6"/>
      <c r="C20" s="2818">
        <v>44701</v>
      </c>
      <c r="D20" s="2817">
        <v>3.7</v>
      </c>
      <c r="E20" s="2817">
        <f>D20</f>
        <v>3.7</v>
      </c>
      <c r="F20" s="2817">
        <f>D20</f>
        <v>3.7</v>
      </c>
      <c r="G20" s="2817">
        <f>D20</f>
        <v>3.7</v>
      </c>
      <c r="H20" s="2817">
        <v>4.45</v>
      </c>
      <c r="I20" s="2822"/>
      <c r="J20" s="2822"/>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6"/>
      <c r="C21" s="2818">
        <v>44581</v>
      </c>
      <c r="D21" s="2817">
        <v>3.7</v>
      </c>
      <c r="E21" s="2817">
        <f>D21</f>
        <v>3.7</v>
      </c>
      <c r="F21" s="2817">
        <f>D21</f>
        <v>3.7</v>
      </c>
      <c r="G21" s="2817">
        <f>D21</f>
        <v>3.7</v>
      </c>
      <c r="H21" s="2817">
        <v>4.5999999999999996</v>
      </c>
      <c r="I21" s="2822"/>
      <c r="J21" s="2822"/>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7"/>
      <c r="C22" s="2818">
        <v>44550</v>
      </c>
      <c r="D22" s="2817">
        <v>3.8</v>
      </c>
      <c r="E22" s="2817">
        <f>D22</f>
        <v>3.8</v>
      </c>
      <c r="F22" s="2817">
        <f>D22</f>
        <v>3.8</v>
      </c>
      <c r="G22" s="2817">
        <f>D22</f>
        <v>3.8</v>
      </c>
      <c r="H22" s="2817">
        <v>4.6500000000000004</v>
      </c>
      <c r="I22" s="2817"/>
      <c r="J22" s="2822"/>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17"/>
      <c r="C23" s="2818">
        <v>43941</v>
      </c>
      <c r="D23" s="2817">
        <v>3.85</v>
      </c>
      <c r="E23" s="2817">
        <v>3.85</v>
      </c>
      <c r="F23" s="2817">
        <v>3.85</v>
      </c>
      <c r="G23" s="2817">
        <v>3.85</v>
      </c>
      <c r="H23" s="2817">
        <v>4.6500000000000004</v>
      </c>
      <c r="I23" s="2817"/>
      <c r="J23" s="2817"/>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2817"/>
      <c r="C24" s="2818">
        <v>43881</v>
      </c>
      <c r="D24" s="2817">
        <v>4.05</v>
      </c>
      <c r="E24" s="2817">
        <v>4.05</v>
      </c>
      <c r="F24" s="2817">
        <v>4.05</v>
      </c>
      <c r="G24" s="2817">
        <v>4.05</v>
      </c>
      <c r="H24" s="2817">
        <v>4.75</v>
      </c>
      <c r="I24" s="2817"/>
      <c r="J24" s="2817"/>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2817"/>
      <c r="C25" s="2818">
        <v>43789</v>
      </c>
      <c r="D25" s="2817">
        <v>4.1500000000000004</v>
      </c>
      <c r="E25" s="2817">
        <v>4.1500000000000004</v>
      </c>
      <c r="F25" s="2817">
        <v>4.1500000000000004</v>
      </c>
      <c r="G25" s="2817">
        <v>4.1500000000000004</v>
      </c>
      <c r="H25" s="2817">
        <v>4.8</v>
      </c>
      <c r="I25" s="2817"/>
      <c r="J25" s="2817"/>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2817"/>
      <c r="C26" s="2818">
        <v>43728</v>
      </c>
      <c r="D26" s="2817">
        <v>4.2</v>
      </c>
      <c r="E26" s="2817">
        <v>4.2</v>
      </c>
      <c r="F26" s="2817">
        <v>4.2</v>
      </c>
      <c r="G26" s="2817">
        <v>4.2</v>
      </c>
      <c r="H26" s="2817">
        <v>4.8499999999999996</v>
      </c>
      <c r="I26" s="2817"/>
      <c r="J26" s="2817"/>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ht="14.25">
      <c r="B27" s="2816" t="s">
        <v>2309</v>
      </c>
      <c r="C27" s="2819">
        <v>43697</v>
      </c>
      <c r="D27" s="2820">
        <v>4.25</v>
      </c>
      <c r="E27" s="2820">
        <v>4.25</v>
      </c>
      <c r="F27" s="2820">
        <v>4.25</v>
      </c>
      <c r="G27" s="2820">
        <v>4.25</v>
      </c>
      <c r="H27" s="2820">
        <v>4.8499999999999996</v>
      </c>
      <c r="I27" s="2820"/>
      <c r="J27" s="282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ht="14.25">
      <c r="B28" s="2824"/>
      <c r="C28" s="2825">
        <v>42301</v>
      </c>
      <c r="D28" s="2826">
        <v>4.3499999999999996</v>
      </c>
      <c r="E28" s="2826">
        <v>4.3499999999999996</v>
      </c>
      <c r="F28" s="2826">
        <v>4.75</v>
      </c>
      <c r="G28" s="2826">
        <v>4.75</v>
      </c>
      <c r="H28" s="2826">
        <v>4.9000000000000004</v>
      </c>
      <c r="I28" s="2826"/>
      <c r="J28" s="2826"/>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42242</v>
      </c>
      <c r="D29" s="1290">
        <v>4.5999999999999996</v>
      </c>
      <c r="E29" s="1290">
        <v>4.5999999999999996</v>
      </c>
      <c r="F29" s="1290">
        <v>5</v>
      </c>
      <c r="G29" s="1290">
        <v>5</v>
      </c>
      <c r="H29" s="1290">
        <v>5.15</v>
      </c>
      <c r="I29" s="1290">
        <v>2.75</v>
      </c>
      <c r="J29" s="1290">
        <v>3.25</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42183</v>
      </c>
      <c r="D30" s="1290">
        <v>4.8499999999999996</v>
      </c>
      <c r="E30" s="1290">
        <v>4.8499999999999996</v>
      </c>
      <c r="F30" s="1290">
        <v>5.25</v>
      </c>
      <c r="G30" s="1290">
        <v>5.25</v>
      </c>
      <c r="H30" s="1290">
        <v>5.4</v>
      </c>
      <c r="I30" s="1290">
        <v>3</v>
      </c>
      <c r="J30" s="1290">
        <v>3.5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42135</v>
      </c>
      <c r="D31" s="1290">
        <v>5.0999999999999996</v>
      </c>
      <c r="E31" s="1290">
        <v>5.0999999999999996</v>
      </c>
      <c r="F31" s="1290">
        <v>5.5</v>
      </c>
      <c r="G31" s="1290">
        <v>5.5</v>
      </c>
      <c r="H31" s="1290">
        <v>5.65</v>
      </c>
      <c r="I31" s="1290">
        <v>3.25</v>
      </c>
      <c r="J31" s="1290">
        <v>3.75</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42064</v>
      </c>
      <c r="D32" s="1290">
        <v>5.35</v>
      </c>
      <c r="E32" s="1290">
        <v>5.35</v>
      </c>
      <c r="F32" s="1290">
        <v>5.75</v>
      </c>
      <c r="G32" s="1290">
        <v>5.75</v>
      </c>
      <c r="H32" s="1290">
        <v>5.9</v>
      </c>
      <c r="I32" s="1290"/>
      <c r="J32" s="1290"/>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41965</v>
      </c>
      <c r="D33" s="1290">
        <v>5.6</v>
      </c>
      <c r="E33" s="1290">
        <v>5.6</v>
      </c>
      <c r="F33" s="1290">
        <v>6</v>
      </c>
      <c r="G33" s="1290">
        <v>6</v>
      </c>
      <c r="H33" s="1290">
        <v>6.15</v>
      </c>
      <c r="I33" s="1290"/>
      <c r="J33" s="1290"/>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41096</v>
      </c>
      <c r="D34" s="1290">
        <v>5.6</v>
      </c>
      <c r="E34" s="1290">
        <v>6</v>
      </c>
      <c r="F34" s="1290">
        <v>6.15</v>
      </c>
      <c r="G34" s="1290">
        <v>6.4</v>
      </c>
      <c r="H34" s="1290">
        <v>6.55</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41068</v>
      </c>
      <c r="D35" s="1290">
        <v>5.85</v>
      </c>
      <c r="E35" s="1290">
        <v>6.31</v>
      </c>
      <c r="F35" s="1290">
        <v>6.4</v>
      </c>
      <c r="G35" s="1290">
        <v>6.65</v>
      </c>
      <c r="H35" s="1290">
        <v>6.8</v>
      </c>
      <c r="I35" s="1290">
        <v>4.2</v>
      </c>
      <c r="J35" s="1290">
        <v>4.7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40731</v>
      </c>
      <c r="D36" s="1290">
        <v>6.1</v>
      </c>
      <c r="E36" s="1290">
        <v>6.56</v>
      </c>
      <c r="F36" s="1290">
        <v>6.65</v>
      </c>
      <c r="G36" s="1290">
        <v>6.9</v>
      </c>
      <c r="H36" s="1290">
        <v>7.05</v>
      </c>
      <c r="I36" s="1290">
        <v>4.45</v>
      </c>
      <c r="J36" s="1290">
        <v>4.9000000000000004</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40639</v>
      </c>
      <c r="D37" s="1290">
        <v>5.85</v>
      </c>
      <c r="E37" s="1290">
        <v>6.31</v>
      </c>
      <c r="F37" s="1290">
        <v>6.4</v>
      </c>
      <c r="G37" s="1290">
        <v>6.65</v>
      </c>
      <c r="H37" s="1290">
        <v>6.8</v>
      </c>
      <c r="I37" s="1290">
        <v>4.2</v>
      </c>
      <c r="J37" s="1290">
        <v>4.7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40583</v>
      </c>
      <c r="D38" s="1290">
        <v>5.6</v>
      </c>
      <c r="E38" s="1290">
        <v>6.06</v>
      </c>
      <c r="F38" s="1290">
        <v>6.1</v>
      </c>
      <c r="G38" s="1290">
        <v>6.45</v>
      </c>
      <c r="H38" s="1290">
        <v>6.6</v>
      </c>
      <c r="I38" s="1290">
        <v>4</v>
      </c>
      <c r="J38" s="1290">
        <v>4.5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40538</v>
      </c>
      <c r="D39" s="1290">
        <v>5.35</v>
      </c>
      <c r="E39" s="1290">
        <v>5.81</v>
      </c>
      <c r="F39" s="1290">
        <v>5.85</v>
      </c>
      <c r="G39" s="1290">
        <v>6.22</v>
      </c>
      <c r="H39" s="1290">
        <v>6.4</v>
      </c>
      <c r="I39" s="1290">
        <v>3.75</v>
      </c>
      <c r="J39" s="1290">
        <v>4.3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40471</v>
      </c>
      <c r="D40" s="1290">
        <v>5.0999999999999996</v>
      </c>
      <c r="E40" s="1290">
        <v>5.56</v>
      </c>
      <c r="F40" s="1290">
        <v>5.6</v>
      </c>
      <c r="G40" s="1290">
        <v>5.96</v>
      </c>
      <c r="H40" s="1290">
        <v>6.14</v>
      </c>
      <c r="I40" s="1290">
        <v>3.5</v>
      </c>
      <c r="J40" s="1290">
        <v>4.05</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39805</v>
      </c>
      <c r="D41" s="1290">
        <v>4.8600000000000003</v>
      </c>
      <c r="E41" s="1290">
        <v>5.31</v>
      </c>
      <c r="F41" s="1290">
        <v>5.4</v>
      </c>
      <c r="G41" s="1290">
        <v>5.76</v>
      </c>
      <c r="H41" s="1290">
        <v>5.94</v>
      </c>
      <c r="I41" s="1290">
        <v>3.33</v>
      </c>
      <c r="J41" s="1290">
        <v>3.87</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39779</v>
      </c>
      <c r="D42" s="1290">
        <v>5.04</v>
      </c>
      <c r="E42" s="1290">
        <v>5.58</v>
      </c>
      <c r="F42" s="1290">
        <v>5.67</v>
      </c>
      <c r="G42" s="1290">
        <v>5.94</v>
      </c>
      <c r="H42" s="1290">
        <v>6.12</v>
      </c>
      <c r="I42" s="1290">
        <v>3.51</v>
      </c>
      <c r="J42" s="1290">
        <v>4.05</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39751</v>
      </c>
      <c r="D43" s="1290">
        <v>6.03</v>
      </c>
      <c r="E43" s="1290">
        <v>6.66</v>
      </c>
      <c r="F43" s="1290">
        <v>6.75</v>
      </c>
      <c r="G43" s="1290">
        <v>7.02</v>
      </c>
      <c r="H43" s="1290">
        <v>7.2</v>
      </c>
      <c r="I43" s="1290">
        <v>4.05</v>
      </c>
      <c r="J43" s="1290">
        <v>4.59</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2">
        <v>39748</v>
      </c>
      <c r="D44" s="1290">
        <v>6.12</v>
      </c>
      <c r="E44" s="1290">
        <v>6.93</v>
      </c>
      <c r="F44" s="1290">
        <v>7.02</v>
      </c>
      <c r="G44" s="1290">
        <v>7.29</v>
      </c>
      <c r="H44" s="1290">
        <v>7.47</v>
      </c>
      <c r="I44" s="1290">
        <v>4.05</v>
      </c>
      <c r="J44" s="1290">
        <v>4.59</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39730</v>
      </c>
      <c r="D45" s="1290">
        <v>6.12</v>
      </c>
      <c r="E45" s="1290">
        <v>6.93</v>
      </c>
      <c r="F45" s="1290">
        <v>7.02</v>
      </c>
      <c r="G45" s="1290">
        <v>7.29</v>
      </c>
      <c r="H45" s="1290">
        <v>7.47</v>
      </c>
      <c r="I45" s="1290">
        <v>4.32</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39707</v>
      </c>
      <c r="D46" s="1290">
        <v>6.21</v>
      </c>
      <c r="E46" s="1290">
        <v>7.2</v>
      </c>
      <c r="F46" s="1290">
        <v>7.29</v>
      </c>
      <c r="G46" s="1290">
        <v>7.56</v>
      </c>
      <c r="H46" s="1290">
        <v>7.74</v>
      </c>
      <c r="I46" s="1290">
        <v>4.59</v>
      </c>
      <c r="J46" s="1290">
        <v>5.13</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39437</v>
      </c>
      <c r="D47" s="1290">
        <v>6.57</v>
      </c>
      <c r="E47" s="1290">
        <v>7.47</v>
      </c>
      <c r="F47" s="1290">
        <v>7.56</v>
      </c>
      <c r="G47" s="1290">
        <v>7.74</v>
      </c>
      <c r="H47" s="1290">
        <v>7.83</v>
      </c>
      <c r="I47" s="1290">
        <v>4.7699999999999996</v>
      </c>
      <c r="J47" s="1290">
        <v>5.22</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39340</v>
      </c>
      <c r="D48" s="1290">
        <v>6.48</v>
      </c>
      <c r="E48" s="1290">
        <v>7.29</v>
      </c>
      <c r="F48" s="1290">
        <v>7.47</v>
      </c>
      <c r="G48" s="1290">
        <v>7.65</v>
      </c>
      <c r="H48" s="1290">
        <v>7.83</v>
      </c>
      <c r="I48" s="1290">
        <v>4.7699999999999996</v>
      </c>
      <c r="J48" s="1290">
        <v>5.22</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39316</v>
      </c>
      <c r="D49" s="1290">
        <v>6.21</v>
      </c>
      <c r="E49" s="1290">
        <v>7.02</v>
      </c>
      <c r="F49" s="1290">
        <v>7.2</v>
      </c>
      <c r="G49" s="1290">
        <v>7.38</v>
      </c>
      <c r="H49" s="1290">
        <v>7.56</v>
      </c>
      <c r="I49" s="1290">
        <v>4.59</v>
      </c>
      <c r="J49" s="1290">
        <v>5.04</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39284</v>
      </c>
      <c r="D50" s="1290">
        <v>6.03</v>
      </c>
      <c r="E50" s="1290">
        <v>6.84</v>
      </c>
      <c r="F50" s="1290">
        <v>7.02</v>
      </c>
      <c r="G50" s="1290">
        <v>7.2</v>
      </c>
      <c r="H50" s="1290">
        <v>7.38</v>
      </c>
      <c r="I50" s="1290">
        <v>4.5</v>
      </c>
      <c r="J50" s="1290">
        <v>4.95</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39221</v>
      </c>
      <c r="D51" s="1290">
        <v>5.85</v>
      </c>
      <c r="E51" s="1290">
        <v>6.57</v>
      </c>
      <c r="F51" s="1290">
        <v>6.75</v>
      </c>
      <c r="G51" s="1290">
        <v>6.93</v>
      </c>
      <c r="H51" s="1290">
        <v>7.2</v>
      </c>
      <c r="I51" s="1290">
        <v>4.41</v>
      </c>
      <c r="J51" s="1290">
        <v>4.8600000000000003</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39159</v>
      </c>
      <c r="D52" s="1290">
        <v>5.67</v>
      </c>
      <c r="E52" s="1290">
        <v>6.39</v>
      </c>
      <c r="F52" s="1290">
        <v>6.57</v>
      </c>
      <c r="G52" s="1290">
        <v>6.75</v>
      </c>
      <c r="H52" s="1290">
        <v>7.11</v>
      </c>
      <c r="I52" s="1290">
        <v>4.32</v>
      </c>
      <c r="J52" s="1290">
        <v>4.7699999999999996</v>
      </c>
      <c r="L52" s="1290"/>
      <c r="M52" s="1291"/>
      <c r="N52" s="1290"/>
      <c r="O52" s="1290"/>
      <c r="P52" s="1290"/>
      <c r="Q52" s="1290"/>
      <c r="R52" s="1290"/>
      <c r="S52" s="1290"/>
      <c r="T52" s="1290"/>
      <c r="U52" s="1290"/>
      <c r="V52" s="1290"/>
      <c r="W52" s="1290"/>
      <c r="X52" s="1290"/>
      <c r="Y52" s="1290"/>
      <c r="Z52" s="1290"/>
    </row>
    <row r="53" spans="2:26">
      <c r="B53" s="1290"/>
      <c r="C53" s="1291">
        <v>38948</v>
      </c>
      <c r="D53" s="1290">
        <v>5.58</v>
      </c>
      <c r="E53" s="1290">
        <v>6.12</v>
      </c>
      <c r="F53" s="1290">
        <v>6.3</v>
      </c>
      <c r="G53" s="1290">
        <v>6.48</v>
      </c>
      <c r="H53" s="1290">
        <v>6.84</v>
      </c>
      <c r="I53" s="1290">
        <v>4.1399999999999997</v>
      </c>
      <c r="J53" s="1290">
        <v>4.59</v>
      </c>
      <c r="L53" s="1290"/>
      <c r="M53" s="1291"/>
      <c r="N53" s="1290"/>
      <c r="O53" s="1290"/>
      <c r="P53" s="1290"/>
      <c r="Q53" s="1290"/>
      <c r="R53" s="1290"/>
      <c r="S53" s="1290"/>
      <c r="T53" s="1290"/>
      <c r="U53" s="1290"/>
      <c r="V53" s="1290"/>
      <c r="W53" s="1290"/>
      <c r="X53" s="1290"/>
      <c r="Y53" s="1290"/>
      <c r="Z53" s="1290"/>
    </row>
    <row r="54" spans="2:26">
      <c r="B54" s="1290"/>
      <c r="C54" s="1291">
        <v>38835</v>
      </c>
      <c r="D54" s="1290">
        <v>5.4</v>
      </c>
      <c r="E54" s="1290">
        <v>5.85</v>
      </c>
      <c r="F54" s="1290">
        <v>6.03</v>
      </c>
      <c r="G54" s="1290">
        <v>6.12</v>
      </c>
      <c r="H54" s="1290">
        <v>6.39</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38428</v>
      </c>
      <c r="D55" s="1290">
        <v>5.22</v>
      </c>
      <c r="E55" s="1290">
        <v>5.58</v>
      </c>
      <c r="F55" s="1290">
        <v>5.76</v>
      </c>
      <c r="G55" s="1290">
        <v>5.85</v>
      </c>
      <c r="H55" s="1290">
        <v>6.12</v>
      </c>
      <c r="I55" s="1290">
        <v>3.96</v>
      </c>
      <c r="J55" s="1290">
        <v>4.41</v>
      </c>
      <c r="L55" s="1290"/>
      <c r="M55" s="1291"/>
      <c r="N55" s="1290"/>
      <c r="O55" s="1290"/>
      <c r="P55" s="1290"/>
      <c r="Q55" s="1290"/>
      <c r="R55" s="1290"/>
      <c r="S55" s="1290"/>
      <c r="T55" s="1290"/>
      <c r="U55" s="1290"/>
      <c r="V55" s="1290"/>
      <c r="W55" s="1290"/>
      <c r="X55" s="1290"/>
      <c r="Y55" s="1290"/>
      <c r="Z55" s="1290"/>
    </row>
    <row r="56" spans="2:26">
      <c r="B56" s="1290"/>
      <c r="C56" s="1291">
        <v>38289</v>
      </c>
      <c r="D56" s="1290">
        <v>5.22</v>
      </c>
      <c r="E56" s="1290">
        <v>5.58</v>
      </c>
      <c r="F56" s="1290">
        <v>5.76</v>
      </c>
      <c r="G56" s="1290">
        <v>5.85</v>
      </c>
      <c r="H56" s="1290">
        <v>6.12</v>
      </c>
      <c r="I56" s="1290">
        <v>3.78</v>
      </c>
      <c r="J56" s="1290">
        <v>4.2300000000000004</v>
      </c>
      <c r="L56" s="1290"/>
      <c r="M56" s="1291"/>
      <c r="N56" s="1290"/>
      <c r="O56" s="1290"/>
      <c r="P56" s="1290"/>
      <c r="Q56" s="1290"/>
      <c r="R56" s="1290"/>
      <c r="S56" s="1290"/>
      <c r="T56" s="1290"/>
      <c r="U56" s="1290"/>
      <c r="V56" s="1290"/>
      <c r="W56" s="1290"/>
      <c r="X56" s="1290"/>
      <c r="Y56" s="1290"/>
      <c r="Z56" s="1290"/>
    </row>
    <row r="57" spans="2:26">
      <c r="B57" s="1290"/>
      <c r="C57" s="1291">
        <v>37308</v>
      </c>
      <c r="D57" s="1290">
        <v>5.04</v>
      </c>
      <c r="E57" s="1290">
        <v>5.31</v>
      </c>
      <c r="F57" s="1290">
        <v>5.49</v>
      </c>
      <c r="G57" s="1290">
        <v>5.58</v>
      </c>
      <c r="H57" s="1290">
        <v>5.76</v>
      </c>
      <c r="I57" s="1290">
        <v>3.6</v>
      </c>
      <c r="J57" s="1290">
        <v>4.05</v>
      </c>
      <c r="L57" s="1290"/>
      <c r="M57" s="1291"/>
      <c r="N57" s="1290"/>
      <c r="O57" s="1290"/>
      <c r="P57" s="1290"/>
      <c r="Q57" s="1290"/>
      <c r="R57" s="1290"/>
      <c r="S57" s="1290"/>
      <c r="T57" s="1290"/>
      <c r="U57" s="1290"/>
      <c r="V57" s="1290"/>
      <c r="W57" s="1290"/>
      <c r="X57" s="1290"/>
      <c r="Y57" s="1290"/>
      <c r="Z57" s="1290"/>
    </row>
    <row r="58" spans="2:26">
      <c r="B58" s="1290"/>
      <c r="C58" s="1291">
        <v>36321</v>
      </c>
      <c r="D58" s="1290">
        <v>5.58</v>
      </c>
      <c r="E58" s="1290">
        <v>5.85</v>
      </c>
      <c r="F58" s="1290">
        <v>5.94</v>
      </c>
      <c r="G58" s="1290">
        <v>6.03</v>
      </c>
      <c r="H58" s="1290">
        <v>6.21</v>
      </c>
      <c r="I58" s="1290">
        <v>4.1399999999999997</v>
      </c>
      <c r="J58" s="1290">
        <v>4.59</v>
      </c>
    </row>
    <row r="59" spans="2:26">
      <c r="B59" s="1290"/>
      <c r="C59" s="1291">
        <v>36136</v>
      </c>
      <c r="D59" s="1290">
        <v>6.12</v>
      </c>
      <c r="E59" s="1290">
        <v>6.39</v>
      </c>
      <c r="F59" s="1290">
        <v>6.66</v>
      </c>
      <c r="G59" s="1290">
        <v>7.2</v>
      </c>
      <c r="H59" s="1290">
        <v>7.56</v>
      </c>
      <c r="I59" s="1290">
        <v>0</v>
      </c>
      <c r="J59" s="1290">
        <v>0</v>
      </c>
    </row>
    <row r="60" spans="2:26">
      <c r="B60" s="1290"/>
      <c r="C60" s="1291">
        <v>35977</v>
      </c>
      <c r="D60" s="1290">
        <v>6.57</v>
      </c>
      <c r="E60" s="1290">
        <v>6.93</v>
      </c>
      <c r="F60" s="1290">
        <v>7.11</v>
      </c>
      <c r="G60" s="1290">
        <v>7.65</v>
      </c>
      <c r="H60" s="1290">
        <v>8.01</v>
      </c>
      <c r="I60" s="1290">
        <v>0</v>
      </c>
      <c r="J60" s="1290">
        <v>0</v>
      </c>
    </row>
    <row r="61" spans="2:26">
      <c r="B61" s="1290"/>
      <c r="C61" s="1291">
        <v>35879</v>
      </c>
      <c r="D61" s="1290">
        <v>7.02</v>
      </c>
      <c r="E61" s="1290">
        <v>7.92</v>
      </c>
      <c r="F61" s="1290">
        <v>9</v>
      </c>
      <c r="G61" s="1290">
        <v>9.7200000000000006</v>
      </c>
      <c r="H61" s="1290">
        <v>10.35</v>
      </c>
      <c r="I61" s="1290">
        <v>0</v>
      </c>
      <c r="J61" s="1290">
        <v>0</v>
      </c>
    </row>
    <row r="62" spans="2:26">
      <c r="B62" s="1290"/>
      <c r="C62" s="1291">
        <v>35726</v>
      </c>
      <c r="D62" s="1290">
        <v>7.65</v>
      </c>
      <c r="E62" s="1290">
        <v>8.64</v>
      </c>
      <c r="F62" s="1290">
        <v>9.36</v>
      </c>
      <c r="G62" s="1290">
        <v>9.9</v>
      </c>
      <c r="H62" s="1290">
        <v>10.53</v>
      </c>
      <c r="I62" s="1290">
        <v>0</v>
      </c>
      <c r="J62" s="1290">
        <v>0</v>
      </c>
    </row>
    <row r="63" spans="2:26">
      <c r="B63" s="1290"/>
      <c r="C63" s="1291">
        <v>35300</v>
      </c>
      <c r="D63" s="1290">
        <v>9.18</v>
      </c>
      <c r="E63" s="1290">
        <v>10.08</v>
      </c>
      <c r="F63" s="1290">
        <v>10.98</v>
      </c>
      <c r="G63" s="1290">
        <v>11.7</v>
      </c>
      <c r="H63" s="1290">
        <v>12.42</v>
      </c>
      <c r="I63" s="1290">
        <v>0</v>
      </c>
      <c r="J63" s="1290">
        <v>0</v>
      </c>
    </row>
    <row r="64" spans="2:26">
      <c r="B64" s="1290"/>
      <c r="C64" s="1291">
        <v>35186</v>
      </c>
      <c r="D64" s="1290">
        <v>9.7200000000000006</v>
      </c>
      <c r="E64" s="1290">
        <v>10.98</v>
      </c>
      <c r="F64" s="1290">
        <v>13.14</v>
      </c>
      <c r="G64" s="1290">
        <v>14.94</v>
      </c>
      <c r="H64" s="1290">
        <v>15.12</v>
      </c>
      <c r="I64" s="1290">
        <v>0</v>
      </c>
      <c r="J64" s="1290">
        <v>0</v>
      </c>
    </row>
    <row r="65" spans="2:10">
      <c r="B65" s="1290"/>
      <c r="C65" s="1291">
        <v>34881</v>
      </c>
      <c r="D65" s="1290">
        <v>10.08</v>
      </c>
      <c r="E65" s="1290">
        <v>12.06</v>
      </c>
      <c r="F65" s="1290">
        <v>13.5</v>
      </c>
      <c r="G65" s="1290">
        <v>15.12</v>
      </c>
      <c r="H65" s="1290">
        <v>15.3</v>
      </c>
      <c r="I65" s="1290">
        <v>0</v>
      </c>
      <c r="J65" s="1290">
        <v>0</v>
      </c>
    </row>
    <row r="66" spans="2:10">
      <c r="B66" s="1290"/>
      <c r="C66" s="1291">
        <v>34700</v>
      </c>
      <c r="D66" s="1290">
        <v>9</v>
      </c>
      <c r="E66" s="1290">
        <v>10.98</v>
      </c>
      <c r="F66" s="1290">
        <v>12.96</v>
      </c>
      <c r="G66" s="1290">
        <v>14.58</v>
      </c>
      <c r="H66" s="1290">
        <v>14.76</v>
      </c>
      <c r="I66" s="1290">
        <v>0</v>
      </c>
      <c r="J66" s="1290">
        <v>0</v>
      </c>
    </row>
    <row r="67" spans="2:10">
      <c r="B67" s="1290"/>
      <c r="C67" s="1291">
        <v>34161</v>
      </c>
      <c r="D67" s="1290">
        <v>9</v>
      </c>
      <c r="E67" s="1290">
        <v>10.98</v>
      </c>
      <c r="F67" s="1290">
        <v>12.24</v>
      </c>
      <c r="G67" s="1290">
        <v>13.86</v>
      </c>
      <c r="H67" s="1290">
        <v>14.04</v>
      </c>
      <c r="I67" s="1290">
        <v>0</v>
      </c>
      <c r="J67" s="1290">
        <v>0</v>
      </c>
    </row>
    <row r="68" spans="2:10">
      <c r="B68" s="1290"/>
      <c r="C68" s="1291">
        <v>34104</v>
      </c>
      <c r="D68" s="1290">
        <v>8.82</v>
      </c>
      <c r="E68" s="1290">
        <v>9.36</v>
      </c>
      <c r="F68" s="1290">
        <v>10.8</v>
      </c>
      <c r="G68" s="1290">
        <v>12.06</v>
      </c>
      <c r="H68" s="1290">
        <v>12.24</v>
      </c>
      <c r="I68" s="1290">
        <v>0</v>
      </c>
      <c r="J68" s="1290">
        <v>0</v>
      </c>
    </row>
    <row r="69" spans="2:10">
      <c r="B69" s="1290"/>
      <c r="C69" s="1291">
        <v>33349</v>
      </c>
      <c r="D69" s="1290">
        <v>8.1</v>
      </c>
      <c r="E69" s="1290">
        <v>8.64</v>
      </c>
      <c r="F69" s="1290">
        <v>9</v>
      </c>
      <c r="G69" s="1290">
        <v>9.5399999999999991</v>
      </c>
      <c r="H69" s="1290">
        <v>9.7200000000000006</v>
      </c>
      <c r="I69" s="1290">
        <v>0</v>
      </c>
      <c r="J69" s="1290">
        <v>0</v>
      </c>
    </row>
    <row r="70" spans="2:10">
      <c r="B70" s="1290"/>
      <c r="C70" s="1291">
        <v>33318</v>
      </c>
      <c r="D70" s="1290">
        <v>9</v>
      </c>
      <c r="E70" s="1290">
        <v>10.08</v>
      </c>
      <c r="F70" s="1290">
        <v>10.8</v>
      </c>
      <c r="G70" s="1290">
        <v>11.52</v>
      </c>
      <c r="H70" s="1290">
        <v>11.88</v>
      </c>
      <c r="I70" s="1290" t="s">
        <v>633</v>
      </c>
      <c r="J70" s="1290" t="s">
        <v>633</v>
      </c>
    </row>
    <row r="71" spans="2:10">
      <c r="B71" s="1290"/>
      <c r="C71" s="1291">
        <v>33106</v>
      </c>
      <c r="D71" s="1290">
        <v>8.64</v>
      </c>
      <c r="E71" s="1290">
        <v>9.36</v>
      </c>
      <c r="F71" s="1290">
        <v>10.08</v>
      </c>
      <c r="G71" s="1290">
        <v>10.8</v>
      </c>
      <c r="H71" s="1290">
        <v>11.16</v>
      </c>
      <c r="I71" s="1290">
        <v>0</v>
      </c>
      <c r="J71" s="1290">
        <v>0</v>
      </c>
    </row>
    <row r="72" spans="2:10">
      <c r="B72" s="1290"/>
      <c r="C72" s="1291">
        <v>32540</v>
      </c>
      <c r="D72" s="1290">
        <v>11.34</v>
      </c>
      <c r="E72" s="1290">
        <v>11.34</v>
      </c>
      <c r="F72" s="1290">
        <v>12.78</v>
      </c>
      <c r="G72" s="1290">
        <v>14.4</v>
      </c>
      <c r="H72" s="1290">
        <v>19.260000000000002</v>
      </c>
      <c r="I72" s="1290">
        <v>0</v>
      </c>
      <c r="J72" s="1290">
        <v>0</v>
      </c>
    </row>
    <row r="73" spans="2:10">
      <c r="B73" s="1290"/>
      <c r="C73" s="1291"/>
      <c r="D73" s="1290"/>
      <c r="E73" s="1290"/>
      <c r="F73" s="1290"/>
      <c r="G73" s="1290"/>
      <c r="H73" s="1290"/>
      <c r="I73" s="1290"/>
      <c r="J73" s="1290"/>
    </row>
    <row r="74" spans="2:10">
      <c r="B74" s="1293"/>
      <c r="C74" s="1294"/>
      <c r="D74" s="1293"/>
      <c r="E74" s="1293"/>
      <c r="F74" s="1293"/>
      <c r="G74" s="1293"/>
      <c r="H74" s="1293"/>
      <c r="I74" s="1293"/>
      <c r="J74" s="1293"/>
    </row>
    <row r="75" spans="2:10">
      <c r="B75" s="1293"/>
      <c r="C75" s="1294"/>
      <c r="D75" s="1293"/>
      <c r="E75" s="1293"/>
      <c r="F75" s="1293"/>
      <c r="G75" s="1293"/>
      <c r="H75" s="1293"/>
      <c r="I75" s="1293"/>
      <c r="J75" s="1293"/>
    </row>
    <row r="76" spans="2:10">
      <c r="B76" s="1293"/>
      <c r="C76" s="1294"/>
      <c r="D76" s="1293"/>
      <c r="E76" s="1293"/>
      <c r="F76" s="1293"/>
      <c r="G76" s="1293"/>
      <c r="H76" s="1293"/>
      <c r="I76" s="1293"/>
      <c r="J76" s="1293"/>
    </row>
    <row r="77" spans="2:10">
      <c r="B77" s="1242"/>
      <c r="C77" s="1242"/>
      <c r="D77" s="1242"/>
      <c r="E77" s="1242"/>
      <c r="F77" s="1242"/>
      <c r="G77" s="1242"/>
      <c r="H77" s="1242"/>
      <c r="I77" s="1242"/>
      <c r="J77" s="1242"/>
    </row>
    <row r="78" spans="2:10">
      <c r="B78" s="1242"/>
      <c r="C78" s="1242"/>
      <c r="D78" s="1242"/>
      <c r="E78" s="1242"/>
      <c r="F78" s="1242"/>
      <c r="G78" s="1242"/>
      <c r="H78" s="1242"/>
      <c r="I78" s="1242"/>
      <c r="J78" s="1242"/>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election activeCell="K1" sqref="K1"/>
    </sheetView>
  </sheetViews>
  <sheetFormatPr defaultRowHeight="13.5"/>
  <sheetData/>
  <phoneticPr fontId="134"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89" t="str">
        <f>IF(项目基本情况!B9="房地产市场价值","估价结果一览表","结果表-2")</f>
        <v>结果表-2</v>
      </c>
      <c r="B1" s="3489"/>
      <c r="C1" s="3489"/>
      <c r="D1" s="3489"/>
      <c r="E1" s="3489"/>
      <c r="F1" s="3489"/>
      <c r="G1" s="3489"/>
      <c r="H1" s="3489"/>
      <c r="I1" s="3489"/>
    </row>
    <row r="2" spans="1:9" ht="30" customHeight="1" thickTop="1">
      <c r="A2" s="3490" t="s">
        <v>928</v>
      </c>
      <c r="B2" s="3490" t="s">
        <v>929</v>
      </c>
      <c r="C2" s="3490" t="s">
        <v>930</v>
      </c>
      <c r="D2" s="3490" t="str">
        <f>结果表!D116</f>
        <v>出让国有建设用地使用权价值</v>
      </c>
      <c r="E2" s="3490"/>
      <c r="F2" s="3490" t="str">
        <f>结果表!F116</f>
        <v>在建建筑物价值</v>
      </c>
      <c r="G2" s="3490"/>
      <c r="H2" s="3490" t="str">
        <f>IF(项目基本情况!B9="房地产市场价值","房地产市场价值","房地产价值")</f>
        <v>房地产价值</v>
      </c>
      <c r="I2" s="3490"/>
    </row>
    <row r="3" spans="1:9" ht="15">
      <c r="A3" s="3491"/>
      <c r="B3" s="3491"/>
      <c r="C3" s="3491"/>
      <c r="D3" s="854" t="s">
        <v>925</v>
      </c>
      <c r="E3" s="854" t="s">
        <v>931</v>
      </c>
      <c r="F3" s="854" t="s">
        <v>925</v>
      </c>
      <c r="G3" s="854" t="s">
        <v>926</v>
      </c>
      <c r="H3" s="854" t="s">
        <v>925</v>
      </c>
      <c r="I3" s="854" t="s">
        <v>926</v>
      </c>
    </row>
    <row r="4" spans="1:9" ht="15">
      <c r="A4" s="1505" t="str">
        <f>项目基本情况!S2</f>
        <v>房地产</v>
      </c>
      <c r="B4" s="854">
        <f>项目基本情况!C17</f>
        <v>0</v>
      </c>
      <c r="C4" s="854" t="e">
        <f>项目基本情况!C18</f>
        <v>#DIV/0!</v>
      </c>
      <c r="D4" s="854" t="e">
        <f ca="1">结果表!D118</f>
        <v>#REF!</v>
      </c>
      <c r="E4" s="854" t="e">
        <f ca="1">结果表!E118</f>
        <v>#REF!</v>
      </c>
      <c r="F4" s="854" t="e">
        <f ca="1">结果表!F118</f>
        <v>#REF!</v>
      </c>
      <c r="G4" s="854" t="e">
        <f ca="1">结果表!G118</f>
        <v>#REF!</v>
      </c>
      <c r="H4" s="854" t="e">
        <f ca="1">结果表!H118</f>
        <v>#REF!</v>
      </c>
      <c r="I4" s="854" t="e">
        <f ca="1">结果表!I118</f>
        <v>#REF!</v>
      </c>
    </row>
    <row r="5" spans="1:9" ht="30" customHeight="1">
      <c r="A5" s="3491" t="s">
        <v>927</v>
      </c>
      <c r="B5" s="3491"/>
      <c r="C5" s="3491"/>
      <c r="D5" s="3491" t="e">
        <f ca="1">结果表!D119</f>
        <v>#REF!</v>
      </c>
      <c r="E5" s="3491"/>
      <c r="F5" s="3491" t="e">
        <f ca="1">结果表!F119</f>
        <v>#REF!</v>
      </c>
      <c r="G5" s="3491"/>
      <c r="H5" s="3491" t="e">
        <f ca="1">结果表!H119</f>
        <v>#REF!</v>
      </c>
      <c r="I5" s="3491"/>
    </row>
    <row r="6" spans="1:9" ht="15.75">
      <c r="A6" s="3492" t="str">
        <f>结果表!A120</f>
        <v>估价师知悉的法定优先受偿款</v>
      </c>
      <c r="B6" s="3492"/>
      <c r="C6" s="3492"/>
      <c r="D6" s="3492">
        <f>结果表!D120</f>
        <v>0</v>
      </c>
      <c r="E6" s="3492"/>
      <c r="F6" s="3492"/>
      <c r="G6" s="3492"/>
      <c r="H6" s="3492"/>
      <c r="I6" s="3492"/>
    </row>
    <row r="7" spans="1:9" ht="15">
      <c r="A7" s="3491" t="s">
        <v>927</v>
      </c>
      <c r="B7" s="3491"/>
      <c r="C7" s="3491"/>
      <c r="D7" s="3493" t="str">
        <f>结果表!D121</f>
        <v>零元整</v>
      </c>
      <c r="E7" s="3494"/>
      <c r="F7" s="3494"/>
      <c r="G7" s="3494"/>
      <c r="H7" s="3494"/>
      <c r="I7" s="3495"/>
    </row>
    <row r="8" spans="1:9" ht="15.75">
      <c r="A8" s="3492" t="str">
        <f>结果表!A122</f>
        <v>房地产抵押价值</v>
      </c>
      <c r="B8" s="3492"/>
      <c r="C8" s="3492"/>
      <c r="D8" s="3492" t="e">
        <f ca="1">结果表!D122</f>
        <v>#REF!</v>
      </c>
      <c r="E8" s="3492"/>
      <c r="F8" s="3492"/>
      <c r="G8" s="3492"/>
      <c r="H8" s="3492"/>
      <c r="I8" s="3492"/>
    </row>
    <row r="9" spans="1:9" ht="15">
      <c r="A9" s="3491" t="s">
        <v>927</v>
      </c>
      <c r="B9" s="3491"/>
      <c r="C9" s="3491"/>
      <c r="D9" s="3491" t="e">
        <f ca="1">结果表!D123</f>
        <v>#REF!</v>
      </c>
      <c r="E9" s="3491"/>
      <c r="F9" s="3491"/>
      <c r="G9" s="3491"/>
      <c r="H9" s="3491"/>
      <c r="I9" s="3491"/>
    </row>
    <row r="10" spans="1:9" ht="15.75">
      <c r="A10" s="3492" t="str">
        <f>结果表!A124</f>
        <v/>
      </c>
      <c r="B10" s="3492"/>
      <c r="C10" s="3492"/>
      <c r="D10" s="3492" t="str">
        <f>结果表!D124</f>
        <v>——</v>
      </c>
      <c r="E10" s="3492"/>
      <c r="F10" s="3492"/>
      <c r="G10" s="3492"/>
      <c r="H10" s="3492"/>
      <c r="I10" s="3492"/>
    </row>
    <row r="11" spans="1:9" ht="15">
      <c r="A11" s="3491" t="s">
        <v>927</v>
      </c>
      <c r="B11" s="3491"/>
      <c r="C11" s="3491"/>
      <c r="D11" s="3491" t="e">
        <f>结果表!D125</f>
        <v>#VALUE!</v>
      </c>
      <c r="E11" s="3491"/>
      <c r="F11" s="3491"/>
      <c r="G11" s="3491"/>
      <c r="H11" s="3491"/>
      <c r="I11" s="3491"/>
    </row>
    <row r="12" spans="1:9" ht="15.75">
      <c r="A12" s="3492" t="str">
        <f>结果表!A126</f>
        <v/>
      </c>
      <c r="B12" s="3492"/>
      <c r="C12" s="3492"/>
      <c r="D12" s="3492" t="str">
        <f>结果表!D126</f>
        <v>——</v>
      </c>
      <c r="E12" s="3492"/>
      <c r="F12" s="3492"/>
      <c r="G12" s="3492"/>
      <c r="H12" s="3492"/>
      <c r="I12" s="3492"/>
    </row>
    <row r="13" spans="1:9" ht="15.75" thickBot="1">
      <c r="A13" s="3496" t="s">
        <v>927</v>
      </c>
      <c r="B13" s="3496"/>
      <c r="C13" s="3496"/>
      <c r="D13" s="3496" t="e">
        <f>结果表!D127</f>
        <v>#VALUE!</v>
      </c>
      <c r="E13" s="3496"/>
      <c r="F13" s="3496"/>
      <c r="G13" s="3496"/>
      <c r="H13" s="3496"/>
      <c r="I13" s="3496"/>
    </row>
    <row r="14" spans="1:9" ht="15" thickTop="1">
      <c r="A14" s="3497" t="s">
        <v>932</v>
      </c>
      <c r="B14" s="3497"/>
      <c r="C14" s="3497"/>
      <c r="D14" s="3497"/>
      <c r="E14" s="3497"/>
      <c r="F14" s="3497"/>
      <c r="G14" s="3497"/>
      <c r="H14" s="3497"/>
      <c r="I14" s="3497"/>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98" t="s">
        <v>949</v>
      </c>
      <c r="B1" s="3498"/>
      <c r="C1" s="3498"/>
      <c r="D1" s="3498"/>
    </row>
    <row r="2" spans="1:4" ht="18">
      <c r="A2" s="3499" t="s">
        <v>933</v>
      </c>
      <c r="B2" s="3499"/>
      <c r="C2" s="3499"/>
      <c r="D2" s="3499"/>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99" t="s">
        <v>939</v>
      </c>
      <c r="B6" s="3499"/>
      <c r="C6" s="3499"/>
      <c r="D6" s="3499"/>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500" t="s">
        <v>942</v>
      </c>
      <c r="B11" s="3501"/>
      <c r="C11" s="3501"/>
      <c r="D11" s="3501"/>
    </row>
    <row r="12" spans="1:4" ht="15.75">
      <c r="A12" s="350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502"/>
      <c r="C12" s="3502"/>
      <c r="D12" s="3502"/>
    </row>
    <row r="13" spans="1:4" ht="30" customHeight="1">
      <c r="A13" s="3501" t="str">
        <f>IF(项目基本情况!B8="抵押","3.抵押双方在办理抵押登记手续时，应使用本公司出具的正式《房地产评估报告》，特提醒报告使用者注意。","——")</f>
        <v>——</v>
      </c>
      <c r="B13" s="3502"/>
      <c r="C13" s="3502"/>
      <c r="D13" s="3502"/>
    </row>
    <row r="14" spans="1:4" ht="15.75" customHeight="1">
      <c r="A14" s="3501" t="str">
        <f>IF(项目基本情况!B8="抵押","4.本次评估估价师所知悉的法定优先受偿款情况说明如下：","——")</f>
        <v>——</v>
      </c>
      <c r="B14" s="3502"/>
      <c r="C14" s="3502"/>
      <c r="D14" s="3502"/>
    </row>
    <row r="15" spans="1:4" ht="42" customHeight="1">
      <c r="A15" s="3501" t="str">
        <f>IF(项目基本情况!B8="抵押","（1）"&amp;CONCATENATE(项目基本情况!L20,项目基本情况!L21,项目基本情况!L22),"——")</f>
        <v>——</v>
      </c>
      <c r="B15" s="3501"/>
      <c r="C15" s="3501"/>
      <c r="D15" s="3501"/>
    </row>
    <row r="16" spans="1:4" ht="30" customHeight="1">
      <c r="A16" s="3504" t="s">
        <v>943</v>
      </c>
      <c r="B16" s="3504"/>
      <c r="C16" s="3504"/>
      <c r="D16" s="3504"/>
    </row>
    <row r="17" spans="1:4" ht="144" customHeight="1">
      <c r="A17" s="3504" t="s">
        <v>944</v>
      </c>
      <c r="B17" s="3504"/>
      <c r="C17" s="3504"/>
      <c r="D17" s="3504"/>
    </row>
    <row r="18" spans="1:4" ht="15.75" customHeight="1">
      <c r="A18" s="3501" t="str">
        <f>IF(项目基本情况!B8="抵押",结果表!K120,"——")</f>
        <v>——</v>
      </c>
      <c r="B18" s="3501"/>
      <c r="C18" s="3501"/>
      <c r="D18" s="3501"/>
    </row>
    <row r="19" spans="1:4" ht="46.5" customHeight="1">
      <c r="A19" s="350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01"/>
      <c r="C19" s="3501"/>
      <c r="D19" s="3501"/>
    </row>
    <row r="20" spans="1:4" ht="57.75" customHeight="1">
      <c r="A20" s="350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501"/>
      <c r="C20" s="3501"/>
      <c r="D20" s="3501"/>
    </row>
    <row r="21" spans="1:4" ht="57.75" customHeight="1">
      <c r="A21" s="350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05"/>
      <c r="C21" s="3505"/>
      <c r="D21" s="3505"/>
    </row>
    <row r="22" spans="1:4" ht="18.75" customHeight="1">
      <c r="A22" s="3506" t="s">
        <v>945</v>
      </c>
      <c r="B22" s="3506"/>
      <c r="C22" s="3506"/>
      <c r="D22" s="3506"/>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503">
        <v>42551</v>
      </c>
      <c r="D31" s="3503"/>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512" t="s">
        <v>956</v>
      </c>
      <c r="B15" s="3507" t="s">
        <v>109</v>
      </c>
      <c r="C15" s="3508"/>
    </row>
    <row r="16" spans="1:7" ht="13.5">
      <c r="A16" s="3513"/>
      <c r="B16" s="3507" t="s">
        <v>42</v>
      </c>
      <c r="C16" s="3508"/>
    </row>
    <row r="17" spans="1:3" ht="13.5">
      <c r="A17" s="3513"/>
      <c r="B17" s="3510" t="s">
        <v>957</v>
      </c>
      <c r="C17" s="1532" t="s">
        <v>956</v>
      </c>
    </row>
    <row r="18" spans="1:3" ht="13.5">
      <c r="A18" s="3513"/>
      <c r="B18" s="3510"/>
      <c r="C18" s="1532" t="s">
        <v>958</v>
      </c>
    </row>
    <row r="19" spans="1:3" ht="13.5">
      <c r="A19" s="3513"/>
      <c r="B19" s="3510"/>
      <c r="C19" s="1532" t="s">
        <v>959</v>
      </c>
    </row>
    <row r="20" spans="1:3" ht="13.5">
      <c r="A20" s="3514"/>
      <c r="B20" s="3509" t="s">
        <v>960</v>
      </c>
      <c r="C20" s="3508"/>
    </row>
    <row r="21" spans="1:3" ht="13.5">
      <c r="A21" s="1533" t="s">
        <v>961</v>
      </c>
      <c r="B21" s="1534"/>
      <c r="C21" s="1535"/>
    </row>
    <row r="22" spans="1:3" ht="13.5">
      <c r="A22" s="3511" t="s">
        <v>962</v>
      </c>
      <c r="B22" s="3509" t="s">
        <v>963</v>
      </c>
      <c r="C22" s="3508"/>
    </row>
    <row r="23" spans="1:3" ht="13.5">
      <c r="A23" s="3511"/>
      <c r="B23" s="3509" t="s">
        <v>964</v>
      </c>
      <c r="C23" s="3508"/>
    </row>
    <row r="24" spans="1:3" ht="13.5">
      <c r="A24" s="3511"/>
      <c r="B24" s="3509" t="s">
        <v>965</v>
      </c>
      <c r="C24" s="3508"/>
    </row>
    <row r="25" spans="1:3" ht="13.5">
      <c r="A25" s="3511"/>
      <c r="B25" s="3510" t="s">
        <v>966</v>
      </c>
      <c r="C25" s="1532" t="s">
        <v>967</v>
      </c>
    </row>
    <row r="26" spans="1:3" ht="13.5">
      <c r="A26" s="3511"/>
      <c r="B26" s="3510"/>
      <c r="C26" s="1532" t="s">
        <v>968</v>
      </c>
    </row>
    <row r="27" spans="1:3" ht="13.5">
      <c r="A27" s="3511"/>
      <c r="B27" s="3510"/>
      <c r="C27" s="1532" t="s">
        <v>969</v>
      </c>
    </row>
    <row r="28" spans="1:3" ht="13.5">
      <c r="A28" s="3511"/>
      <c r="B28" s="3510"/>
      <c r="C28" s="1532" t="s">
        <v>970</v>
      </c>
    </row>
    <row r="29" spans="1:3" ht="13.5">
      <c r="A29" s="3511"/>
      <c r="B29" s="3510"/>
      <c r="C29" s="1532" t="s">
        <v>971</v>
      </c>
    </row>
    <row r="30" spans="1:3" ht="13.5">
      <c r="A30" s="3511"/>
      <c r="B30" s="3510"/>
      <c r="C30" s="1532" t="s">
        <v>972</v>
      </c>
    </row>
    <row r="31" spans="1:3" ht="13.5">
      <c r="A31" s="3511"/>
      <c r="B31" s="3510"/>
      <c r="C31" s="1532" t="s">
        <v>973</v>
      </c>
    </row>
    <row r="32" spans="1:3" ht="13.5">
      <c r="A32" s="3511"/>
      <c r="B32" s="3510"/>
      <c r="C32" s="1532" t="s">
        <v>974</v>
      </c>
    </row>
    <row r="33" spans="1:3" ht="13.5">
      <c r="A33" s="3511"/>
      <c r="B33" s="3510"/>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45861</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t="str">
        <f ca="1">IF(C6&lt;B2,"已过期",1120050019)</f>
        <v>已过期</v>
      </c>
      <c r="C6" s="2345">
        <v>45410</v>
      </c>
      <c r="D6" s="2346" t="str">
        <f t="shared" ca="1" si="0"/>
        <v>王鹏（注册号：已过期）</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t="str">
        <f ca="1">IF(C9&lt;B2,"已过期",1120060040)</f>
        <v>已过期</v>
      </c>
      <c r="C9" s="2350">
        <v>45592</v>
      </c>
      <c r="D9" s="2346" t="str">
        <f t="shared" ca="1" si="0"/>
        <v>陈颖（注册号：已过期）</v>
      </c>
      <c r="E9" s="2347" t="s">
        <v>2153</v>
      </c>
      <c r="F9" s="1304">
        <f ca="1">IF(G9&lt;B2,"已过期",2004110096)</f>
        <v>2004110096</v>
      </c>
      <c r="G9" s="2348">
        <v>47118</v>
      </c>
      <c r="H9" s="2349" t="str">
        <f t="shared" ca="1" si="1"/>
        <v>陈颖（注册号：2004110096）</v>
      </c>
    </row>
    <row r="10" spans="1:8" ht="24" customHeight="1">
      <c r="A10" s="1304" t="s">
        <v>2154</v>
      </c>
      <c r="B10" s="1304" t="str">
        <f ca="1">IF(C10&lt;B2,"已过期",1120100036)</f>
        <v>已过期</v>
      </c>
      <c r="C10" s="2350">
        <v>45752</v>
      </c>
      <c r="D10" s="2346" t="str">
        <f t="shared" ca="1" si="0"/>
        <v>崔锴（注册号：已过期）</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t="str">
        <f ca="1">IF(C13&lt;B2,"已过期",1120020033)</f>
        <v>已过期</v>
      </c>
      <c r="C13" s="2345">
        <v>45375</v>
      </c>
      <c r="D13" s="2346" t="str">
        <f t="shared" ca="1" si="0"/>
        <v>刘敬东（注册号：已过期）</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2437</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515" t="s">
        <v>2160</v>
      </c>
      <c r="B17" s="3515"/>
      <c r="C17" s="3515"/>
      <c r="D17" s="3515"/>
      <c r="E17" s="3515"/>
      <c r="F17" s="3515"/>
      <c r="G17" s="3515"/>
      <c r="H17" s="3515"/>
    </row>
    <row r="18" spans="1:8" ht="24" customHeight="1">
      <c r="A18" s="3516" t="s">
        <v>2161</v>
      </c>
      <c r="B18" s="3516"/>
      <c r="C18" s="3516"/>
      <c r="D18" s="2343"/>
      <c r="E18" s="3517" t="s">
        <v>2162</v>
      </c>
      <c r="F18" s="3516"/>
      <c r="G18" s="3516"/>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2438</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157</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2025-07-23T06:15:32Z</dcterms:modified>
</cp:coreProperties>
</file>