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15" yWindow="-75" windowWidth="13860" windowHeight="973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各楼栋分值" sheetId="80" state="hidden" r:id="rId20"/>
    <sheet name="土地案例" sheetId="81" state="hidden"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19" i="3"/>
  <c r="I18" i="3"/>
  <c r="I17" i="3"/>
  <c r="I16" i="3"/>
  <c r="I15" i="3"/>
  <c r="I14" i="3"/>
  <c r="I13" i="3"/>
  <c r="C19" i="3"/>
  <c r="C18" i="3"/>
  <c r="C17" i="3"/>
  <c r="C16" i="3"/>
  <c r="C15" i="3"/>
  <c r="C14" i="3"/>
  <c r="C13" i="3"/>
  <c r="B29" i="1" l="1"/>
  <c r="V21" i="1" l="1"/>
  <c r="X21" i="1" s="1"/>
  <c r="B21" i="1" l="1"/>
  <c r="D3" i="4"/>
  <c r="S4" i="81" l="1"/>
  <c r="S5" i="81" s="1"/>
  <c r="S3" i="81"/>
  <c r="R5" i="81"/>
  <c r="Q3" i="81"/>
  <c r="Q4" i="81"/>
  <c r="Q5" i="81"/>
  <c r="Q2" i="81"/>
  <c r="N4" i="81"/>
  <c r="N5" i="81" s="1"/>
  <c r="N3" i="81"/>
  <c r="G12" i="78"/>
  <c r="D12" i="78"/>
  <c r="L37" i="1"/>
  <c r="J37" i="1"/>
  <c r="J48" i="1"/>
  <c r="J42" i="1" l="1"/>
  <c r="L42" i="1" s="1"/>
  <c r="L41" i="1" s="1"/>
  <c r="L46" i="1"/>
  <c r="K46" i="1"/>
  <c r="L43" i="1"/>
  <c r="J41" i="1" l="1"/>
  <c r="J47" i="1" l="1"/>
  <c r="J45" i="1"/>
  <c r="L45" i="1" s="1"/>
  <c r="J44" i="1"/>
  <c r="L44" i="1" s="1"/>
  <c r="L47" i="1" s="1"/>
  <c r="K47" i="1" s="1"/>
  <c r="K48" i="1" s="1"/>
  <c r="K41" i="1"/>
  <c r="K30" i="1" l="1"/>
  <c r="K31" i="1"/>
  <c r="K32" i="1"/>
  <c r="K33" i="1"/>
  <c r="M33" i="1" s="1"/>
  <c r="O11" i="80" s="1"/>
  <c r="K29" i="1"/>
  <c r="M29" i="1" s="1"/>
  <c r="O7" i="80" s="1"/>
  <c r="M37" i="1" l="1"/>
  <c r="N37" i="1" s="1"/>
  <c r="M30" i="1"/>
  <c r="O8" i="80" s="1"/>
  <c r="H11" i="80"/>
  <c r="H7" i="80"/>
  <c r="G8" i="80"/>
  <c r="H8" i="80" s="1"/>
  <c r="G9" i="80"/>
  <c r="H9" i="80" s="1"/>
  <c r="G10" i="80" l="1"/>
  <c r="H10" i="80" s="1"/>
  <c r="H12" i="80" s="1"/>
  <c r="L31" i="1"/>
  <c r="M31" i="1" s="1"/>
  <c r="O9" i="80" s="1"/>
  <c r="H14" i="80" l="1"/>
  <c r="L32" i="1"/>
  <c r="M32" i="1" s="1"/>
  <c r="O10" i="80" s="1"/>
  <c r="O12" i="80" s="1"/>
  <c r="M34" i="1"/>
  <c r="Q20" i="1"/>
  <c r="Q22" i="1" s="1"/>
  <c r="Y6" i="1" s="1"/>
  <c r="J32" i="1" l="1"/>
  <c r="K34" i="1"/>
  <c r="L34" i="1" s="1"/>
  <c r="L25" i="1"/>
  <c r="K25" i="1"/>
  <c r="L22" i="1"/>
  <c r="N3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C7" i="40"/>
  <c r="C63" i="40"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C76" i="67"/>
  <c r="L48" i="67"/>
  <c r="F37" i="15"/>
  <c r="M9" i="15"/>
  <c r="F13" i="15"/>
  <c r="M24" i="67"/>
  <c r="F6" i="67"/>
  <c r="F42" i="67"/>
  <c r="F36" i="67"/>
  <c r="F13" i="67"/>
  <c r="F16" i="15"/>
  <c r="M26" i="15"/>
  <c r="F4" i="73"/>
  <c r="M8" i="67"/>
  <c r="E7" i="76"/>
  <c r="L48" i="15"/>
  <c r="F8" i="67"/>
  <c r="B11" i="76"/>
  <c r="M24" i="15"/>
  <c r="M22" i="67"/>
  <c r="M28" i="15"/>
  <c r="D7" i="73"/>
  <c r="M23" i="15"/>
  <c r="F40" i="15"/>
  <c r="F9" i="67"/>
  <c r="L47" i="67"/>
  <c r="F20" i="31"/>
  <c r="E9" i="76"/>
  <c r="L47" i="15"/>
  <c r="M9" i="67"/>
  <c r="M26" i="67"/>
  <c r="F5" i="73"/>
  <c r="AO13" i="1"/>
  <c r="E12" i="76"/>
  <c r="F3" i="73"/>
  <c r="E10" i="76"/>
  <c r="F40" i="67"/>
  <c r="F37" i="67"/>
  <c r="F8" i="15"/>
  <c r="D6" i="73"/>
  <c r="M6" i="15"/>
  <c r="J15" i="67"/>
  <c r="M8" i="15"/>
  <c r="F26" i="15"/>
  <c r="F6" i="15"/>
  <c r="E11" i="76"/>
  <c r="B12" i="76"/>
  <c r="F36" i="15"/>
  <c r="F42" i="15"/>
  <c r="F16" i="67"/>
  <c r="M23" i="67"/>
  <c r="F7" i="73"/>
  <c r="E2" i="68"/>
  <c r="M22" i="15"/>
  <c r="E8" i="76"/>
  <c r="M28" i="67"/>
  <c r="E13" i="76"/>
  <c r="B13" i="76"/>
  <c r="F38" i="15"/>
  <c r="E2" i="69"/>
  <c r="F9" i="15"/>
  <c r="B9" i="76"/>
  <c r="D3" i="73"/>
  <c r="F38" i="67"/>
  <c r="C76" i="15"/>
  <c r="M6" i="67"/>
  <c r="D5" i="73"/>
  <c r="F26" i="67"/>
  <c r="B10" i="76"/>
  <c r="B8" i="76"/>
  <c r="B7" i="76"/>
  <c r="D4" i="73"/>
  <c r="F6" i="73"/>
  <c r="J15" i="15"/>
  <c r="G23" i="43" l="1"/>
  <c r="C7" i="35"/>
  <c r="C48" i="35" s="1"/>
  <c r="D48" i="35" s="1"/>
  <c r="J51" i="67"/>
  <c r="C7" i="36"/>
  <c r="C46" i="36" s="1"/>
  <c r="D46" i="36" s="1"/>
  <c r="E46" i="36" s="1"/>
  <c r="F46" i="36" s="1"/>
  <c r="G46" i="36" s="1"/>
  <c r="H46" i="36" s="1"/>
  <c r="I46" i="36" s="1"/>
  <c r="J46" i="36" s="1"/>
  <c r="K46" i="36" s="1"/>
  <c r="L46" i="36" s="1"/>
  <c r="M46" i="36" s="1"/>
  <c r="N46" i="36" s="1"/>
  <c r="O46" i="36" s="1"/>
  <c r="J7" i="36" s="1"/>
  <c r="M47" i="9"/>
  <c r="C7" i="39"/>
  <c r="C67" i="39" s="1"/>
  <c r="C7" i="37"/>
  <c r="C52" i="37" s="1"/>
  <c r="D52" i="37" s="1"/>
  <c r="F28" i="6"/>
  <c r="BA20" i="3"/>
  <c r="AZ20" i="3" s="1"/>
  <c r="BL18" i="3"/>
  <c r="BA19" i="3"/>
  <c r="BA18" i="3"/>
  <c r="BL15" i="3"/>
  <c r="AZ15" i="3" s="1"/>
  <c r="F29" i="6"/>
  <c r="AZ19" i="3"/>
  <c r="E19" i="6"/>
  <c r="K6" i="1" s="1"/>
  <c r="V20" i="1"/>
  <c r="X20" i="1" s="1"/>
  <c r="X22" i="1" s="1"/>
  <c r="W22" i="1" s="1"/>
  <c r="H5" i="3"/>
  <c r="C7" i="21"/>
  <c r="C58" i="21" s="1"/>
  <c r="D58" i="21" s="1"/>
  <c r="C42" i="1"/>
  <c r="C24" i="12" s="1"/>
  <c r="G6" i="1"/>
  <c r="I24" i="43"/>
  <c r="C24" i="43" s="1"/>
  <c r="O2" i="81" s="1"/>
  <c r="J51" i="15"/>
  <c r="D23" i="15"/>
  <c r="C40" i="68"/>
  <c r="C21" i="68"/>
  <c r="C40" i="69"/>
  <c r="D87" i="43"/>
  <c r="H50" i="43"/>
  <c r="H67" i="43"/>
  <c r="H69" i="43"/>
  <c r="G28" i="6"/>
  <c r="G30" i="6" s="1"/>
  <c r="G31" i="6" s="1"/>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69" i="3"/>
  <c r="E14" i="6"/>
  <c r="E63" i="39" s="1"/>
  <c r="I4" i="6"/>
  <c r="E29" i="6"/>
  <c r="K15" i="1" s="1"/>
  <c r="F30" i="6"/>
  <c r="L19" i="6"/>
  <c r="L27" i="6"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25" i="3"/>
  <c r="E175" i="3"/>
  <c r="E501" i="3"/>
  <c r="E153" i="3"/>
  <c r="E282" i="3"/>
  <c r="E508" i="3"/>
  <c r="E388" i="3"/>
  <c r="O6" i="3"/>
  <c r="E569" i="3"/>
  <c r="E396" i="3"/>
  <c r="E337" i="3"/>
  <c r="E97" i="3"/>
  <c r="E390" i="3"/>
  <c r="E358" i="3"/>
  <c r="AR6" i="3"/>
  <c r="E561" i="3"/>
  <c r="E506" i="3"/>
  <c r="E407" i="3"/>
  <c r="E320" i="3"/>
  <c r="E380" i="3"/>
  <c r="E215" i="3"/>
  <c r="E216" i="3"/>
  <c r="E189" i="3"/>
  <c r="E69" i="3"/>
  <c r="E261" i="3"/>
  <c r="E278" i="3"/>
  <c r="E563" i="3"/>
  <c r="E183" i="3"/>
  <c r="E172" i="3"/>
  <c r="E445" i="3"/>
  <c r="E503" i="3"/>
  <c r="E535" i="3"/>
  <c r="E161" i="3"/>
  <c r="E91" i="3"/>
  <c r="E135" i="3"/>
  <c r="E191" i="3"/>
  <c r="E301" i="3"/>
  <c r="E263" i="3"/>
  <c r="E423" i="3"/>
  <c r="E586" i="3"/>
  <c r="AI6" i="3"/>
  <c r="E385" i="3"/>
  <c r="E124" i="3"/>
  <c r="E246" i="3"/>
  <c r="X6" i="3"/>
  <c r="E347" i="3"/>
  <c r="E15" i="6"/>
  <c r="E64" i="39" s="1"/>
  <c r="E11" i="6"/>
  <c r="E60" i="39" s="1"/>
  <c r="E10" i="6"/>
  <c r="E13" i="6"/>
  <c r="H16" i="1"/>
  <c r="P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F7" i="67"/>
  <c r="F43" i="67"/>
  <c r="M29" i="67"/>
  <c r="D9" i="68"/>
  <c r="F43" i="15"/>
  <c r="M29" i="15"/>
  <c r="C36" i="68"/>
  <c r="G1" i="73"/>
  <c r="D9" i="69"/>
  <c r="F7" i="15"/>
  <c r="C16" i="67"/>
  <c r="F7" i="36" l="1"/>
  <c r="C77" i="9"/>
  <c r="C74" i="9" s="1"/>
  <c r="C48" i="69"/>
  <c r="C30" i="69"/>
  <c r="E182" i="3"/>
  <c r="E89" i="3"/>
  <c r="E70" i="3"/>
  <c r="BA5" i="3"/>
  <c r="F71" i="67"/>
  <c r="C6" i="67"/>
  <c r="M7" i="67"/>
  <c r="J6" i="67" s="1"/>
  <c r="F50" i="67"/>
  <c r="C49" i="67" s="1"/>
  <c r="M6" i="1"/>
  <c r="E28" i="6"/>
  <c r="K14" i="1" s="1"/>
  <c r="K16" i="1" s="1"/>
  <c r="BL5" i="3"/>
  <c r="AZ18" i="3"/>
  <c r="AZ5" i="3" s="1"/>
  <c r="Q16" i="1"/>
  <c r="E399" i="3"/>
  <c r="E495" i="3"/>
  <c r="E350" i="3"/>
  <c r="E134" i="3"/>
  <c r="E180" i="3"/>
  <c r="E361" i="3"/>
  <c r="E528" i="3"/>
  <c r="E185" i="3"/>
  <c r="E231" i="3"/>
  <c r="E418" i="3"/>
  <c r="E559" i="3"/>
  <c r="E143" i="3"/>
  <c r="E574" i="3"/>
  <c r="N6" i="3"/>
  <c r="E530" i="3"/>
  <c r="E109" i="3"/>
  <c r="E477" i="3"/>
  <c r="E274" i="3"/>
  <c r="AM6" i="3"/>
  <c r="E400" i="3"/>
  <c r="E171" i="3"/>
  <c r="E59" i="40"/>
  <c r="E583" i="3"/>
  <c r="E336" i="3"/>
  <c r="E293" i="3"/>
  <c r="E518" i="3"/>
  <c r="E578" i="3"/>
  <c r="E382" i="3"/>
  <c r="E245" i="3"/>
  <c r="E61" i="3"/>
  <c r="E290" i="3"/>
  <c r="E117" i="3"/>
  <c r="E550" i="3"/>
  <c r="E260" i="3"/>
  <c r="E395" i="3"/>
  <c r="E415" i="3"/>
  <c r="E114" i="3"/>
  <c r="E130" i="3"/>
  <c r="E230" i="3"/>
  <c r="E294" i="3"/>
  <c r="E338" i="3"/>
  <c r="E538" i="3"/>
  <c r="E551" i="3"/>
  <c r="S6" i="3"/>
  <c r="E270" i="3"/>
  <c r="E229" i="3"/>
  <c r="E359" i="3"/>
  <c r="E555" i="3"/>
  <c r="E239" i="3"/>
  <c r="E426" i="3"/>
  <c r="E343" i="3"/>
  <c r="E366" i="3"/>
  <c r="E53" i="3"/>
  <c r="E316" i="3"/>
  <c r="E444" i="3"/>
  <c r="E515" i="3"/>
  <c r="E74" i="3"/>
  <c r="E527" i="3"/>
  <c r="AA6" i="3"/>
  <c r="E280" i="3"/>
  <c r="E353" i="3"/>
  <c r="AN6" i="3"/>
  <c r="E402" i="3"/>
  <c r="E303" i="3"/>
  <c r="E159" i="3"/>
  <c r="E254" i="3"/>
  <c r="E221" i="3"/>
  <c r="E302" i="3"/>
  <c r="E17" i="3"/>
  <c r="E213" i="3"/>
  <c r="E565" i="3"/>
  <c r="E304" i="3"/>
  <c r="E237" i="3"/>
  <c r="E169" i="3"/>
  <c r="E298" i="3"/>
  <c r="E321" i="3"/>
  <c r="E439" i="3"/>
  <c r="V6" i="3"/>
  <c r="E523" i="3"/>
  <c r="E533" i="3"/>
  <c r="E151" i="3"/>
  <c r="E285" i="3"/>
  <c r="E410" i="3"/>
  <c r="E516" i="3"/>
  <c r="E328" i="3"/>
  <c r="E305" i="3"/>
  <c r="E553" i="3"/>
  <c r="E319" i="3"/>
  <c r="E291" i="3"/>
  <c r="E531" i="3"/>
  <c r="E576" i="3"/>
  <c r="E31" i="3"/>
  <c r="E519" i="3"/>
  <c r="F71" i="15"/>
  <c r="F50" i="15"/>
  <c r="C49" i="15" s="1"/>
  <c r="M7" i="15"/>
  <c r="J6" i="15" s="1"/>
  <c r="J18" i="15" s="1"/>
  <c r="C6" i="15"/>
  <c r="E335" i="3"/>
  <c r="E387" i="3"/>
  <c r="AB6" i="3"/>
  <c r="M6" i="3"/>
  <c r="E570" i="3"/>
  <c r="E514" i="3"/>
  <c r="E311" i="3"/>
  <c r="E201" i="3"/>
  <c r="E247" i="3"/>
  <c r="E431" i="3"/>
  <c r="E579" i="3"/>
  <c r="E509" i="3"/>
  <c r="AJ6" i="3"/>
  <c r="E322" i="3"/>
  <c r="E268" i="3"/>
  <c r="E526" i="3"/>
  <c r="E217" i="3"/>
  <c r="E572" i="3"/>
  <c r="E272" i="3"/>
  <c r="E88" i="3"/>
  <c r="AS6" i="3"/>
  <c r="E485" i="3"/>
  <c r="E327" i="3"/>
  <c r="E549" i="3"/>
  <c r="E394" i="3"/>
  <c r="E150" i="3"/>
  <c r="E45" i="3"/>
  <c r="E480" i="3"/>
  <c r="E377" i="3"/>
  <c r="E211" i="3"/>
  <c r="E447" i="3"/>
  <c r="E558" i="3"/>
  <c r="AO6" i="3"/>
  <c r="E164" i="3"/>
  <c r="E227" i="3"/>
  <c r="E351" i="3"/>
  <c r="E450" i="3"/>
  <c r="E253" i="3"/>
  <c r="AP6" i="1"/>
  <c r="C30" i="68"/>
  <c r="C13" i="12"/>
  <c r="C48" i="68"/>
  <c r="C31" i="12"/>
  <c r="C28" i="15"/>
  <c r="E29" i="3"/>
  <c r="E334" i="3"/>
  <c r="E295" i="3"/>
  <c r="E162" i="3"/>
  <c r="E404" i="3"/>
  <c r="E505" i="3"/>
  <c r="P6" i="3"/>
  <c r="AG6" i="3"/>
  <c r="E271" i="3"/>
  <c r="I6" i="3"/>
  <c r="E362" i="3"/>
  <c r="E256" i="3"/>
  <c r="E571" i="3"/>
  <c r="E511" i="3"/>
  <c r="E30" i="3"/>
  <c r="E317" i="3"/>
  <c r="E273" i="3"/>
  <c r="E166" i="3"/>
  <c r="E27" i="3"/>
  <c r="E489" i="3"/>
  <c r="E557" i="3"/>
  <c r="E443" i="3"/>
  <c r="E478" i="3"/>
  <c r="E585" i="3"/>
  <c r="E204" i="3"/>
  <c r="E236" i="3"/>
  <c r="E32" i="3"/>
  <c r="E318" i="3"/>
  <c r="E214" i="3"/>
  <c r="E433" i="3"/>
  <c r="E458" i="3"/>
  <c r="E314" i="3"/>
  <c r="E441" i="3"/>
  <c r="E44" i="3"/>
  <c r="E384" i="3"/>
  <c r="E331" i="3"/>
  <c r="E210" i="3"/>
  <c r="E186" i="3"/>
  <c r="E121" i="3"/>
  <c r="E28" i="3"/>
  <c r="E476" i="3"/>
  <c r="E581" i="3"/>
  <c r="E345" i="3"/>
  <c r="E414" i="3"/>
  <c r="E448" i="3"/>
  <c r="Z6" i="3"/>
  <c r="E107" i="3"/>
  <c r="E252" i="3"/>
  <c r="E368" i="3"/>
  <c r="E567" i="3"/>
  <c r="E580" i="3"/>
  <c r="E315" i="3"/>
  <c r="E279" i="3"/>
  <c r="E111" i="3"/>
  <c r="E457" i="3"/>
  <c r="E193" i="3"/>
  <c r="E85"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J21" i="1"/>
  <c r="P2" i="81"/>
  <c r="T2" i="81" s="1"/>
  <c r="U2" i="81" s="1"/>
  <c r="O3" i="81"/>
  <c r="C28" i="67"/>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32" i="67"/>
  <c r="Q60" i="67"/>
  <c r="Q73" i="67"/>
  <c r="M11" i="67"/>
  <c r="J10" i="67" s="1"/>
  <c r="J5" i="67" s="1"/>
  <c r="F11" i="15"/>
  <c r="M11" i="15"/>
  <c r="J10" i="15" s="1"/>
  <c r="F11" i="67"/>
  <c r="F1" i="15"/>
  <c r="Q52" i="15"/>
  <c r="J18" i="67"/>
  <c r="C32" i="15"/>
  <c r="F1" i="67"/>
  <c r="Q52" i="67"/>
  <c r="Q60" i="15"/>
  <c r="Q73" i="15"/>
  <c r="Q61" i="67"/>
  <c r="Q74" i="67"/>
  <c r="Q74" i="15"/>
  <c r="Q61" i="15"/>
  <c r="AE11" i="1"/>
  <c r="AE9" i="1"/>
  <c r="AE7" i="1"/>
  <c r="AE8" i="1"/>
  <c r="AE12" i="1"/>
  <c r="AE10" i="1"/>
  <c r="C16" i="15"/>
  <c r="F27" i="69"/>
  <c r="AE6" i="1"/>
  <c r="C36" i="69"/>
  <c r="F41" i="67"/>
  <c r="F27" i="68"/>
  <c r="AY6" i="3" l="1"/>
  <c r="E3" i="6"/>
  <c r="O6" i="1"/>
  <c r="C47" i="69"/>
  <c r="D45" i="69" s="1"/>
  <c r="C29" i="69"/>
  <c r="D27" i="69" s="1"/>
  <c r="F45" i="69"/>
  <c r="J5" i="15"/>
  <c r="J24" i="15" s="1"/>
  <c r="AC6" i="3"/>
  <c r="H6" i="3"/>
  <c r="E65" i="39"/>
  <c r="J20" i="1"/>
  <c r="L21" i="1"/>
  <c r="L20" i="1" s="1"/>
  <c r="O4" i="81"/>
  <c r="P3" i="81"/>
  <c r="T3" i="81" s="1"/>
  <c r="U3" i="81" s="1"/>
  <c r="E69" i="39"/>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E6" i="3"/>
  <c r="B14" i="74"/>
  <c r="B1" i="74" s="1"/>
  <c r="K20" i="1"/>
  <c r="J23" i="1"/>
  <c r="L23" i="1" s="1"/>
  <c r="J26" i="1"/>
  <c r="J24" i="1"/>
  <c r="L24" i="1" s="1"/>
  <c r="P4" i="81"/>
  <c r="T4" i="81" s="1"/>
  <c r="U4" i="81" s="1"/>
  <c r="O5" i="81"/>
  <c r="P5" i="81" s="1"/>
  <c r="T5" i="81" s="1"/>
  <c r="U5" i="81" s="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14" i="67"/>
  <c r="C34" i="69"/>
  <c r="D10" i="68"/>
  <c r="C17" i="15"/>
  <c r="C17" i="67"/>
  <c r="D30" i="6" l="1"/>
  <c r="H21" i="6"/>
  <c r="H25" i="6"/>
  <c r="H22" i="6"/>
  <c r="C25" i="11"/>
  <c r="L26" i="1"/>
  <c r="K26" i="1" s="1"/>
  <c r="K27" i="1" s="1"/>
  <c r="M19" i="9"/>
  <c r="C118" i="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K21" i="9" s="1"/>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J26" i="43"/>
  <c r="N370" i="46"/>
  <c r="F26" i="43"/>
  <c r="H26" i="43"/>
  <c r="N94" i="46"/>
  <c r="B116" i="43"/>
  <c r="E26" i="43"/>
  <c r="Z7" i="43"/>
  <c r="D8" i="74"/>
  <c r="D7" i="74"/>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F35" i="15"/>
  <c r="F35" i="67"/>
  <c r="M21" i="15"/>
  <c r="M21" i="67"/>
  <c r="C118" i="43" l="1"/>
  <c r="D116" i="43"/>
  <c r="C33" i="43"/>
  <c r="C6" i="69"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7" i="69" l="1"/>
  <c r="C5" i="69"/>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23" i="69" l="1"/>
  <c r="C20" i="69"/>
  <c r="C7" i="68"/>
  <c r="C5" i="68" s="1"/>
  <c r="C30" i="43"/>
  <c r="L118"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C28" i="69" l="1"/>
  <c r="C27" i="69" s="1"/>
  <c r="C25" i="69"/>
  <c r="C22" i="69" s="1"/>
  <c r="C31" i="69" s="1"/>
  <c r="C52" i="69" s="1"/>
  <c r="C23" i="68"/>
  <c r="C20" i="68"/>
  <c r="E2" i="76"/>
  <c r="B2" i="43"/>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6"/>
  <c r="D2" i="34"/>
  <c r="D2" i="37"/>
  <c r="L51" i="15"/>
  <c r="D2" i="35"/>
  <c r="B2" i="69" l="1"/>
  <c r="C57" i="69"/>
  <c r="C56" i="69" s="1"/>
  <c r="C28" i="68"/>
  <c r="C27" i="68" s="1"/>
  <c r="C25" i="68"/>
  <c r="C22" i="68" s="1"/>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B3" i="69"/>
  <c r="AO7" i="1"/>
  <c r="AO9" i="1"/>
  <c r="AO8" i="1"/>
  <c r="AO12" i="1"/>
  <c r="AO11" i="1"/>
  <c r="AO10" i="1"/>
  <c r="C31" i="68" l="1"/>
  <c r="C52" i="68" s="1"/>
  <c r="B2" i="68"/>
  <c r="C57" i="68"/>
  <c r="C56" i="68"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D20" i="9"/>
  <c r="D19" i="9"/>
  <c r="D35" i="9"/>
  <c r="C20" i="9"/>
  <c r="AO6" i="1"/>
  <c r="C19" i="9"/>
  <c r="C103" i="9" l="1"/>
  <c r="C21" i="9"/>
  <c r="C102" i="9"/>
  <c r="D103" i="9"/>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J12" i="80" s="1"/>
  <c r="F118" i="9"/>
  <c r="H118" i="9"/>
  <c r="J9" i="80" l="1"/>
  <c r="J10" i="80"/>
  <c r="J7" i="80"/>
  <c r="J8" i="80"/>
  <c r="F4" i="52"/>
  <c r="B51" i="72" s="1"/>
  <c r="K12" i="80"/>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J11" i="80" l="1"/>
  <c r="H102" i="9"/>
  <c r="D7" i="53" s="1"/>
  <c r="B21" i="72" s="1"/>
  <c r="K7" i="80"/>
  <c r="L7" i="80" s="1"/>
  <c r="M7" i="80" s="1"/>
  <c r="K9" i="80"/>
  <c r="L9" i="80" s="1"/>
  <c r="M9" i="80" s="1"/>
  <c r="K11" i="80"/>
  <c r="K8" i="80"/>
  <c r="L8" i="80" s="1"/>
  <c r="M8" i="80" s="1"/>
  <c r="K10" i="80"/>
  <c r="L10" i="80" s="1"/>
  <c r="M10" i="80" s="1"/>
  <c r="C105" i="9"/>
  <c r="E14" i="74"/>
  <c r="F14" i="74"/>
  <c r="B5" i="74"/>
  <c r="D5" i="74" s="1"/>
  <c r="E118" i="9"/>
  <c r="E4" i="52" s="1"/>
  <c r="B48" i="72" s="1"/>
  <c r="D45" i="9"/>
  <c r="H107" i="9"/>
  <c r="M48" i="9"/>
  <c r="D5" i="53"/>
  <c r="L11" i="80" l="1"/>
  <c r="M11" i="80" s="1"/>
  <c r="C5" i="74"/>
  <c r="M49" i="9"/>
  <c r="H108" i="9"/>
  <c r="D13" i="53"/>
  <c r="D122" i="9"/>
  <c r="C78" i="9"/>
  <c r="C73" i="9" s="1"/>
  <c r="C72" i="9"/>
  <c r="C64" i="9"/>
  <c r="C63" i="9" s="1"/>
  <c r="C67" i="9" s="1"/>
  <c r="D52" i="9"/>
  <c r="C85" i="9"/>
  <c r="C93" i="9"/>
  <c r="C86" i="9" s="1"/>
  <c r="D55" i="9"/>
  <c r="M53" i="9" s="1"/>
  <c r="D53" i="9"/>
  <c r="B20" i="72"/>
  <c r="D6" i="53"/>
  <c r="B22" i="72" s="1"/>
  <c r="L12" i="80" l="1"/>
  <c r="D123" i="9"/>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<sst xmlns="http://schemas.openxmlformats.org/spreadsheetml/2006/main" count="7963" uniqueCount="3512">
  <si>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</si>
  <si>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</si>
  <si>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</si>
  <si>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</si>
  <si>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</si>
  <si>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</si>
  <si>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</si>
  <si>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</si>
  <si>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</si>
  <si>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</si>
  <si>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</si>
  <si>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</si>
  <si>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</si>
  <si>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</si>
  <si>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</si>
  <si>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</si>
  <si>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</si>
  <si>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</si>
  <si>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</si>
  <si>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</si>
  <si>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</si>
  <si>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</si>
  <si>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</si>
  <si>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</si>
  <si>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</si>
  <si>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</si>
  <si>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</si>
  <si>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</si>
  <si>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</si>
  <si>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</si>
  <si>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</si>
  <si>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</si>
  <si>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</si>
  <si>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</si>
  <si>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</si>
  <si>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</si>
  <si>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</si>
  <si>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</si>
  <si>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</si>
  <si>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</si>
  <si>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</si>
  <si>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</si>
  <si>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</si>
  <si>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</si>
  <si>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</si>
  <si>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</si>
  <si>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</si>
  <si>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</si>
  <si>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</si>
  <si>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</si>
  <si>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</si>
  <si>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</si>
  <si>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</si>
  <si>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</si>
  <si>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</si>
  <si>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</si>
  <si>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</si>
  <si>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</si>
  <si>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</si>
  <si>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</si>
  <si>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</si>
  <si>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</si>
  <si>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</si>
  <si>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</si>
  <si>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</si>
  <si>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</si>
  <si>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</si>
  <si>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</si>
  <si>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</si>
  <si>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</si>
  <si>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</si>
  <si>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</si>
  <si>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</si>
  <si>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</si>
  <si>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</si>
  <si>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</si>
  <si>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</si>
  <si>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</si>
  <si>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</si>
  <si>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</si>
  <si>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</si>
  <si>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</si>
  <si>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</si>
  <si>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</si>
  <si>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</si>
  <si>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</si>
  <si>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</si>
  <si>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</si>
  <si>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</si>
  <si>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</si>
  <si>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</si>
  <si>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</si>
  <si>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</si>
  <si>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</si>
  <si>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</si>
  <si>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</si>
  <si>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</si>
  <si>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</si>
  <si>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</si>
  <si>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</si>
  <si>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</si>
  <si>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</si>
  <si>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</si>
  <si>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</si>
  <si>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</si>
  <si>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</si>
  <si>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</si>
  <si>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</si>
  <si>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</si>
  <si>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</si>
  <si>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</si>
  <si>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</si>
  <si>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</si>
  <si>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</si>
  <si>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</si>
  <si>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</si>
  <si>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</si>
  <si>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</si>
  <si>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</si>
  <si>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</si>
  <si>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</si>
  <si>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</si>
  <si>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</si>
  <si>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</si>
  <si>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</si>
  <si>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</si>
  <si>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</si>
  <si>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</si>
  <si>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</si>
  <si>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</si>
  <si>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</si>
  <si>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</si>
  <si>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</si>
  <si>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</si>
  <si>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</si>
  <si>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</si>
  <si>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</si>
  <si>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</si>
  <si>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</si>
  <si>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</si>
  <si>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</si>
  <si>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</si>
  <si>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</si>
  <si>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</si>
  <si>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</si>
  <si>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</si>
  <si>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</si>
  <si>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</si>
  <si>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</si>
  <si>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</si>
  <si>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</si>
  <si>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</si>
  <si>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</si>
  <si>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</si>
  <si>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</si>
  <si>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</si>
  <si>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</si>
  <si>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</si>
  <si>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</si>
  <si>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</si>
  <si>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</si>
  <si>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</si>
  <si>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</si>
  <si>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</si>
  <si>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</si>
  <si>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</si>
  <si>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</si>
  <si>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</si>
  <si>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</si>
  <si>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</si>
  <si>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</si>
  <si>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</si>
  <si>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</si>
  <si>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</si>
  <si>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</si>
  <si>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</si>
  <si>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</si>
  <si>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</si>
  <si>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</si>
  <si>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</si>
  <si>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</si>
  <si>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</si>
  <si>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</si>
  <si>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</si>
  <si>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</si>
  <si>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</si>
  <si>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</si>
  <si>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</si>
  <si>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</si>
  <si>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</si>
  <si>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</si>
  <si>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</si>
  <si>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</si>
  <si>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</si>
  <si>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</si>
  <si>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</si>
  <si>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</si>
  <si>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</si>
  <si>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</si>
  <si>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</si>
  <si>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</si>
  <si>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</si>
  <si>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</si>
  <si>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</si>
  <si>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</si>
  <si>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</si>
  <si>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</si>
  <si>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</si>
  <si>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</si>
  <si>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</si>
  <si>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</si>
  <si>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</si>
  <si>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</si>
  <si>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</si>
  <si>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</si>
  <si>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</si>
  <si>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</si>
  <si>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</si>
  <si>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</si>
  <si>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</si>
  <si>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</si>
  <si>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</si>
  <si>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</si>
  <si>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</si>
  <si>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</si>
  <si>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</si>
  <si>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</si>
  <si>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</si>
  <si>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</si>
  <si>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</si>
  <si>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</si>
  <si>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</si>
  <si>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</si>
  <si>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</si>
  <si>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</si>
  <si>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</si>
  <si>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</si>
  <si>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</si>
  <si>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</si>
  <si>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</si>
  <si>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</si>
  <si>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</si>
  <si>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</si>
  <si>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</si>
  <si>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</si>
  <si>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</si>
  <si>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</si>
  <si>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</si>
  <si>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</si>
  <si>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</si>
  <si>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</si>
  <si>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</si>
  <si>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</si>
  <si>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</si>
  <si>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</si>
  <si>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</si>
  <si>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</si>
  <si>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</si>
  <si>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</si>
  <si>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</si>
  <si>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</si>
  <si>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</si>
  <si>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</si>
  <si>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</si>
  <si>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</si>
  <si>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</si>
  <si>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</si>
  <si>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</si>
  <si>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</si>
  <si>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</si>
  <si>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</si>
  <si>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</si>
  <si>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</si>
  <si>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</si>
  <si>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</si>
  <si>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</si>
  <si>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</si>
  <si>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</si>
  <si>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</si>
  <si>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</si>
  <si>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</si>
  <si>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</si>
  <si>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</si>
  <si>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</si>
  <si>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</si>
  <si>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</si>
  <si>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</si>
  <si>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</si>
  <si>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</si>
  <si>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</si>
  <si>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</si>
  <si>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</si>
  <si>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</si>
  <si>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</si>
  <si>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</si>
  <si>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</si>
  <si>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</si>
  <si>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</si>
  <si>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</si>
  <si>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</si>
  <si>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</si>
  <si>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</si>
  <si>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</si>
  <si>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</si>
  <si>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</si>
  <si>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</si>
  <si>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</si>
  <si>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</si>
  <si>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</si>
  <si>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</si>
  <si>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</si>
  <si>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</si>
  <si>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</si>
  <si>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</si>
  <si>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</si>
  <si>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</si>
  <si>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</si>
  <si>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</si>
  <si>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</si>
  <si>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</si>
  <si>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</si>
  <si>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</si>
  <si>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</si>
  <si>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</si>
  <si>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</si>
  <si>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</si>
  <si>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</si>
  <si>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</si>
  <si>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</si>
  <si>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</si>
  <si>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</si>
  <si>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</si>
  <si>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</si>
  <si>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</si>
  <si>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</si>
  <si>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</si>
  <si>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</si>
  <si>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</si>
  <si>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</si>
  <si>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</si>
  <si>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</si>
  <si>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</si>
  <si>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</si>
  <si>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</si>
  <si>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</si>
  <si>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</si>
  <si>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</si>
  <si>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</si>
  <si>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</si>
  <si>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</si>
  <si>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</si>
  <si>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</si>
  <si>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</si>
  <si>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</si>
  <si>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</si>
  <si>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</si>
  <si>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</si>
  <si>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</si>
  <si>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</si>
  <si>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</si>
  <si>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</si>
  <si>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</si>
  <si>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</si>
  <si>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</si>
  <si>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</si>
  <si>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</si>
  <si>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</si>
  <si>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</si>
  <si>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</si>
  <si>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</si>
  <si>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</si>
  <si>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</si>
  <si>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</si>
  <si>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</si>
  <si>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</si>
  <si>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</si>
  <si>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</si>
  <si>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</si>
  <si>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</si>
  <si>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</si>
  <si>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</si>
  <si>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</si>
  <si>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</si>
  <si>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</si>
  <si>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</si>
  <si>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</si>
  <si>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</si>
  <si>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</si>
  <si>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</si>
  <si>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</si>
  <si>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</si>
  <si>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</si>
  <si>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</si>
  <si>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</si>
  <si>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</si>
  <si>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</si>
  <si>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</si>
  <si>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</si>
  <si>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</si>
  <si>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</si>
  <si>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</si>
  <si>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</si>
  <si>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</si>
  <si>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</si>
  <si>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</si>
  <si>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</si>
  <si>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</si>
  <si>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</si>
  <si>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</si>
  <si>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</si>
  <si>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</si>
  <si>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</si>
  <si>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</si>
  <si>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</si>
  <si>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</si>
  <si>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</si>
  <si>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</si>
  <si>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</si>
  <si>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</si>
  <si>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</si>
  <si>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</si>
  <si>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</si>
  <si>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</si>
  <si>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</si>
  <si>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</si>
  <si>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</si>
  <si>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</si>
  <si>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</si>
  <si>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</si>
  <si>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</si>
  <si>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</si>
  <si>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</si>
  <si>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</si>
  <si>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</si>
  <si>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</si>
  <si>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</si>
  <si>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</si>
  <si>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</si>
  <si>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</si>
  <si>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</si>
  <si>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</si>
  <si>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</si>
  <si>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</si>
  <si>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</si>
  <si>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</si>
  <si>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</si>
  <si>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</si>
  <si>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</si>
  <si>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</si>
  <si>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</si>
  <si>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</si>
  <si>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</si>
  <si>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</si>
  <si>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</si>
  <si>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</si>
  <si>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</si>
  <si>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</si>
  <si>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</si>
  <si>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</si>
  <si>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</si>
  <si>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</si>
  <si>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</si>
  <si>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</si>
  <si>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</si>
  <si>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</si>
  <si>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</si>
  <si>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</si>
  <si>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</si>
  <si>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</si>
  <si>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</si>
  <si>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</si>
  <si>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</si>
  <si>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</si>
  <si>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</si>
  <si>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</si>
  <si>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</si>
  <si>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</si>
  <si>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</si>
  <si>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</si>
  <si>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</si>
  <si>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</si>
  <si>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</si>
  <si>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</si>
  <si>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</si>
  <si>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</si>
  <si>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</si>
  <si>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</si>
  <si>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</si>
  <si>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</si>
  <si>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</si>
  <si>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</si>
  <si>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</si>
  <si>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</si>
  <si>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</si>
  <si>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</si>
  <si>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</si>
  <si>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</si>
  <si>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</si>
  <si>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</si>
  <si>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</si>
  <si>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</si>
  <si>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</si>
  <si>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</si>
  <si>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</si>
  <si>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</si>
  <si>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</si>
  <si>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</si>
  <si>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</si>
  <si>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</si>
  <si>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</si>
  <si>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</si>
  <si>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</si>
  <si>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</si>
  <si>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</si>
  <si>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</si>
  <si>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</si>
  <si>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</si>
  <si>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</si>
  <si>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</si>
  <si>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</si>
  <si>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</si>
  <si>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</si>
  <si>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</si>
  <si>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</si>
  <si>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</si>
  <si>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</si>
  <si>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</si>
  <si>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</si>
  <si>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</si>
  <si>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</si>
  <si>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</si>
  <si>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</si>
  <si>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</si>
  <si>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</si>
  <si>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</si>
  <si>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</si>
  <si>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</si>
  <si>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</si>
  <si>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</si>
  <si>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</si>
  <si>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</si>
  <si>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</si>
  <si>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</si>
  <si>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</si>
  <si>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</si>
  <si>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</si>
  <si>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</si>
  <si>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</si>
  <si>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</si>
  <si>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</si>
  <si>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</si>
  <si>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</si>
  <si>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</si>
  <si>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</si>
  <si>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</si>
  <si>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</si>
  <si>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</si>
  <si>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</si>
  <si>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</si>
  <si>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</si>
  <si>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</si>
  <si>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</si>
  <si>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</si>
  <si>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</si>
  <si>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</si>
  <si>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</si>
  <si>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</si>
  <si>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</si>
  <si>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</si>
  <si>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</si>
  <si>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</si>
  <si>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</si>
  <si>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</si>
  <si>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</si>
  <si>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</si>
  <si>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</si>
  <si>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</si>
  <si>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</si>
  <si>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</si>
  <si>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</si>
  <si>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</si>
  <si>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</si>
  <si>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</si>
  <si>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</si>
  <si>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</si>
  <si>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</si>
  <si>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</si>
  <si>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</si>
  <si>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</si>
  <si>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</si>
  <si>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</si>
  <si>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</si>
  <si>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</si>
  <si>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</si>
  <si>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</si>
  <si>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</si>
  <si>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</si>
  <si>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</si>
  <si>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</si>
  <si>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</si>
  <si>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</si>
  <si>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</si>
  <si>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</si>
  <si>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</si>
  <si>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</si>
  <si>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</si>
  <si>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</si>
  <si>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</si>
  <si>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</si>
  <si>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</si>
  <si>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</si>
  <si>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</si>
  <si>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</si>
  <si>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</si>
  <si>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</si>
  <si>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</si>
  <si>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</si>
  <si>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</si>
  <si>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</si>
  <si>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</si>
  <si>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</si>
  <si>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</si>
  <si>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</si>
  <si>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</si>
  <si>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</si>
  <si>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</si>
  <si>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</si>
  <si>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</si>
  <si>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</si>
  <si>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</si>
  <si>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</si>
  <si>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</si>
  <si>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</si>
  <si>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</si>
  <si>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</si>
  <si>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</si>
  <si>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</si>
  <si>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</si>
  <si>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</si>
  <si>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</si>
  <si>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</si>
  <si>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</si>
  <si>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</si>
  <si>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</si>
  <si>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</si>
  <si>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</si>
  <si>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</si>
  <si>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</si>
  <si>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</si>
  <si>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</si>
  <si>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</si>
  <si>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</si>
  <si>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</si>
  <si>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</si>
  <si>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</si>
  <si>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</si>
  <si>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</si>
  <si>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</si>
  <si>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</si>
  <si>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</si>
  <si>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</si>
  <si>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</si>
  <si>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</si>
  <si>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</si>
  <si>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</si>
  <si>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</si>
  <si>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</si>
  <si>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</si>
  <si>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</si>
  <si>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</si>
  <si>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</si>
  <si>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</si>
  <si>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</si>
  <si>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</si>
  <si>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</si>
  <si>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</si>
  <si>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</si>
  <si>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</si>
  <si>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</si>
  <si>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</si>
  <si>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</si>
  <si>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</si>
  <si>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</si>
  <si>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</si>
  <si>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</si>
  <si>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</si>
  <si>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</si>
  <si>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</si>
  <si>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</si>
  <si>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</si>
  <si>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</si>
  <si>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</si>
  <si>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</si>
  <si>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</si>
  <si>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</si>
  <si>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</si>
  <si>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</si>
  <si>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</si>
  <si>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</si>
  <si>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</si>
  <si>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</si>
  <si>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</si>
  <si>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</si>
  <si>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</si>
  <si>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</si>
  <si>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</si>
  <si>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</si>
  <si>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</si>
  <si>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</si>
  <si>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</si>
  <si>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</si>
  <si>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</si>
  <si>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</si>
  <si>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</si>
  <si>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</si>
  <si>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</si>
  <si>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</si>
  <si>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</si>
  <si>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</si>
  <si>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</si>
  <si>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</si>
  <si>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</si>
  <si>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</si>
  <si>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</si>
  <si>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</si>
  <si>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</si>
  <si>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</si>
  <si>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</si>
  <si>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</si>
  <si>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</si>
  <si>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</si>
  <si>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</si>
  <si>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</si>
  <si>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</si>
  <si>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</si>
  <si>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</si>
  <si>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</si>
  <si>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</si>
  <si>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</si>
  <si>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</si>
  <si>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</si>
  <si>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</si>
  <si>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</si>
  <si>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</si>
  <si>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</si>
  <si>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</si>
  <si>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</si>
  <si>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</si>
  <si>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</si>
  <si>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</si>
  <si>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</si>
  <si>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</si>
  <si>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</si>
  <si>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</si>
  <si>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</si>
  <si>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</si>
  <si>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</si>
  <si>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</si>
  <si>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</si>
  <si>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</si>
  <si>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</si>
  <si>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</si>
  <si>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</si>
  <si>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</si>
  <si>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</si>
  <si>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</si>
  <si>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</si>
  <si>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</si>
  <si>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</si>
  <si>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</si>
  <si>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</si>
  <si>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</si>
  <si>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</si>
  <si>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</si>
  <si>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</si>
  <si>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</si>
  <si>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</si>
  <si>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</si>
  <si>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</si>
  <si>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</si>
  <si>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</si>
  <si>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</si>
  <si>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</si>
  <si>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</si>
  <si>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</si>
  <si>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</si>
  <si>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</si>
  <si>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</si>
  <si>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</si>
  <si>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</si>
  <si>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</si>
  <si>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</si>
  <si>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</si>
  <si>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</si>
  <si>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</si>
  <si>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</si>
  <si>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</si>
  <si>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</si>
  <si>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</si>
  <si>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</si>
  <si>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</si>
  <si>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</si>
  <si>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</si>
  <si>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</si>
  <si>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</si>
  <si>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</si>
  <si>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</si>
  <si>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</si>
  <si>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</si>
  <si>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</si>
  <si>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</si>
  <si>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</si>
  <si>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</si>
  <si>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</si>
  <si>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</si>
  <si>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</si>
  <si>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</si>
  <si>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</si>
  <si>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</si>
  <si>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</si>
  <si>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</si>
  <si>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</si>
  <si>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</si>
  <si>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</si>
  <si>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</si>
  <si>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</si>
  <si>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</si>
  <si>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</si>
  <si>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</si>
  <si>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</si>
  <si>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</si>
  <si>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</si>
  <si>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</si>
  <si>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</si>
  <si>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</si>
  <si>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</si>
  <si>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</si>
  <si>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</si>
  <si>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</si>
  <si>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</si>
  <si>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</si>
  <si>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</si>
  <si>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</si>
  <si>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</si>
  <si>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</si>
  <si>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</si>
  <si>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</si>
  <si>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</si>
  <si>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</si>
  <si>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</si>
  <si>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</si>
  <si>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</si>
  <si>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</si>
  <si>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</si>
  <si>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</si>
  <si>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</si>
  <si>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</si>
  <si>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</si>
  <si>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</si>
  <si>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</si>
  <si>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</si>
  <si>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</si>
  <si>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</si>
  <si>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</si>
  <si>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</si>
  <si>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</si>
  <si>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</si>
  <si>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</si>
  <si>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</si>
  <si>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</si>
  <si>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</si>
  <si>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</si>
  <si>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</si>
  <si>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</si>
  <si>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</si>
  <si>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</si>
  <si>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</si>
  <si>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</si>
  <si>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</si>
  <si>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</si>
  <si>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</si>
  <si>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</si>
  <si>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</si>
  <si>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</si>
  <si>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</si>
  <si>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</si>
  <si>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</si>
  <si>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</si>
  <si>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</si>
  <si>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</si>
  <si>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</si>
  <si>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</si>
  <si>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</si>
  <si>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</si>
  <si>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</si>
  <si>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</si>
  <si>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</si>
  <si>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</si>
  <si>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</si>
  <si>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</si>
  <si>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</si>
  <si>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</si>
  <si>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</si>
  <si>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</si>
  <si>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</si>
  <si>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</si>
  <si>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</si>
  <si>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</si>
  <si>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</si>
  <si>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</si>
  <si>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</si>
  <si>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</si>
  <si>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</si>
  <si>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</si>
  <si>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</si>
  <si>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</si>
  <si>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</si>
  <si>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</si>
  <si>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</si>
  <si>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</si>
  <si>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</si>
  <si>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</si>
  <si>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</si>
  <si>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</si>
  <si>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</si>
  <si>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</si>
  <si>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</si>
  <si>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</si>
  <si>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</si>
  <si>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</si>
  <si>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</si>
  <si>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</si>
  <si>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</si>
  <si>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</si>
  <si>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</si>
  <si>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</si>
  <si>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</si>
  <si>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</si>
  <si>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</si>
  <si>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</si>
  <si>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</si>
  <si>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</si>
  <si>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</si>
  <si>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</si>
  <si>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</si>
  <si>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</si>
  <si>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</si>
  <si>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</si>
  <si>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</si>
  <si>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</si>
  <si>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</si>
  <si>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</si>
  <si>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</si>
  <si>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</si>
  <si>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</si>
  <si>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</si>
  <si>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</si>
  <si>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</si>
  <si>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</si>
  <si>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</si>
  <si>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</si>
  <si>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</si>
  <si>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</si>
  <si>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</si>
  <si>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</si>
  <si>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</si>
  <si>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</si>
  <si>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</si>
  <si>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</si>
  <si>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</si>
  <si>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</si>
  <si>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</si>
  <si>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</si>
  <si>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</si>
  <si>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</si>
  <si>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</si>
  <si>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</si>
  <si>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</si>
  <si>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</si>
  <si>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</si>
  <si>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</si>
  <si>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</si>
  <si>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</si>
  <si>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</si>
  <si>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</si>
  <si>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</si>
  <si>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</si>
  <si>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</si>
  <si>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</si>
  <si>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</si>
  <si>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</si>
  <si>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</si>
  <si>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</si>
  <si>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</si>
  <si>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</si>
  <si>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</si>
  <si>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</si>
  <si>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</si>
  <si>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</si>
  <si>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</si>
  <si>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</si>
  <si>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</si>
  <si>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</si>
  <si>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</si>
  <si>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</si>
  <si>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</si>
  <si>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</si>
  <si>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</si>
  <si>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</si>
  <si>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</si>
  <si>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</si>
  <si>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</si>
  <si>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</si>
  <si>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</si>
  <si>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</si>
  <si>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</si>
  <si>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</si>
  <si>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</si>
  <si>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</si>
  <si>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</si>
  <si>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</si>
  <si>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</si>
  <si>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</si>
  <si>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</si>
  <si>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</si>
  <si>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</si>
  <si>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</si>
  <si>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</si>
  <si>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</si>
  <si>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</si>
  <si>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</si>
  <si>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</si>
  <si>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</si>
  <si>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</si>
  <si>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</si>
  <si>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</si>
  <si>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</si>
  <si>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</si>
  <si>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</si>
  <si>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</si>
  <si>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</si>
  <si>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</si>
  <si>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</si>
  <si>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</si>
  <si>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</si>
  <si>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</si>
  <si>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</si>
  <si>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</si>
  <si>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</si>
  <si>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</si>
  <si>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</si>
  <si>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</si>
  <si>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</si>
  <si>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</si>
  <si>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</si>
  <si>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</si>
  <si>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</si>
  <si>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</si>
  <si>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</si>
  <si>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</si>
  <si>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</si>
  <si>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</si>
  <si>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</si>
  <si>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</si>
  <si>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</si>
  <si>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</si>
  <si>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</si>
  <si>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</si>
  <si>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</si>
  <si>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</si>
  <si>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</si>
  <si>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</si>
  <si>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</si>
  <si>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</si>
  <si>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</si>
  <si>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</si>
  <si>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</si>
  <si>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</si>
  <si>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</si>
  <si>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</si>
  <si>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</si>
  <si>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</si>
  <si>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</si>
  <si>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</si>
  <si>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</si>
  <si>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</si>
  <si>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</si>
  <si>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</si>
  <si>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</si>
  <si>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</si>
  <si>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</si>
  <si>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</si>
  <si>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</si>
  <si>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</si>
  <si>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</si>
  <si>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</si>
  <si>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</si>
  <si>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</si>
  <si>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</si>
  <si>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</si>
  <si>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</si>
  <si>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</si>
  <si>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</si>
  <si>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</si>
  <si>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</si>
  <si>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</si>
  <si>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</si>
  <si>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</si>
  <si>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</si>
  <si>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</si>
  <si>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</si>
  <si>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</si>
  <si>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</si>
  <si>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</si>
  <si>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</si>
  <si>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</si>
  <si>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</si>
  <si>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</si>
  <si>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</si>
  <si>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</si>
  <si>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</si>
  <si>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</si>
  <si>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</si>
  <si>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</si>
  <si>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</si>
  <si>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</si>
  <si>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</si>
  <si>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</si>
  <si>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</si>
  <si>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</si>
  <si>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</si>
  <si>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</si>
  <si>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</si>
  <si>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</si>
  <si>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</si>
  <si>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</si>
  <si>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</si>
  <si>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</si>
  <si>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</si>
  <si>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</si>
  <si>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</si>
  <si>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</si>
  <si>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</si>
  <si>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</si>
  <si>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</si>
  <si>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</si>
  <si>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</si>
  <si>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</si>
  <si>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</si>
  <si>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</si>
  <si>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</si>
  <si>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</si>
  <si>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</si>
  <si>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</si>
  <si>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</si>
  <si>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</si>
  <si>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</si>
  <si>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</si>
  <si>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</si>
  <si>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</si>
  <si>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</si>
  <si>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</si>
  <si>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</si>
  <si>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</si>
  <si>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</si>
  <si>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</si>
  <si>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</si>
  <si>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</si>
  <si>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</si>
  <si>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</si>
  <si>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</si>
  <si>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</si>
  <si>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</si>
  <si>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</si>
  <si>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</si>
  <si>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</si>
  <si>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</si>
  <si>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</si>
  <si>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</si>
  <si>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</si>
  <si>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</si>
  <si>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</si>
  <si>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</si>
  <si>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</si>
  <si>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</si>
  <si>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</si>
  <si>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</si>
  <si>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</si>
  <si>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</si>
  <si>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</si>
  <si>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</si>
  <si>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</si>
  <si>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</si>
  <si>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</si>
  <si>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</si>
  <si>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</si>
  <si>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</si>
  <si>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</si>
  <si>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</si>
  <si>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</si>
  <si>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</si>
  <si>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</si>
  <si>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</si>
  <si>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</si>
  <si>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</si>
  <si>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</si>
  <si>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</si>
  <si>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</si>
  <si>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</si>
  <si>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</si>
  <si>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</si>
  <si>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</si>
  <si>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</si>
  <si>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</si>
  <si>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</si>
  <si>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</si>
  <si>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</si>
  <si>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</si>
  <si>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</si>
  <si>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</si>
  <si>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</si>
  <si>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</si>
  <si>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</si>
  <si>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</si>
  <si>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</si>
  <si>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</si>
  <si>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</si>
  <si>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</si>
  <si>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</si>
  <si>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</si>
  <si>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</si>
  <si>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</si>
  <si>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</si>
  <si>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</si>
  <si>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</si>
  <si>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</si>
  <si>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</si>
  <si>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</si>
  <si>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</si>
  <si>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</si>
  <si>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</si>
  <si>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</si>
  <si>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</si>
  <si>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</si>
  <si>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</si>
  <si>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</si>
  <si>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</si>
  <si>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</si>
  <si>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</si>
  <si>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</si>
  <si>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</si>
  <si>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</si>
  <si>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</si>
  <si>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</si>
  <si>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</si>
  <si>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</si>
  <si>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</si>
  <si>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</si>
  <si>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</si>
  <si>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</si>
  <si>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</si>
  <si>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</si>
  <si>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</si>
  <si>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</si>
  <si>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</si>
  <si>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</si>
  <si>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</si>
  <si>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</si>
  <si>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</si>
  <si>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</si>
  <si>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</si>
  <si>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</si>
  <si>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</si>
  <si>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</si>
  <si>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</si>
  <si>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</si>
  <si>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</si>
  <si>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</si>
  <si>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</si>
  <si>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</si>
  <si>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</si>
  <si>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</si>
  <si>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</si>
  <si>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</si>
  <si>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</si>
  <si>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</si>
  <si>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</si>
  <si>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</si>
  <si>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</si>
  <si>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</si>
  <si>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</si>
  <si>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</si>
  <si>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</si>
  <si>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</si>
  <si>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</si>
  <si>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</si>
  <si>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</si>
  <si>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</si>
  <si>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</si>
  <si>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</si>
  <si>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</si>
  <si>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</si>
  <si>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</si>
  <si>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</si>
  <si>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</si>
  <si>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</si>
  <si>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</si>
  <si>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</si>
  <si>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</si>
  <si>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</si>
  <si>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</si>
  <si>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</si>
  <si>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</si>
  <si>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</si>
  <si>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</si>
  <si>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</si>
  <si>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</si>
  <si>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</si>
  <si>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</si>
  <si>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</si>
  <si>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</si>
  <si>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</si>
  <si>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</si>
  <si>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</si>
  <si>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</si>
  <si>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</si>
  <si>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</si>
  <si>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</si>
  <si>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</si>
  <si>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</si>
  <si>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</si>
  <si>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</si>
  <si>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</si>
  <si>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</si>
  <si>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</si>
  <si>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</si>
  <si>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</si>
  <si>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</si>
  <si>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</si>
  <si>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</si>
  <si>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</si>
  <si>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</si>
  <si>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</si>
  <si>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</si>
  <si>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</si>
  <si>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</si>
  <si>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</si>
  <si>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</si>
  <si>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</si>
  <si>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</si>
  <si>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</si>
  <si>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</si>
  <si>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</si>
  <si>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</si>
  <si>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</si>
  <si>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</si>
  <si>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</si>
  <si>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</si>
  <si>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</si>
  <si>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</si>
  <si>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</si>
  <si>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</si>
  <si>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</si>
  <si>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</si>
  <si>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</si>
  <si>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</si>
  <si>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</si>
  <si>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</si>
  <si>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</si>
  <si>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</si>
  <si>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</si>
  <si>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</si>
  <si>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</si>
  <si>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</si>
  <si>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</si>
  <si>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</si>
  <si>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</si>
  <si>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</si>
  <si>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</si>
  <si>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</si>
  <si>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</si>
  <si>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</si>
  <si>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</si>
  <si>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</si>
  <si>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</si>
  <si>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</si>
  <si>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</si>
  <si>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</si>
  <si>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</si>
  <si>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</si>
  <si>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</si>
  <si>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</si>
  <si>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</si>
  <si>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</si>
  <si>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</si>
  <si>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</si>
  <si>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</si>
  <si>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</si>
  <si>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</si>
  <si>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</si>
  <si>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</si>
  <si>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</si>
  <si>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</si>
  <si>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</si>
  <si>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</si>
  <si>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</si>
  <si>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</si>
  <si>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</si>
  <si>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</si>
  <si>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</si>
  <si>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</si>
  <si>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</si>
  <si>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</si>
  <si>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</si>
  <si>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</si>
  <si>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</si>
  <si>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</si>
  <si>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</si>
  <si>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</si>
  <si>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</si>
  <si>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</si>
  <si>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</si>
  <si>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</si>
  <si>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</si>
  <si>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</si>
  <si>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</si>
  <si>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</si>
  <si>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</si>
  <si>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</si>
  <si>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</si>
  <si>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</si>
  <si>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</si>
  <si>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</si>
  <si>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</si>
  <si>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</si>
  <si>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</si>
  <si>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</si>
  <si>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</si>
  <si>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</si>
  <si>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</si>
  <si>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</si>
  <si>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</si>
  <si>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</si>
  <si>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</si>
  <si>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</si>
  <si>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</si>
  <si>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</si>
  <si>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</si>
  <si>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</si>
  <si>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</si>
  <si>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</si>
  <si>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</si>
  <si>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</si>
  <si>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</si>
  <si>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</si>
  <si>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</si>
  <si>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</si>
  <si>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</si>
  <si>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</si>
  <si>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</si>
  <si>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</si>
  <si>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</si>
  <si>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</si>
  <si>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</si>
  <si>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</si>
  <si>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</si>
  <si>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</si>
  <si>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</si>
  <si>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</si>
  <si>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</si>
  <si>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</si>
  <si>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</si>
  <si>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</si>
  <si>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</si>
  <si>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</si>
  <si>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</si>
  <si>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</si>
  <si>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</si>
  <si>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</si>
  <si>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</si>
  <si>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</si>
  <si>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</si>
  <si>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</si>
  <si>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</si>
  <si>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</si>
  <si>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</si>
  <si>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</si>
  <si>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</si>
  <si>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</si>
  <si>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</si>
  <si>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</si>
  <si>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</si>
  <si>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</si>
  <si>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</si>
  <si>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</si>
  <si>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</si>
  <si>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</si>
  <si>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</si>
  <si>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</si>
  <si>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</si>
  <si>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</si>
  <si>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</si>
  <si>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</si>
  <si>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</si>
  <si>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</si>
  <si>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</si>
  <si>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</si>
  <si>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</si>
  <si>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</si>
  <si>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</si>
  <si>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</si>
  <si>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</si>
  <si>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</si>
  <si>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</si>
  <si>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</si>
  <si>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</si>
  <si>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</si>
  <si>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</si>
  <si>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</si>
  <si>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</si>
  <si>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</si>
  <si>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</si>
  <si>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</si>
  <si>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</si>
  <si>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</si>
  <si>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</si>
  <si>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</si>
  <si>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</si>
  <si>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</si>
  <si>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</si>
  <si>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</si>
  <si>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</si>
  <si>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</si>
  <si>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</si>
  <si>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</si>
  <si>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</si>
  <si>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</si>
  <si>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</si>
  <si>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</si>
  <si>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</si>
  <si>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</si>
  <si>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</si>
  <si>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</si>
  <si>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</si>
  <si>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</si>
  <si>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</si>
  <si>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</si>
  <si>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</si>
  <si>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</si>
  <si>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</si>
  <si>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</si>
  <si>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</si>
  <si>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</si>
  <si>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</si>
  <si>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</si>
  <si>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</si>
  <si>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</si>
  <si>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</si>
  <si>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</si>
  <si>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</si>
  <si>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</si>
  <si>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</si>
  <si>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</si>
  <si>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</si>
  <si>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</si>
  <si>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</si>
  <si>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</si>
  <si>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</si>
  <si>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</si>
  <si>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</si>
  <si>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</si>
  <si>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</si>
  <si>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</si>
  <si>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</si>
  <si>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</si>
  <si>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</si>
  <si>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</si>
  <si>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</si>
  <si>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</si>
  <si>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</si>
  <si>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</si>
  <si>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</si>
  <si>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</si>
  <si>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</si>
  <si>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</si>
  <si>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</si>
  <si>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</si>
  <si>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</si>
  <si>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</si>
  <si>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</si>
  <si>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</si>
  <si>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</si>
  <si>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</si>
  <si>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</si>
  <si>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</si>
  <si>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</si>
  <si>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</si>
  <si>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</si>
  <si>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</si>
  <si>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</si>
  <si>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</si>
  <si>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</si>
  <si>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</si>
  <si>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</si>
  <si>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</si>
  <si>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</si>
  <si>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</si>
  <si>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</si>
  <si>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</si>
  <si>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</si>
  <si>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</si>
  <si>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</si>
  <si>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</si>
  <si>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</si>
  <si>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</si>
  <si>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</si>
  <si>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</si>
  <si>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</si>
  <si>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</si>
  <si>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</si>
  <si>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</si>
  <si>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</si>
  <si>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</si>
  <si>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</si>
  <si>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</si>
  <si>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</si>
  <si>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</si>
  <si>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</si>
  <si>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</si>
  <si>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</si>
  <si>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</si>
  <si>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</si>
  <si>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</si>
  <si>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</si>
  <si>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</si>
  <si>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</si>
  <si>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</si>
  <si>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</si>
  <si>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</si>
  <si>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</si>
  <si>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</si>
  <si>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</si>
  <si>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</si>
  <si>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</si>
  <si>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</si>
  <si>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</si>
  <si>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</si>
  <si>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</si>
  <si>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</si>
  <si>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</si>
  <si>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</si>
  <si>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</si>
  <si>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</si>
  <si>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</si>
  <si>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</si>
  <si>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</si>
  <si>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</si>
  <si>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</si>
  <si>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</si>
  <si>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</si>
  <si>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</si>
  <si>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</si>
  <si>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</si>
  <si>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</si>
  <si>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</si>
  <si>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</si>
  <si>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</si>
  <si>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</si>
  <si>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</si>
  <si>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</si>
  <si>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</si>
  <si>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</si>
  <si>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</si>
  <si>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</si>
  <si>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</si>
  <si>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</si>
  <si>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</si>
  <si>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</si>
  <si>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</si>
  <si>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</si>
  <si>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</si>
  <si>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</si>
  <si>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</si>
  <si>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</si>
  <si>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</si>
  <si>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</si>
  <si>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</si>
  <si>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</si>
  <si>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</si>
  <si>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</si>
  <si>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</si>
  <si>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</si>
  <si>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</si>
  <si>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</si>
  <si>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</si>
  <si>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</si>
  <si>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</si>
  <si>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</si>
  <si>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</si>
  <si>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</si>
  <si>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</si>
  <si>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</si>
  <si>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</si>
  <si>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</si>
  <si>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</si>
  <si>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</si>
  <si>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</si>
  <si>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</si>
  <si>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</si>
  <si>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</si>
  <si>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</si>
  <si>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</si>
  <si>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</si>
  <si>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</si>
  <si>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</si>
  <si>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</si>
  <si>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</si>
  <si>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</si>
  <si>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</si>
  <si>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</si>
  <si>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</si>
  <si>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</si>
  <si>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</si>
  <si>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</si>
  <si>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</si>
  <si>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</si>
  <si>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</si>
  <si>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</si>
  <si>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</si>
  <si>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</si>
  <si>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</si>
  <si>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</si>
  <si>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</si>
  <si>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</si>
  <si>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</si>
  <si>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</si>
  <si>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</si>
  <si>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</si>
  <si>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</si>
  <si>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</si>
  <si>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</si>
  <si>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</si>
  <si>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</si>
  <si>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</si>
  <si>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</si>
  <si>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</si>
  <si>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</si>
  <si>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</si>
  <si>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</si>
  <si>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</si>
  <si>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</si>
  <si>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</si>
  <si>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</si>
  <si>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</si>
  <si>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</si>
  <si>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</si>
  <si>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</si>
  <si>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</si>
  <si>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</si>
  <si>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</si>
  <si>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</si>
  <si>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</si>
  <si>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</si>
  <si>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</si>
  <si>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</si>
  <si>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</si>
  <si>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</si>
  <si>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</si>
  <si>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</si>
  <si>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</si>
  <si>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</si>
  <si>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</si>
  <si>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</si>
  <si>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</si>
  <si>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</si>
  <si>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</si>
  <si>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</si>
  <si>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</si>
  <si>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</si>
  <si>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</si>
  <si>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</si>
  <si>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</si>
  <si>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</si>
  <si>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</si>
  <si>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</si>
  <si>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</si>
  <si>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</si>
  <si>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</si>
  <si>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</si>
  <si>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</si>
  <si>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</si>
  <si>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</si>
  <si>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</si>
  <si>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</si>
  <si>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</si>
  <si>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</si>
  <si>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</si>
  <si>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</si>
  <si>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</si>
  <si>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</si>
  <si>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</si>
  <si>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</si>
  <si>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</si>
  <si>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</si>
  <si>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</si>
  <si>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</si>
  <si>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</si>
  <si>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</si>
  <si>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</si>
  <si>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</si>
  <si>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</si>
  <si>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</si>
  <si>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</si>
  <si>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</si>
  <si>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</si>
  <si>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</si>
  <si>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</si>
  <si>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</si>
  <si>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</si>
  <si>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</si>
  <si>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</si>
  <si>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</si>
  <si>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</si>
  <si>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</si>
  <si>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</si>
  <si>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</si>
  <si>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</si>
  <si>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</si>
  <si>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</si>
  <si>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</si>
  <si>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</si>
  <si>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</si>
  <si>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</si>
  <si>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</si>
  <si>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</si>
  <si>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</si>
  <si>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</si>
  <si>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</si>
  <si>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</si>
  <si>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</si>
  <si>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</si>
  <si>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</si>
  <si>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</si>
  <si>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</si>
  <si>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</si>
  <si>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</si>
  <si>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</si>
  <si>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</si>
  <si>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</si>
  <si>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</si>
  <si>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</si>
  <si>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</si>
  <si>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</si>
  <si>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</si>
  <si>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</si>
  <si>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</si>
  <si>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</si>
  <si>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</si>
  <si>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</si>
  <si>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</si>
  <si>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</si>
  <si>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</si>
  <si>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</si>
  <si>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</si>
  <si>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</si>
  <si>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</si>
  <si>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</si>
  <si>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</si>
  <si>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</si>
  <si>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</si>
  <si>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</si>
  <si>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</si>
  <si>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</si>
  <si>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</si>
  <si>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</si>
  <si>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</si>
  <si>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</si>
  <si>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</si>
  <si>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</si>
  <si>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</si>
  <si>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</si>
  <si>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</si>
  <si>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</si>
  <si>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</si>
  <si>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</si>
  <si>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</si>
  <si>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</si>
  <si>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</si>
  <si>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</si>
  <si>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</si>
  <si>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</si>
  <si>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</si>
  <si>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</si>
  <si>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</si>
  <si>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</si>
  <si>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</si>
  <si>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</si>
  <si>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</si>
  <si>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</si>
  <si>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</si>
  <si>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</si>
  <si>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</si>
  <si>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</si>
  <si>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</si>
  <si>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</si>
  <si>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</si>
  <si>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</si>
  <si>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</si>
  <si>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</si>
  <si>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</si>
  <si>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</si>
  <si>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</si>
  <si>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</si>
  <si>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</si>
  <si>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</si>
  <si>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</si>
  <si>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</si>
  <si>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</si>
  <si>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</si>
  <si>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</si>
  <si>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</si>
  <si>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</si>
  <si>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</si>
  <si>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</si>
  <si>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</si>
  <si>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</si>
  <si>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</si>
  <si>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</si>
  <si>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</si>
  <si>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</si>
  <si>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</si>
  <si>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</si>
  <si>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</si>
  <si>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</si>
  <si>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</si>
  <si>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</si>
  <si>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</si>
  <si>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</si>
  <si>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</si>
  <si>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</si>
  <si>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</si>
  <si>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</si>
  <si>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</si>
  <si>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</si>
  <si>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</si>
  <si>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</si>
  <si>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</si>
  <si>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</si>
  <si>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</si>
  <si>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</si>
  <si>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</si>
  <si>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</si>
  <si>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</si>
  <si>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</si>
  <si>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</si>
  <si>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</si>
  <si>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</si>
  <si>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</si>
  <si>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</si>
  <si>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</si>
  <si>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</si>
  <si>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</si>
  <si>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</si>
  <si>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</si>
  <si>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</si>
  <si>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</si>
  <si>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</si>
  <si>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</si>
  <si>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</si>
  <si>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</si>
  <si>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</si>
  <si>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</si>
  <si>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</si>
  <si>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</si>
  <si>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</si>
  <si>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</si>
  <si>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</si>
  <si>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</si>
  <si>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</si>
  <si>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</si>
  <si>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</si>
  <si>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</si>
  <si>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</si>
  <si>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</si>
  <si>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</si>
  <si>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</si>
  <si>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</si>
  <si>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</si>
  <si>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</si>
  <si>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</si>
  <si>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</si>
  <si>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</si>
  <si>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</si>
  <si>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</si>
  <si>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</si>
  <si>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</si>
  <si>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</si>
  <si>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</si>
  <si>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</si>
  <si>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</si>
  <si>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</si>
  <si>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</si>
  <si>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</si>
  <si>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</si>
  <si>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</si>
  <si>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</si>
  <si>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</si>
  <si>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</si>
  <si>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</si>
  <si>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</si>
  <si>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</si>
  <si>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</si>
  <si>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</si>
  <si>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</si>
  <si>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</si>
  <si>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</si>
  <si>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</si>
  <si>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</si>
  <si>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</si>
  <si>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</si>
  <si>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</si>
  <si>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</si>
  <si>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</si>
  <si>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</si>
  <si>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</si>
  <si>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</si>
  <si>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</si>
  <si>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</si>
  <si>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</si>
  <si>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</si>
  <si>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</si>
  <si>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</si>
  <si>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</si>
  <si>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</si>
  <si>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</si>
  <si>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</si>
  <si>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</si>
  <si>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</si>
  <si>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</si>
  <si>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</si>
  <si>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</si>
  <si>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</si>
  <si>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</si>
  <si>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</si>
  <si>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</si>
  <si>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</si>
  <si>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</si>
  <si>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</si>
  <si>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</si>
  <si>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</si>
  <si>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</si>
  <si>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</si>
  <si>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</si>
  <si>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</si>
  <si>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</si>
  <si>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</si>
  <si>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</si>
  <si>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</si>
  <si>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</si>
  <si>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</si>
  <si>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</si>
  <si>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</si>
  <si>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</si>
  <si>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</si>
  <si>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</si>
  <si>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</si>
  <si>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</si>
  <si>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</si>
  <si>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</si>
  <si>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</si>
  <si>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</si>
  <si>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</si>
  <si>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</si>
  <si>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</si>
  <si>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</si>
  <si>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</si>
  <si>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</si>
  <si>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</si>
  <si>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</si>
  <si>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</si>
  <si>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</si>
  <si>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</si>
  <si>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</si>
  <si>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</si>
  <si>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</si>
  <si>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</si>
  <si>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</si>
  <si>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</si>
  <si>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</si>
  <si>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</si>
  <si>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</si>
  <si>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</si>
  <si>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</si>
  <si>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</si>
  <si>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</si>
  <si>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</si>
  <si>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</si>
  <si>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</si>
  <si>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</si>
  <si>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</si>
  <si>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</si>
  <si>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</si>
  <si>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</si>
  <si>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</si>
  <si>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</si>
  <si>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</si>
  <si>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</si>
  <si>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</si>
  <si>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</si>
  <si>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</si>
  <si>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</si>
  <si>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</si>
  <si>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</si>
  <si>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</si>
  <si>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</si>
  <si>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</si>
  <si>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</si>
  <si>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</si>
  <si>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</si>
  <si>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</si>
  <si>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</si>
  <si>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</si>
  <si>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</si>
  <si>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</si>
  <si>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</si>
  <si>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</si>
  <si>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</si>
  <si>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</si>
  <si>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</si>
  <si>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</si>
  <si>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</si>
  <si>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</si>
  <si>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</si>
  <si>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</si>
  <si>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</si>
  <si>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</si>
  <si>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</si>
  <si>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</si>
  <si>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</si>
  <si>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</si>
  <si>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</si>
  <si>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</si>
  <si>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</si>
  <si>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</si>
  <si>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</si>
  <si>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</si>
  <si>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</si>
  <si>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</si>
  <si>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</si>
  <si>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</si>
  <si>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</si>
  <si>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</si>
  <si>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</si>
  <si>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</si>
  <si>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</si>
  <si>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</si>
  <si>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</si>
  <si>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</si>
  <si>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</si>
  <si>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</si>
  <si>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</si>
  <si>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</si>
  <si>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</si>
  <si>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</si>
  <si>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</si>
  <si>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</si>
  <si>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</si>
  <si>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</si>
  <si>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</si>
  <si>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</si>
  <si>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</si>
  <si>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</si>
  <si>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</si>
  <si>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</si>
  <si>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</si>
  <si>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</si>
  <si>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</si>
  <si>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</si>
  <si>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</si>
  <si>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</si>
  <si>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</si>
  <si>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</si>
  <si>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</si>
  <si>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</si>
  <si>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</si>
  <si>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</si>
  <si>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</si>
  <si>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</si>
  <si>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</si>
  <si>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</si>
  <si>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</si>
  <si>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</si>
  <si>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</si>
  <si>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</si>
  <si>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</si>
  <si>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</si>
  <si>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</si>
  <si>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</si>
  <si>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</si>
  <si>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</si>
  <si>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</si>
  <si>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</si>
  <si>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</si>
  <si>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</si>
  <si>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</si>
  <si>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</si>
  <si>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</si>
  <si>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</si>
  <si>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</si>
  <si>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</si>
  <si>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</si>
  <si>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</si>
  <si>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</si>
  <si>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</si>
  <si>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</si>
  <si>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</si>
  <si>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</si>
  <si>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</si>
  <si>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</si>
  <si>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</si>
  <si>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</si>
  <si>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</si>
  <si>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</si>
  <si>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</si>
  <si>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</si>
  <si>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</si>
  <si>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</si>
  <si>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</si>
  <si>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</si>
  <si>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</si>
  <si>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</si>
  <si>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</si>
  <si>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</si>
  <si>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</si>
  <si>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</si>
  <si>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</si>
  <si>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</si>
  <si>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</si>
  <si>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</si>
  <si>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</si>
  <si>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</si>
  <si>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</si>
  <si>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</si>
  <si>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</si>
  <si>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</si>
  <si>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</si>
  <si>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</si>
  <si>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</si>
  <si>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</si>
  <si>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</si>
  <si>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</si>
  <si>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</si>
  <si>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</si>
  <si>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</si>
  <si>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</si>
  <si>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</si>
  <si>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</si>
  <si>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</si>
  <si>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</si>
  <si>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</si>
  <si>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</si>
  <si>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</si>
  <si>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</si>
  <si>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</si>
  <si>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</si>
  <si>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</si>
  <si>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</si>
  <si>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</si>
  <si>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</si>
  <si>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</si>
  <si>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</si>
  <si>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</si>
  <si>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</si>
  <si>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</si>
  <si>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</si>
  <si>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</si>
  <si>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</si>
  <si>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</si>
  <si>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</si>
  <si>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</si>
  <si>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</si>
  <si>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</si>
  <si>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</si>
  <si>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</si>
  <si>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</si>
  <si>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</si>
  <si>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</si>
  <si>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</si>
  <si>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</si>
  <si>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</si>
  <si>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</si>
  <si>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</si>
  <si>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</si>
  <si>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</si>
  <si>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</si>
  <si>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</si>
  <si>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</si>
  <si>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</si>
  <si>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</si>
  <si>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</si>
  <si>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</si>
  <si>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</si>
  <si>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</si>
  <si>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</si>
  <si>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</si>
  <si>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</si>
  <si>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</si>
  <si>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</si>
  <si>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</si>
  <si>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</si>
  <si>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</si>
  <si>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</si>
  <si>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</si>
  <si>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</si>
  <si>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</si>
  <si>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</si>
  <si>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</si>
  <si>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</si>
  <si>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</si>
  <si>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</si>
  <si>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</si>
  <si>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</si>
  <si>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</si>
  <si>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</si>
  <si>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</si>
  <si>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</si>
  <si>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</si>
  <si>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</si>
  <si>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</si>
  <si>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</si>
  <si>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</si>
  <si>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</si>
  <si>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</si>
  <si>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</si>
  <si>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</si>
  <si>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</si>
  <si>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</si>
  <si>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</si>
  <si>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</si>
  <si>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</si>
  <si>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</si>
  <si>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</si>
  <si>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</si>
  <si>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</si>
  <si>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</si>
  <si>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</si>
  <si>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</si>
  <si>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</si>
  <si>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</si>
  <si>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</si>
  <si>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</si>
  <si>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</si>
  <si>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</si>
  <si>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</si>
  <si>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</si>
  <si>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</si>
  <si>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</si>
  <si>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</si>
  <si>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</si>
  <si>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</si>
  <si>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</si>
  <si>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</si>
  <si>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</si>
  <si>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</si>
  <si>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</si>
  <si>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</si>
  <si>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</si>
  <si>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</si>
  <si>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</si>
  <si>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</si>
  <si>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</si>
  <si>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</si>
  <si>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</si>
  <si>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</si>
  <si>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</si>
  <si>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</si>
  <si>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</si>
  <si>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</si>
  <si>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</si>
  <si>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</si>
  <si>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</si>
  <si>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</si>
  <si>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</si>
  <si>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</si>
  <si>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</si>
  <si>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</si>
  <si>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</si>
  <si>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</si>
  <si>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</si>
  <si>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</si>
  <si>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</si>
  <si>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</si>
  <si>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</si>
  <si>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</si>
  <si>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</si>
  <si>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</si>
  <si>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</si>
  <si>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</si>
  <si>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</si>
  <si>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</si>
  <si>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</si>
  <si>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</si>
  <si>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</si>
  <si>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</si>
  <si>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</si>
  <si>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</si>
  <si>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</si>
  <si>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</si>
  <si>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</si>
  <si>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</si>
  <si>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</si>
  <si>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</si>
  <si>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</si>
  <si>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</si>
  <si>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</si>
  <si>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</si>
  <si>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</si>
  <si>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</si>
  <si>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</si>
  <si>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</si>
  <si>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</si>
  <si>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</si>
  <si>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</si>
  <si>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</si>
  <si>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</si>
  <si>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</si>
  <si>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</si>
  <si>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</si>
  <si>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</si>
  <si>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</si>
  <si>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</si>
  <si>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</si>
  <si>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</si>
  <si>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</si>
  <si>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</si>
  <si>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</si>
  <si>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</si>
  <si>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</si>
  <si>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</si>
  <si>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</si>
  <si>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</si>
  <si>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</si>
  <si>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</si>
  <si>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</si>
  <si>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</si>
  <si>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</si>
  <si>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</si>
  <si>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</si>
  <si>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</si>
  <si>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</si>
  <si>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</si>
  <si>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</si>
  <si>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</si>
  <si>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</si>
  <si>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</si>
  <si>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</si>
  <si>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</si>
  <si>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</si>
  <si>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</si>
  <si>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</si>
  <si>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</si>
  <si>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</si>
  <si>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</si>
  <si>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</si>
  <si>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</si>
  <si>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</si>
  <si>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</si>
  <si>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</si>
  <si>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</si>
  <si>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</si>
  <si>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</si>
  <si>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</si>
  <si>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</si>
  <si>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</si>
  <si>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</si>
  <si>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</si>
  <si>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</si>
  <si>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</si>
  <si>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</si>
  <si>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</si>
  <si>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</si>
  <si>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</si>
  <si>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</si>
  <si>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</si>
  <si>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</si>
  <si>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</si>
  <si>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</si>
  <si>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</si>
  <si>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</si>
  <si>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</si>
  <si>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</si>
  <si>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</si>
  <si>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</si>
  <si>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</si>
  <si>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</si>
  <si>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</si>
  <si>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</si>
  <si>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</si>
  <si>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</si>
  <si>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</si>
  <si>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</si>
  <si>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</si>
  <si>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</si>
  <si>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</si>
  <si>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</si>
  <si>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</si>
  <si>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</si>
  <si>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</si>
  <si>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</si>
  <si>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</si>
  <si>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</si>
  <si>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</si>
  <si>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</si>
  <si>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</si>
  <si>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</si>
  <si>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</si>
  <si>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</si>
  <si>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</si>
  <si>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</si>
  <si>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</si>
  <si>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</si>
  <si>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</si>
  <si>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</si>
  <si>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</si>
  <si>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</si>
  <si>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</si>
  <si>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</si>
  <si>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</si>
  <si>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</si>
  <si>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</si>
  <si>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</si>
  <si>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</si>
  <si>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</si>
  <si>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</si>
  <si>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</si>
  <si>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</si>
  <si>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</si>
  <si>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</si>
  <si>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</si>
  <si>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</si>
  <si>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</si>
  <si>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</si>
  <si>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</si>
  <si>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</si>
  <si>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</si>
  <si>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</si>
  <si>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</si>
  <si>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</si>
  <si>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</si>
  <si>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</si>
  <si>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</si>
  <si>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</si>
  <si>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</si>
  <si>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</si>
  <si>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</si>
  <si>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</si>
  <si>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</si>
  <si>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</si>
  <si>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</si>
  <si>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</si>
  <si>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</si>
  <si>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</si>
  <si>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</si>
  <si>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</si>
  <si>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</si>
  <si>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</si>
  <si>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</si>
  <si>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</si>
  <si>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</si>
  <si>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</si>
  <si>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</si>
  <si>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</si>
  <si>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</si>
  <si>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</si>
  <si>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</si>
  <si>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</si>
  <si>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</si>
  <si>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</si>
  <si>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</si>
  <si>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</si>
  <si>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</si>
  <si>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</si>
  <si>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</si>
  <si>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</si>
  <si>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</si>
  <si>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</si>
  <si>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</si>
  <si>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</si>
  <si>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</si>
  <si>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</si>
  <si>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</si>
  <si>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</si>
  <si>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</si>
  <si>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</si>
  <si>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</si>
  <si>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</si>
  <si>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</si>
  <si>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</si>
  <si>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</si>
  <si>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</si>
  <si>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</si>
  <si>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</si>
  <si>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</si>
  <si>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</si>
  <si>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</si>
  <si>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</si>
  <si>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</si>
  <si>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</si>
  <si>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</si>
  <si>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</si>
  <si>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</si>
  <si>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</si>
  <si>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</si>
  <si>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</si>
  <si>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</si>
  <si>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</si>
  <si>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</si>
  <si>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</si>
  <si>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</si>
  <si>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</si>
  <si>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</si>
  <si>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</si>
  <si>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</si>
  <si>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</si>
  <si>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</si>
  <si>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</si>
  <si>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</si>
  <si>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</si>
  <si>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</si>
  <si>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</si>
  <si>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</si>
  <si>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</si>
  <si>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</si>
  <si>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</si>
  <si>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</si>
  <si>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</si>
  <si>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</si>
  <si>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</si>
  <si>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</si>
  <si>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</si>
  <si>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</si>
  <si>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</si>
  <si>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</si>
  <si>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</si>
  <si>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</si>
  <si>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</si>
  <si>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</si>
  <si>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</si>
  <si>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</si>
  <si>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</si>
  <si>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</si>
  <si>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</si>
  <si>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</si>
  <si>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</si>
  <si>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</si>
  <si>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</si>
  <si>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</si>
  <si>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</si>
  <si>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</si>
  <si>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</si>
  <si>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</si>
  <si>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</si>
  <si>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</si>
  <si>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</si>
  <si>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</si>
  <si>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</si>
  <si>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</si>
  <si>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</si>
  <si>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</si>
  <si>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</si>
  <si>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</si>
  <si>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</si>
  <si>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</si>
  <si>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</si>
  <si>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</si>
  <si>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</si>
  <si>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</si>
  <si>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</si>
  <si>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</si>
  <si>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</si>
  <si>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</si>
  <si>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</si>
  <si>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</si>
  <si>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</si>
  <si>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</si>
  <si>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</si>
  <si>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</si>
  <si>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</si>
  <si>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</si>
  <si>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</si>
  <si>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</si>
  <si>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</si>
  <si>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</si>
  <si>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</si>
  <si>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</si>
  <si>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</si>
  <si>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</si>
  <si>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</si>
  <si>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</si>
  <si>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</si>
  <si>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</si>
  <si>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</si>
  <si>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</si>
  <si>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</si>
  <si>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</si>
  <si>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</si>
  <si>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</si>
  <si>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</si>
  <si>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</si>
  <si>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</si>
  <si>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</si>
  <si>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</si>
  <si>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</si>
  <si>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</si>
  <si>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</si>
  <si>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</si>
  <si>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</si>
  <si>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</si>
  <si>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</si>
  <si>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</si>
  <si>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</si>
  <si>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</si>
  <si>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</si>
  <si>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</si>
  <si>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</si>
  <si>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</si>
  <si>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</si>
  <si>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</si>
  <si>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</si>
  <si>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</si>
  <si>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</si>
  <si>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</si>
  <si>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</si>
  <si>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</si>
  <si>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</si>
  <si>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</si>
  <si>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</si>
  <si>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</si>
  <si>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</si>
  <si>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</si>
  <si>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</si>
  <si>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</si>
  <si>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</si>
  <si>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</si>
  <si>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</si>
  <si>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</si>
  <si>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</si>
  <si>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</si>
  <si>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</si>
  <si>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</si>
  <si>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</si>
  <si>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</si>
  <si>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</si>
  <si>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</si>
  <si>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</si>
  <si>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</si>
  <si>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</si>
  <si>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</si>
  <si>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</si>
  <si>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</si>
  <si>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</si>
  <si>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</si>
  <si>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</si>
  <si>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</si>
  <si>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</si>
  <si>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</si>
  <si>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</si>
  <si>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</si>
  <si>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</si>
  <si>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</si>
  <si>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</si>
  <si>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</si>
  <si>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</si>
  <si>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</si>
  <si>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</si>
  <si>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</si>
  <si>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</si>
  <si>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</si>
  <si>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</si>
  <si>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</si>
  <si>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</si>
  <si>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</si>
  <si>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</si>
  <si>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</si>
  <si>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</si>
  <si>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</si>
  <si>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</si>
  <si>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</si>
  <si>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</si>
  <si>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</si>
  <si>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</si>
  <si>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</si>
  <si>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</si>
  <si>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</si>
  <si>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</si>
  <si>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</si>
  <si>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</si>
  <si>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</si>
  <si>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</si>
  <si>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</si>
  <si>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</si>
  <si>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</si>
  <si>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</si>
  <si>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</si>
  <si>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</si>
  <si>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</si>
  <si>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</si>
  <si>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</si>
  <si>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</si>
  <si>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</si>
  <si>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</si>
  <si>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</si>
  <si>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</si>
  <si>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</si>
  <si>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</si>
  <si>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</si>
  <si>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</si>
  <si>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</si>
  <si>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</si>
  <si>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</si>
  <si>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</si>
  <si>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</si>
  <si>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</si>
  <si>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</si>
  <si>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</si>
  <si>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</si>
  <si>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</si>
  <si>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</si>
  <si>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</si>
  <si>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</si>
  <si>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</si>
  <si>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</si>
  <si>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</si>
  <si>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</si>
  <si>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</si>
  <si>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</si>
  <si>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</si>
  <si>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</si>
  <si>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</si>
  <si>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</si>
  <si>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</si>
  <si>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</si>
  <si>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</si>
  <si>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</si>
  <si>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</si>
  <si>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</si>
  <si>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</si>
  <si>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</si>
  <si>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</si>
  <si>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</si>
  <si>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</si>
  <si>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</si>
  <si>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</si>
  <si>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</si>
  <si>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</si>
  <si>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</si>
  <si>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</si>
  <si>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</si>
  <si>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</si>
  <si>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</si>
  <si>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</si>
  <si>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</si>
  <si>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</si>
  <si>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</si>
  <si>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</si>
  <si>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</si>
  <si>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</si>
  <si>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</si>
  <si>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</si>
  <si>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</si>
  <si>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</si>
  <si>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</si>
  <si>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</si>
  <si>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</si>
  <si>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</si>
  <si>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</si>
  <si>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</si>
  <si>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</si>
  <si>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</si>
  <si>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</si>
  <si>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</si>
  <si>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</si>
  <si>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</si>
  <si>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</si>
  <si>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</si>
  <si>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</si>
  <si>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</si>
  <si>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</si>
  <si>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</si>
  <si>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</si>
  <si>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</si>
  <si>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</si>
  <si>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</si>
  <si>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</si>
  <si>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</si>
  <si>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</si>
  <si>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</si>
  <si>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</si>
  <si>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</si>
  <si>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</si>
  <si>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</si>
  <si>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</si>
  <si>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</si>
  <si>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</si>
  <si>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</si>
  <si>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</si>
  <si>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</si>
  <si>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</si>
  <si>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</si>
  <si>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</si>
  <si>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</si>
  <si>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</si>
  <si>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</si>
  <si>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</si>
  <si>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</si>
  <si>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</si>
  <si>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</si>
  <si>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</si>
  <si>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</si>
  <si>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</si>
  <si>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</si>
  <si>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</si>
  <si>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</si>
  <si>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</si>
  <si>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</si>
  <si>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</si>
  <si>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</si>
  <si>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</si>
  <si>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</si>
  <si>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</si>
  <si>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</si>
  <si>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</si>
  <si>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</si>
  <si>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</si>
  <si>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</si>
  <si>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</si>
  <si>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</si>
  <si>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</si>
  <si>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</si>
  <si>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</si>
  <si>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</si>
  <si>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</si>
  <si>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</si>
  <si>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</si>
  <si>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</si>
  <si>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</si>
  <si>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</si>
  <si>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</si>
  <si>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</si>
  <si>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</si>
  <si>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</si>
  <si>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</si>
  <si>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</si>
  <si>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</si>
  <si>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</si>
  <si>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</si>
  <si>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</si>
  <si>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</si>
  <si>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</si>
  <si>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</si>
  <si>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</si>
  <si>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</si>
  <si>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</si>
  <si>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</si>
  <si>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</si>
  <si>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</si>
  <si>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</si>
  <si>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</si>
  <si>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</si>
  <si>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</si>
  <si>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</si>
  <si>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</si>
  <si>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</si>
  <si>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</si>
  <si>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</si>
  <si>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</si>
  <si>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</si>
  <si>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</si>
  <si>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</si>
  <si>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</si>
  <si>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</si>
  <si>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</si>
  <si>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</si>
  <si>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</si>
  <si>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</si>
  <si>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</si>
  <si>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</si>
  <si>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</si>
  <si>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</si>
  <si>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</si>
  <si>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</si>
  <si>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</si>
  <si>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</si>
  <si>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</si>
  <si>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</si>
  <si>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</si>
  <si>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</si>
  <si>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</si>
  <si>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</si>
  <si>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</si>
  <si>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</si>
  <si>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</si>
  <si>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</si>
  <si>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</si>
  <si>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</si>
  <si>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</si>
  <si>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</si>
  <si>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</si>
  <si>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</si>
  <si>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</si>
  <si>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</si>
  <si>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</si>
  <si>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</si>
  <si>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</si>
  <si>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</si>
  <si>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</si>
  <si>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</si>
  <si>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</si>
  <si>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</si>
  <si>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</si>
  <si>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</si>
  <si>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</si>
  <si>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</si>
  <si>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</si>
  <si>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</si>
  <si>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</si>
  <si>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</si>
  <si>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</si>
  <si>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</si>
  <si>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</si>
  <si>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</si>
  <si>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</si>
  <si>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</si>
  <si>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</si>
  <si>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</si>
  <si>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</si>
  <si>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</si>
  <si>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</si>
  <si>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</si>
  <si>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</si>
  <si>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</si>
  <si>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</si>
  <si>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</si>
  <si>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</si>
  <si>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</si>
  <si>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</si>
  <si>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</si>
  <si>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</si>
  <si>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</si>
  <si>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</si>
  <si>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</si>
  <si>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</si>
  <si>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</si>
  <si>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</si>
  <si>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</si>
  <si>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</si>
  <si>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</si>
  <si>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</si>
  <si>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</si>
  <si>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</si>
  <si>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</si>
  <si>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</si>
  <si>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</si>
  <si>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</si>
  <si>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</si>
  <si>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</si>
  <si>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</si>
  <si>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</si>
  <si>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</si>
  <si>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</si>
  <si>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</si>
  <si>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</si>
  <si>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</si>
  <si>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</si>
  <si>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</si>
  <si>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</si>
  <si>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</si>
  <si>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</si>
  <si>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</si>
  <si>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</si>
  <si>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</si>
  <si>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</si>
  <si>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</si>
  <si>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</si>
  <si>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</si>
  <si>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</si>
  <si>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</si>
  <si>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</si>
  <si>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</si>
  <si>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</si>
  <si>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</si>
  <si>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</si>
  <si>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</si>
  <si>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</si>
  <si>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</si>
  <si>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</si>
  <si>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</si>
  <si>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</si>
  <si>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</si>
  <si>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</si>
  <si>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</si>
  <si>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</si>
  <si>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</si>
  <si>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</si>
  <si>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</si>
  <si>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</si>
  <si>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</si>
  <si>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</si>
  <si>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</si>
  <si>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</si>
  <si>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</si>
  <si>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</si>
  <si>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</si>
  <si>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</si>
  <si>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</si>
  <si>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</si>
  <si>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</si>
  <si>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</si>
  <si>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</si>
  <si>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</si>
  <si>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</si>
  <si>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</si>
  <si>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</si>
  <si>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</si>
  <si>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</si>
  <si>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</si>
  <si>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</si>
  <si>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</si>
  <si>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</si>
  <si>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</si>
  <si>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</si>
  <si>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</si>
  <si>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</si>
  <si>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</si>
  <si>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</si>
  <si>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</si>
  <si>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</si>
  <si>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</si>
  <si>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</si>
  <si>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</si>
  <si>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</si>
  <si>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</si>
  <si>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</si>
  <si>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</si>
  <si>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</si>
  <si>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</si>
  <si>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</si>
  <si>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</si>
  <si>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</si>
  <si>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</si>
  <si>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</si>
  <si>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</si>
  <si>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</si>
  <si>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</si>
  <si>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</si>
  <si>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</si>
  <si>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</si>
  <si>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</si>
  <si>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</si>
  <si>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</si>
  <si>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</si>
  <si>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</si>
  <si>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</si>
  <si>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</si>
  <si>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</si>
  <si>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</si>
  <si>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</si>
  <si>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</si>
  <si>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</si>
  <si>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</si>
  <si>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</si>
  <si>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</si>
  <si>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</si>
  <si>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</si>
  <si>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</si>
  <si>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</si>
  <si>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</si>
  <si>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</si>
  <si>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</si>
  <si>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</si>
  <si>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</si>
  <si>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</si>
  <si>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</si>
  <si>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</si>
  <si>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</si>
  <si>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</si>
  <si>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</si>
  <si>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</si>
  <si>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</si>
  <si>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</si>
  <si>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</si>
  <si>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</si>
  <si>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</si>
  <si>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</si>
  <si>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</si>
  <si>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</si>
  <si>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</si>
  <si>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</si>
  <si>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</si>
  <si>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</si>
  <si>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</si>
  <si>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</si>
  <si>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</si>
  <si>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</si>
  <si>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</si>
  <si>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</si>
  <si>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</si>
  <si>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</si>
  <si>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</si>
  <si>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</si>
  <si>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</si>
  <si>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</si>
  <si>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</si>
  <si>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</si>
  <si>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</si>
  <si>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</si>
  <si>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</si>
  <si>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</si>
  <si>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</si>
  <si>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</si>
  <si>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</si>
  <si>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</si>
  <si>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</si>
  <si>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</si>
  <si>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</si>
  <si>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</si>
  <si>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</si>
  <si>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</si>
  <si>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</si>
  <si>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</si>
  <si>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</si>
  <si>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</si>
  <si>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</si>
  <si>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</si>
  <si>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</si>
  <si>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</si>
  <si>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</si>
  <si>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</si>
  <si>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</si>
  <si>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</si>
  <si>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</si>
  <si>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</si>
  <si>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</si>
  <si>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</si>
  <si>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</si>
  <si>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</si>
  <si>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</si>
  <si>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</si>
  <si>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</si>
  <si>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</si>
  <si>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</si>
  <si>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</si>
  <si>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</si>
  <si>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</si>
  <si>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</si>
  <si>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</si>
  <si>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</si>
  <si>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</si>
  <si>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</si>
  <si>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</si>
  <si>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</si>
  <si>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</si>
  <si>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</si>
  <si>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</si>
  <si>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</si>
  <si>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</si>
  <si>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</si>
  <si>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</si>
  <si>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</si>
  <si>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</si>
  <si>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</si>
  <si>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</si>
  <si>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</si>
  <si>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</si>
  <si>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</si>
  <si>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</si>
  <si>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</si>
  <si>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</si>
  <si>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</si>
  <si>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</si>
  <si>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</si>
  <si>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</si>
  <si>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</si>
  <si>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</si>
  <si>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</si>
  <si>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</si>
  <si>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</si>
  <si>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</si>
  <si>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</si>
  <si>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</si>
  <si>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</si>
  <si>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</si>
  <si>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</si>
  <si>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</si>
  <si>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</si>
  <si>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</si>
  <si>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</si>
  <si>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</si>
  <si>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</si>
  <si>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</si>
  <si>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</si>
  <si>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</si>
  <si>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</si>
  <si>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</si>
  <si>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</si>
  <si>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</si>
  <si>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</si>
  <si>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</si>
  <si>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</si>
  <si>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</si>
  <si>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</si>
  <si>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</si>
  <si>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</si>
  <si>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</si>
  <si>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</si>
  <si>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</si>
  <si>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</si>
  <si>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</si>
  <si>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</si>
  <si>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</si>
  <si>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</si>
  <si>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</si>
  <si>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</si>
  <si>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</si>
  <si>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</si>
  <si>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</si>
  <si>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</si>
  <si>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</si>
  <si>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</si>
  <si>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</si>
  <si>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</si>
  <si>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</si>
  <si>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</si>
  <si>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</si>
  <si>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</si>
  <si>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</si>
  <si>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</si>
  <si>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</si>
  <si>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</si>
  <si>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</si>
  <si>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</si>
  <si>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</si>
  <si>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</si>
  <si>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</si>
  <si>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</si>
  <si>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</si>
  <si>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</si>
  <si>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</si>
  <si>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</si>
  <si>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</si>
  <si>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</si>
  <si>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</si>
  <si>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</si>
  <si>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</si>
  <si>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</si>
  <si>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</si>
  <si>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</si>
  <si>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</si>
  <si>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</si>
  <si>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</si>
  <si>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</si>
  <si>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</si>
  <si>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</si>
  <si>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</si>
  <si>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</si>
  <si>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</si>
  <si>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</si>
  <si>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</si>
  <si>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</si>
  <si>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</si>
  <si>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</si>
  <si>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</si>
  <si>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</si>
  <si>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</si>
  <si>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</si>
  <si>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</si>
  <si>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</si>
  <si>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</si>
  <si>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</si>
  <si>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</si>
  <si>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</si>
  <si>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</si>
  <si>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</si>
  <si>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</si>
  <si>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</si>
  <si>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</si>
  <si>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</si>
  <si>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</si>
  <si>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</si>
  <si>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</si>
  <si>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</si>
  <si>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企业</t>
  </si>
  <si>
    <t>地上</t>
  </si>
  <si>
    <t>是</t>
  </si>
  <si>
    <t>1层</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</si>
  <si>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</si>
  <si>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</si>
  <si>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</si>
  <si>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</si>
  <si>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</si>
  <si>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</si>
  <si>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</si>
  <si>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</si>
  <si>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</si>
  <si>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</si>
  <si>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</si>
  <si>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</si>
  <si>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</si>
  <si>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</si>
  <si>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</si>
  <si>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</si>
  <si>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</si>
  <si>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</si>
  <si>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</si>
  <si>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</si>
  <si>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</si>
  <si>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</si>
  <si>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</si>
  <si>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</si>
  <si>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</si>
  <si>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</si>
  <si>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</si>
  <si>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</si>
  <si>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</si>
  <si>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</si>
  <si>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</si>
  <si>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</si>
  <si>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</si>
  <si>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</si>
  <si>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</si>
  <si>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</si>
  <si>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</si>
  <si>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</si>
  <si>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</si>
  <si>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</si>
  <si>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</si>
  <si>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</si>
  <si>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</si>
  <si>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</si>
  <si>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</si>
  <si>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</si>
  <si>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</si>
  <si>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</si>
  <si>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</si>
  <si>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</si>
  <si>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</si>
  <si>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</si>
  <si>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</si>
  <si>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</si>
  <si>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</si>
  <si>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</si>
  <si>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</si>
  <si>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</si>
  <si>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</si>
  <si>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</si>
  <si>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</si>
  <si>
    <t>室外工程</t>
    <phoneticPr fontId="3" type="noConversion"/>
  </si>
  <si>
    <r>
      <t>1</t>
    </r>
    <r>
      <rPr>
        <sz val="10"/>
        <color indexed="8"/>
        <rFont val="宋体"/>
        <family val="3"/>
        <charset val="134"/>
      </rPr>
      <t>号</t>
    </r>
    <phoneticPr fontId="3" type="noConversion"/>
  </si>
  <si>
    <t>建筑物价值</t>
  </si>
  <si>
    <t>楼号</t>
    <phoneticPr fontId="3" type="noConversion"/>
  </si>
  <si>
    <t>层数</t>
    <phoneticPr fontId="3" type="noConversion"/>
  </si>
  <si>
    <t>面积</t>
    <phoneticPr fontId="3" type="noConversion"/>
  </si>
  <si>
    <t>单方</t>
    <phoneticPr fontId="3" type="noConversion"/>
  </si>
  <si>
    <t>租金</t>
    <phoneticPr fontId="3" type="noConversion"/>
  </si>
  <si>
    <t>总额</t>
    <phoneticPr fontId="3" type="noConversion"/>
  </si>
  <si>
    <r>
      <t>2</t>
    </r>
    <r>
      <rPr>
        <sz val="11"/>
        <color indexed="8"/>
        <rFont val="宋体"/>
        <family val="3"/>
        <charset val="134"/>
      </rPr>
      <t>号厂房</t>
    </r>
    <phoneticPr fontId="3" type="noConversion"/>
  </si>
  <si>
    <t>长</t>
    <phoneticPr fontId="3" type="noConversion"/>
  </si>
  <si>
    <t>宽</t>
    <phoneticPr fontId="3" type="noConversion"/>
  </si>
  <si>
    <t>厂房面积</t>
    <phoneticPr fontId="3" type="noConversion"/>
  </si>
  <si>
    <t>办公面积</t>
    <phoneticPr fontId="3" type="noConversion"/>
  </si>
  <si>
    <t>综合租金</t>
    <phoneticPr fontId="3" type="noConversion"/>
  </si>
  <si>
    <t>地块名称</t>
  </si>
  <si>
    <t>城市</t>
  </si>
  <si>
    <t>建设用地面积(㎡)</t>
  </si>
  <si>
    <t>容积率</t>
  </si>
  <si>
    <t>出让方式</t>
  </si>
  <si>
    <t>详细规划</t>
  </si>
  <si>
    <t>成交时间</t>
  </si>
  <si>
    <t>成交价(万元)</t>
  </si>
  <si>
    <t>成交每亩价(万元/亩)</t>
  </si>
  <si>
    <t>成交楼面价(元/㎡)</t>
  </si>
  <si>
    <t>溢价率(%)</t>
  </si>
  <si>
    <t>出让年限(年)</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</si>
  <si>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</si>
  <si>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</si>
  <si>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</si>
  <si>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</si>
  <si>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</si>
  <si>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</si>
  <si>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</si>
  <si>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</si>
  <si>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</si>
  <si>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</si>
  <si>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</si>
  <si>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</si>
  <si>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</si>
  <si>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t>规划建筑面积</t>
    <phoneticPr fontId="134" type="noConversion"/>
  </si>
  <si>
    <t>年期修正修正</t>
    <phoneticPr fontId="134" type="noConversion"/>
  </si>
  <si>
    <t>容积率修正</t>
    <phoneticPr fontId="134" type="noConversion"/>
  </si>
  <si>
    <t>建设成本</t>
    <phoneticPr fontId="134" type="noConversion"/>
  </si>
  <si>
    <t>与级别开发程度不一致</t>
  </si>
  <si>
    <t>计容面积</t>
    <phoneticPr fontId="134" type="noConversion"/>
  </si>
  <si>
    <r>
      <rPr>
        <sz val="10"/>
        <color theme="1"/>
        <rFont val="宋体"/>
        <family val="3"/>
        <charset val="134"/>
      </rPr>
      <t>按计容面积分摊</t>
    </r>
    <phoneticPr fontId="134" type="noConversion"/>
  </si>
  <si>
    <r>
      <rPr>
        <sz val="10"/>
        <color theme="1"/>
        <rFont val="宋体"/>
        <family val="3"/>
        <charset val="134"/>
      </rPr>
      <t>建筑物价值</t>
    </r>
    <phoneticPr fontId="134" type="noConversion"/>
  </si>
  <si>
    <r>
      <rPr>
        <sz val="10"/>
        <color theme="1"/>
        <rFont val="宋体"/>
        <family val="3"/>
        <charset val="134"/>
      </rPr>
      <t>总值</t>
    </r>
    <phoneticPr fontId="134" type="noConversion"/>
  </si>
  <si>
    <r>
      <rPr>
        <sz val="10"/>
        <color theme="1"/>
        <rFont val="宋体"/>
        <family val="3"/>
        <charset val="134"/>
      </rPr>
      <t>单价</t>
    </r>
    <phoneticPr fontId="134" type="noConversion"/>
  </si>
  <si>
    <r>
      <rPr>
        <sz val="10"/>
        <color rgb="FF000000"/>
        <rFont val="Arial Unicode MS"/>
        <family val="2"/>
        <charset val="134"/>
      </rPr>
      <t>土地价值</t>
    </r>
    <phoneticPr fontId="134" type="noConversion"/>
  </si>
  <si>
    <t>非生产用房</t>
  </si>
  <si>
    <t>成本法 (元)</t>
  </si>
  <si>
    <t>收益法 (元)</t>
  </si>
  <si>
    <t>经济技术开发区兴海二街5好远1号楼等</t>
    <phoneticPr fontId="3" type="noConversion"/>
  </si>
  <si>
    <t>Ⅶ-亦1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</si>
</sst>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269" fillId="0" borderId="82" xfId="0" applyFont="1" applyBorder="1" applyAlignment="1">
      <alignment horizontal="justify" vertical="center"/>
    </xf>
    <xf numFmtId="0" fontId="269" fillId="0" borderId="65" xfId="0" applyFont="1" applyBorder="1" applyAlignment="1">
      <alignment horizontal="justify" vertical="center"/>
    </xf>
    <xf numFmtId="0" fontId="269" fillId="0" borderId="65" xfId="0" applyFont="1" applyBorder="1" applyAlignment="1">
      <alignment horizontal="justify" vertical="center" wrapText="1"/>
    </xf>
    <xf numFmtId="0" fontId="269" fillId="0" borderId="81" xfId="0" applyFont="1" applyBorder="1" applyAlignment="1">
      <alignment horizontal="justify" vertical="center"/>
    </xf>
    <xf numFmtId="0" fontId="269" fillId="0" borderId="43" xfId="0" applyFont="1" applyBorder="1" applyAlignment="1">
      <alignment horizontal="justify" vertical="center"/>
    </xf>
    <xf numFmtId="0" fontId="269" fillId="0" borderId="43" xfId="0" applyFont="1" applyBorder="1" applyAlignment="1">
      <alignment horizontal="justify" vertical="center" wrapText="1"/>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97"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left" vertical="center" wrapText="1"/>
      <protection locked="0"/>
    </xf>
    <xf numFmtId="0" fontId="4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6" fontId="47" fillId="12" borderId="1" xfId="0" applyNumberFormat="1" applyFont="1" applyFill="1" applyBorder="1" applyAlignment="1" applyProtection="1">
      <alignment horizontal="left" vertical="center"/>
      <protection locked="0"/>
    </xf>
    <xf numFmtId="2" fontId="47" fillId="12" borderId="1" xfId="0" applyNumberFormat="1" applyFont="1" applyFill="1" applyBorder="1" applyAlignment="1" applyProtection="1">
      <alignment horizontal="left" vertical="center"/>
      <protection locked="0"/>
    </xf>
    <xf numFmtId="0" fontId="128" fillId="12" borderId="1" xfId="0" applyFont="1" applyFill="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107" fillId="0" borderId="0" xfId="0" applyNumberFormat="1" applyFont="1" applyAlignment="1">
      <alignment horizontal="left"/>
    </xf>
    <xf numFmtId="14" fontId="107" fillId="0" borderId="0" xfId="0" applyNumberFormat="1" applyFont="1" applyAlignment="1">
      <alignment horizontal="left"/>
    </xf>
    <xf numFmtId="0" fontId="107" fillId="0" borderId="0" xfId="0" applyFont="1" applyAlignment="1">
      <alignment horizontal="left" vertical="center"/>
    </xf>
    <xf numFmtId="1" fontId="107" fillId="0" borderId="0" xfId="0" applyNumberFormat="1" applyFont="1" applyAlignment="1">
      <alignment horizontal="left"/>
    </xf>
    <xf numFmtId="1" fontId="107" fillId="18" borderId="0" xfId="0" applyNumberFormat="1" applyFont="1" applyFill="1" applyAlignment="1">
      <alignment horizontal="left"/>
    </xf>
    <xf numFmtId="176" fontId="47" fillId="18" borderId="1" xfId="0" applyNumberFormat="1" applyFont="1" applyFill="1" applyBorder="1" applyAlignment="1" applyProtection="1">
      <alignment horizontal="left" vertical="center" wrapText="1"/>
      <protection locked="0"/>
    </xf>
    <xf numFmtId="0" fontId="95" fillId="0" borderId="0" xfId="0" applyFont="1" applyAlignment="1">
      <alignment horizontal="left" vertical="center"/>
    </xf>
    <xf numFmtId="0" fontId="99" fillId="0" borderId="0" xfId="0" applyFont="1">
      <alignment vertical="center"/>
    </xf>
    <xf numFmtId="0" fontId="99" fillId="0" borderId="1" xfId="0" applyFont="1" applyBorder="1" applyAlignment="1">
      <alignment horizontal="left" vertical="center"/>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69" fillId="0" borderId="63" xfId="0" applyFont="1" applyBorder="1" applyAlignment="1">
      <alignment horizontal="justify" vertical="center"/>
    </xf>
    <xf numFmtId="0" fontId="269" fillId="0" borderId="64" xfId="0" applyFont="1" applyBorder="1" applyAlignment="1">
      <alignment horizontal="justify" vertical="center"/>
    </xf>
    <xf numFmtId="0" fontId="269" fillId="0" borderId="65" xfId="0" applyFont="1" applyBorder="1" applyAlignment="1">
      <alignment horizontal="justify" vertical="center"/>
    </xf>
    <xf numFmtId="0" fontId="107" fillId="0" borderId="0" xfId="0" applyNumberFormat="1" applyFont="1" applyAlignment="1">
      <alignment horizont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24765</xdr:rowOff>
    </xdr:from>
    <xdr:to>
      <xdr:col>8</xdr:col>
      <xdr:colOff>126708</xdr:colOff>
      <xdr:row>41</xdr:row>
      <xdr:rowOff>29885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369945"/>
          <a:ext cx="658084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463;&#27982;&#25216;&#26415;&#24320;&#21457;&#21306;&#20852;&#28023;&#20108;&#34903;5&#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C10">
            <v>173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年期修正"/>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1">
          <cell r="J21">
            <v>1</v>
          </cell>
          <cell r="K21">
            <v>279.33</v>
          </cell>
        </row>
        <row r="22">
          <cell r="J22">
            <v>2</v>
          </cell>
          <cell r="K22">
            <v>1542.04</v>
          </cell>
        </row>
        <row r="23">
          <cell r="J23">
            <v>3</v>
          </cell>
          <cell r="K23">
            <v>28</v>
          </cell>
        </row>
        <row r="24">
          <cell r="J24">
            <v>4</v>
          </cell>
          <cell r="K24">
            <v>1542.04</v>
          </cell>
        </row>
        <row r="25">
          <cell r="J25">
            <v>5</v>
          </cell>
          <cell r="K25">
            <v>5689.92</v>
          </cell>
        </row>
        <row r="26">
          <cell r="J26">
            <v>6</v>
          </cell>
          <cell r="K26">
            <v>8457.1</v>
          </cell>
        </row>
        <row r="27">
          <cell r="J27">
            <v>7</v>
          </cell>
          <cell r="K27">
            <v>5689.92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北京市经济技术开发区兴海二街5好远1号楼等房地产抵押价值预评估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受贵公司委托，我公司对北京市经济技术开发区兴海二街5好远1号楼等房地产抵押价值进行了预评估。</v>
      </c>
    </row>
    <row r="7" spans="1:2" s="1194" customFormat="1">
      <c r="A7" s="1192" t="s">
        <v>566</v>
      </c>
      <c r="B7" s="1193" t="str">
        <f>'预评函-1'!A7</f>
        <v>估价对象为北京市经济技术开发区兴海二街5好远1号楼等房地产，为所有。根据《国有土地使用证》[]，估价对象（分摊）出让国有建设用地使用权面积为15458.2平方米，建筑面积为23228.35平方米。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经济技术开发区兴海二街5好远1号楼等房地产,为开发建设的，该项目尚在开发建设中。根据《国有土地使用证》[]，估价对象（分摊）出让国有建设用地使用权面积为15458.2平方米，规划建筑面积为23228.35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经济技术开发区兴海二街5好远1号楼等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2024年4月16日（评估专业人员实地查勘之日）</v>
      </c>
    </row>
    <row r="13" spans="1:2" s="1194" customFormat="1">
      <c r="A13" s="1192" t="s">
        <v>529</v>
      </c>
      <c r="B13" s="1193"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21021</v>
      </c>
    </row>
    <row r="21" spans="1:2" s="1194" customFormat="1">
      <c r="A21" s="1192" t="s">
        <v>537</v>
      </c>
      <c r="B21" s="1193">
        <f ca="1">'预评函-2'!D7</f>
        <v>9050</v>
      </c>
    </row>
    <row r="22" spans="1:2" s="1194" customFormat="1">
      <c r="A22" s="1192" t="s">
        <v>538</v>
      </c>
      <c r="B22" s="1193" t="str">
        <f ca="1">'预评函-2'!D6</f>
        <v>贰亿壹仟零贰拾壹万元整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21021</v>
      </c>
    </row>
    <row r="31" spans="1:2" s="1194" customFormat="1">
      <c r="A31" s="1192" t="s">
        <v>576</v>
      </c>
      <c r="B31" s="1193">
        <f ca="1">'预评函-2'!D15</f>
        <v>9050</v>
      </c>
    </row>
    <row r="32" spans="1:2" s="1194" customFormat="1">
      <c r="A32" s="1192" t="s">
        <v>543</v>
      </c>
      <c r="B32" s="1193" t="str">
        <f ca="1">'预评函-2'!D14</f>
        <v>贰亿壹仟零贰拾壹万元整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北京市经济技术开发区兴海二街5好远1号楼等房地产</v>
      </c>
    </row>
    <row r="42" spans="1:2" s="1194" customFormat="1">
      <c r="A42" s="1192" t="s">
        <v>590</v>
      </c>
      <c r="B42" s="1193" t="str">
        <f>'预评函-3'!B2</f>
        <v>建筑面积</v>
      </c>
    </row>
    <row r="43" spans="1:2" s="1194" customFormat="1">
      <c r="A43" s="1192" t="s">
        <v>591</v>
      </c>
      <c r="B43" s="1193">
        <f>'预评函-3'!B4</f>
        <v>23228.35</v>
      </c>
    </row>
    <row r="44" spans="1:2" s="1194" customFormat="1">
      <c r="A44" s="1192" t="s">
        <v>575</v>
      </c>
      <c r="B44" s="1193" t="str">
        <f>'预评函-3'!C2</f>
        <v>(分摊)土地面积</v>
      </c>
    </row>
    <row r="45" spans="1:2" s="1194" customFormat="1">
      <c r="A45" s="1192" t="s">
        <v>547</v>
      </c>
      <c r="B45" s="1193">
        <f>'预评函-3'!C4</f>
        <v>15458.2</v>
      </c>
    </row>
    <row r="46" spans="1:2" s="1194" customFormat="1">
      <c r="A46" s="1192" t="s">
        <v>573</v>
      </c>
      <c r="B46" s="1193" t="str">
        <f>'预评函-3'!D2</f>
        <v>出让国有建设用地使用权价值</v>
      </c>
    </row>
    <row r="47" spans="1:2" s="1194" customFormat="1">
      <c r="A47" s="1192" t="s">
        <v>548</v>
      </c>
      <c r="B47" s="1193">
        <f ca="1">'预评函-3'!D4</f>
        <v>7673</v>
      </c>
    </row>
    <row r="48" spans="1:2" s="1194" customFormat="1">
      <c r="A48" s="1192" t="s">
        <v>549</v>
      </c>
      <c r="B48" s="1193">
        <f ca="1">'预评函-3'!E4</f>
        <v>3304</v>
      </c>
    </row>
    <row r="49" spans="1:2" s="1194" customFormat="1">
      <c r="A49" s="1192" t="s">
        <v>550</v>
      </c>
      <c r="B49" s="1193" t="str">
        <f ca="1">'预评函-3'!D5</f>
        <v>柒仟陆佰柒拾叁万元整</v>
      </c>
    </row>
    <row r="50" spans="1:2" s="1194" customFormat="1">
      <c r="A50" s="1192" t="s">
        <v>574</v>
      </c>
      <c r="B50" s="1193" t="str">
        <f>'预评函-3'!F2</f>
        <v>建筑物价值</v>
      </c>
    </row>
    <row r="51" spans="1:2" s="1194" customFormat="1">
      <c r="A51" s="1192" t="s">
        <v>551</v>
      </c>
      <c r="B51" s="1193">
        <f ca="1">'预评函-3'!F4</f>
        <v>13348</v>
      </c>
    </row>
    <row r="52" spans="1:2" s="1194" customFormat="1">
      <c r="A52" s="1192" t="s">
        <v>552</v>
      </c>
      <c r="B52" s="1193">
        <f ca="1">'预评函-3'!G4</f>
        <v>5746</v>
      </c>
    </row>
    <row r="53" spans="1:2" s="1194" customFormat="1">
      <c r="A53" s="1192" t="s">
        <v>580</v>
      </c>
      <c r="B53" s="1193" t="str">
        <f ca="1">'预评函-3'!F5</f>
        <v>壹亿叁仟叁佰肆拾捌万元整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兴海二街5好远1号楼等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45" t="s">
        <v>385</v>
      </c>
      <c r="C54" s="1542" t="s">
        <v>583</v>
      </c>
    </row>
    <row r="55" spans="1:4">
      <c r="A55" s="3537"/>
      <c r="B55" s="1545" t="s">
        <v>386</v>
      </c>
      <c r="C55" s="1542" t="s">
        <v>584</v>
      </c>
    </row>
    <row r="56" spans="1:4">
      <c r="A56" s="3537"/>
      <c r="B56" s="1545" t="s">
        <v>387</v>
      </c>
      <c r="C56" s="1542" t="s">
        <v>588</v>
      </c>
    </row>
    <row r="57" spans="1:4">
      <c r="A57" s="353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23" sqref="B2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38" t="s">
        <v>2583</v>
      </c>
      <c r="J2" s="3538"/>
      <c r="K2" s="3538"/>
      <c r="L2" s="3538"/>
      <c r="M2" s="3538"/>
      <c r="N2" s="3538"/>
      <c r="O2" s="3538"/>
      <c r="P2" s="3538"/>
      <c r="Q2" s="3538"/>
      <c r="R2" s="3538"/>
    </row>
    <row r="3" spans="1:18">
      <c r="A3" s="3009" t="s">
        <v>2504</v>
      </c>
      <c r="B3" s="3010">
        <f>项目基本情况!D3</f>
        <v>45398</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2.67</v>
      </c>
      <c r="D5" s="3014">
        <f>IF(ISERROR(ROUND(POWER(1+E5,A5-C5)*(POWER(1+E5,C5)-1)/(POWER(1+E5,A5)-1),3)),0,ROUND(POWER(1+E5,A5-C5)*(POWER(1+E5,C5)-1)/(POWER(1+E5,A5)-1),4))</f>
        <v>0.12559999999999999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12.68</v>
      </c>
      <c r="D6" s="3014">
        <f>IF(ISERROR(ROUND(POWER(1+E6,A6-C6)*(POWER(1+E6,C6)-1)/(POWER(1+E6,A6)-1),3)),0,ROUND(POWER(1+E6,A6-C6)*(POWER(1+E6,C6)-1)/(POWER(1+E6,A6)-1),4))</f>
        <v>0.45600000000000002</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32.69</v>
      </c>
      <c r="D7" s="3014">
        <f>IF(ISERROR(ROUND(POWER(1+E7,A7-C7)*(POWER(1+E7,C7)-1)/(POWER(1+E7,A7)-1),3)),0,ROUND(POWER(1+E7,A7-C7)*(POWER(1+E7,C7)-1)/(POWER(1+E7,A7)-1),4))</f>
        <v>0.77210000000000001</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B1" zoomScale="115" zoomScaleNormal="100" zoomScaleSheetLayoutView="115" workbookViewId="0">
      <selection activeCell="B4" sqref="B4"/>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47" t="str">
        <f>IF(B10="北京市","北京市",C10)&amp;F10&amp;IF(结果表!G1="在建","出让国有建设用地使用权及在建建筑物",IF(结果表!G1="土地","出让国有建设用地使用权",))&amp;B9&amp;"预评估"</f>
        <v>北京市经济技术开发区兴海二街5好远1号楼等房地产抵押价值预评估</v>
      </c>
      <c r="C1" s="3548"/>
      <c r="D1" s="3548"/>
      <c r="E1" s="3548"/>
      <c r="F1" s="3548"/>
      <c r="G1" s="3548"/>
      <c r="H1" s="3548"/>
      <c r="I1" s="3549"/>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北京市经济技术开发区兴海二街5好远1号楼等房地产抵押价值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北京市经济技术开发区兴海二街5好远1号楼等房地产</v>
      </c>
      <c r="T2" s="1736"/>
      <c r="U2" s="1736"/>
      <c r="V2" s="1736"/>
      <c r="W2" s="1736"/>
      <c r="X2" s="1736"/>
      <c r="Y2" s="1736"/>
      <c r="Z2" s="1736"/>
      <c r="AA2" s="1736"/>
      <c r="AB2" s="1736"/>
    </row>
    <row r="3" spans="1:30">
      <c r="A3" s="296" t="s">
        <v>2169</v>
      </c>
      <c r="B3" s="2364">
        <v>45398</v>
      </c>
      <c r="C3" s="2365" t="s">
        <v>2170</v>
      </c>
      <c r="D3" s="2364">
        <f>B3</f>
        <v>45398</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50"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51"/>
      <c r="E9" s="2385" t="s">
        <v>43</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3510</v>
      </c>
      <c r="G10" s="2656"/>
      <c r="H10" s="2657"/>
      <c r="I10" s="2658"/>
      <c r="J10" s="2430"/>
      <c r="K10" s="2607"/>
      <c r="L10" s="2604"/>
      <c r="M10" s="2604"/>
      <c r="N10" s="2430"/>
      <c r="O10" s="2441"/>
      <c r="P10" s="2430"/>
      <c r="Q10" s="2430"/>
      <c r="R10" s="2430"/>
    </row>
    <row r="11" spans="1:30">
      <c r="A11" s="2392" t="s">
        <v>2180</v>
      </c>
      <c r="B11" s="2393" t="s">
        <v>3391</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59110</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37.56</v>
      </c>
      <c r="I15" s="2401" t="str">
        <f>IF(A13="出让",IF(I13="","",ROUNDDOWN(MIN((I13-$D$3)/365,I14),2)),I14)</f>
        <v/>
      </c>
      <c r="J15" s="3053"/>
      <c r="K15" s="2442"/>
      <c r="L15" s="2442"/>
      <c r="M15" s="2500"/>
      <c r="N15" s="2442"/>
      <c r="O15" s="2500"/>
      <c r="P15" s="2430"/>
      <c r="Q15" s="2430"/>
      <c r="AD15" s="1736"/>
    </row>
    <row r="16" spans="1:30">
      <c r="A16" s="2391" t="s">
        <v>2192</v>
      </c>
      <c r="B16" s="3557"/>
      <c r="C16" s="3558"/>
      <c r="D16" s="3559"/>
      <c r="E16" s="2404" t="s">
        <v>2193</v>
      </c>
      <c r="F16" s="3560"/>
      <c r="G16" s="3561"/>
      <c r="H16" s="3561"/>
      <c r="I16" s="3562"/>
      <c r="J16" s="2430"/>
      <c r="K16" s="2608"/>
      <c r="L16" s="2442"/>
      <c r="M16" s="2442"/>
      <c r="N16" s="2500"/>
      <c r="O16" s="2442"/>
      <c r="P16" s="2500"/>
      <c r="Q16" s="2430"/>
      <c r="R16" s="2430"/>
    </row>
    <row r="17" spans="1:28">
      <c r="A17" s="307" t="s">
        <v>2194</v>
      </c>
      <c r="B17" s="296" t="s">
        <v>2195</v>
      </c>
      <c r="C17" s="8">
        <f>'数据-汇总表'!E3</f>
        <v>23228.35</v>
      </c>
      <c r="D17" s="2313" t="s">
        <v>2196</v>
      </c>
      <c r="E17" s="3563" t="s">
        <v>2197</v>
      </c>
      <c r="F17" s="3564"/>
      <c r="G17" s="3564"/>
      <c r="H17" s="3564"/>
      <c r="I17" s="3565"/>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15458.2</v>
      </c>
      <c r="D18" s="1083" t="s">
        <v>2200</v>
      </c>
      <c r="E18" s="3566" t="s">
        <v>2201</v>
      </c>
      <c r="F18" s="3567"/>
      <c r="G18" s="3567"/>
      <c r="H18" s="3567"/>
      <c r="I18" s="3568"/>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53" t="s">
        <v>2205</v>
      </c>
      <c r="C20" s="3554"/>
      <c r="D20" s="3555" t="s">
        <v>2206</v>
      </c>
      <c r="E20" s="3556"/>
      <c r="F20" s="2638" t="s">
        <v>1056</v>
      </c>
      <c r="G20" s="2654"/>
      <c r="H20" s="2654"/>
      <c r="I20" s="2654"/>
      <c r="J20" s="2430"/>
      <c r="K20" s="3552"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52"/>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52"/>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40"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40"/>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40"/>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41"/>
      <c r="B30" s="296" t="s">
        <v>2217</v>
      </c>
      <c r="C30" s="3542"/>
      <c r="D30" s="3543"/>
      <c r="E30" s="2654"/>
      <c r="F30" s="2654"/>
      <c r="G30" s="2654"/>
      <c r="H30" s="2654"/>
      <c r="I30" s="2654"/>
      <c r="J30" s="2430"/>
      <c r="K30" s="2607"/>
      <c r="L30" s="2604"/>
      <c r="M30" s="2604"/>
      <c r="N30" s="2430"/>
      <c r="O30" s="2441"/>
      <c r="P30" s="2430"/>
      <c r="Q30" s="2430"/>
      <c r="R30" s="2430"/>
      <c r="S30" s="2430"/>
      <c r="T30" s="2430"/>
      <c r="U30" s="2430"/>
      <c r="V30" s="2430"/>
    </row>
    <row r="31" spans="1:28">
      <c r="A31" s="3544"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5"/>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5"/>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3390</v>
      </c>
      <c r="H34" s="2017"/>
      <c r="I34" s="2654"/>
      <c r="J34" s="2430"/>
      <c r="K34" s="2418">
        <f>COUNTIF(B34:H34,"——")</f>
        <v>0</v>
      </c>
      <c r="L34" s="317" t="s">
        <v>2220</v>
      </c>
      <c r="M34" s="317" t="s">
        <v>2221</v>
      </c>
      <c r="N34" s="317" t="s">
        <v>2222</v>
      </c>
      <c r="O34" s="317" t="s">
        <v>2223</v>
      </c>
      <c r="P34" s="317" t="s">
        <v>2224</v>
      </c>
      <c r="Q34" s="317" t="s">
        <v>2225</v>
      </c>
      <c r="R34" s="317" t="s">
        <v>2226</v>
      </c>
      <c r="S34" s="3539" t="s">
        <v>2227</v>
      </c>
      <c r="T34" s="2419" t="str">
        <f>NUMBERSTRING(7-K34,1)&amp;"通"</f>
        <v>七通</v>
      </c>
      <c r="U34" s="2430"/>
      <c r="V34" s="2430"/>
    </row>
    <row r="35" spans="1:30">
      <c r="A35" s="2420"/>
      <c r="B35" s="3546" t="s">
        <v>2228</v>
      </c>
      <c r="C35" s="3546"/>
      <c r="D35" s="3546"/>
      <c r="E35" s="3546"/>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9"/>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304</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3511</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15458.2</v>
      </c>
      <c r="B3" s="11">
        <f>IF(C3="否",G5-AT5,G5)</f>
        <v>23228.35</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23228.35</v>
      </c>
      <c r="H5" s="13">
        <f t="shared" ref="H5:AT5" si="0">SUM(H13:H656)</f>
        <v>23228.35</v>
      </c>
      <c r="I5" s="13">
        <f t="shared" si="0"/>
        <v>23228.35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23228.35</v>
      </c>
      <c r="BA5" s="15">
        <f t="shared" si="1"/>
        <v>23228.35</v>
      </c>
      <c r="BB5" s="15">
        <f t="shared" si="1"/>
        <v>23228.35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15458.2</v>
      </c>
      <c r="F6" s="13" t="s">
        <v>0</v>
      </c>
      <c r="G6" s="13" t="s">
        <v>1</v>
      </c>
      <c r="H6" s="17">
        <f>SUMIF(I$12:AB$12,"总值",I6:AB6)</f>
        <v>15458.2</v>
      </c>
      <c r="I6" s="13">
        <f t="shared" ref="I6:AB6" si="2">ROUND($A$3*I5/$B$3,2)</f>
        <v>15458.2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15458.2</v>
      </c>
      <c r="AZ6" s="13" t="s">
        <v>2</v>
      </c>
      <c r="BA6" s="13">
        <f>ROUND($AY$6*BA5/$AZ$5,2)</f>
        <v>15458.2</v>
      </c>
      <c r="BB6" s="13">
        <f>ROUND($AY$6*BB5/$AZ$5,2)</f>
        <v>15458.2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v>5</v>
      </c>
      <c r="C13" s="1042">
        <f>'[3]数据-取费表'!J21</f>
        <v>1</v>
      </c>
      <c r="D13" s="1616" t="s">
        <v>3393</v>
      </c>
      <c r="E13" s="13">
        <f>IF($C$3="是",ROUND($A$3*G13/$B$3,2),ROUND($A$3*(G13-AT13)/$B$3,2))</f>
        <v>185.89</v>
      </c>
      <c r="F13" s="29"/>
      <c r="G13" s="30">
        <f>H13+AC13+AT13</f>
        <v>279.33</v>
      </c>
      <c r="H13" s="17">
        <f>SUMIF(I$12:AB$12,"总值",I13:AB13)</f>
        <v>279.33</v>
      </c>
      <c r="I13" s="1617">
        <f>'[3]数据-取费表'!K21</f>
        <v>279.33</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5</v>
      </c>
      <c r="AX13" s="8">
        <f t="shared" si="6"/>
        <v>1</v>
      </c>
      <c r="AY13" s="1340">
        <f>ROUND($AY$6*AZ13/$AZ$5,2)</f>
        <v>185.89</v>
      </c>
      <c r="AZ13" s="13">
        <f>BA13+BL13</f>
        <v>279.33</v>
      </c>
      <c r="BA13" s="13">
        <f>SUM(BB13:BK13)</f>
        <v>279.33</v>
      </c>
      <c r="BB13" s="13">
        <f>IF($D13="是",I13-J13,0)</f>
        <v>279.33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v>5</v>
      </c>
      <c r="C14" s="1042">
        <f>'[3]数据-取费表'!J22</f>
        <v>2</v>
      </c>
      <c r="D14" s="1616" t="s">
        <v>3393</v>
      </c>
      <c r="E14" s="13">
        <f>IF($C$3="是",ROUND($A$3*G14/$B$3,2),ROUND($A$3*(G14-AT14)/$B$3,2))</f>
        <v>1026.21</v>
      </c>
      <c r="F14" s="29"/>
      <c r="G14" s="30">
        <f>H14+AC14+AT14</f>
        <v>1542.04</v>
      </c>
      <c r="H14" s="17">
        <f>SUMIF(I$12:AB$12,"总值",I14:AB14)</f>
        <v>1542.04</v>
      </c>
      <c r="I14" s="1617">
        <f>'[3]数据-取费表'!K22</f>
        <v>1542.04</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5</v>
      </c>
      <c r="AX14" s="8">
        <f t="shared" si="6"/>
        <v>2</v>
      </c>
      <c r="AY14" s="1340">
        <f>ROUND($AY$6*AZ14/$AZ$5,2)</f>
        <v>1026.21</v>
      </c>
      <c r="AZ14" s="13">
        <f>BA14+BL14</f>
        <v>1542.04</v>
      </c>
      <c r="BA14" s="13">
        <f>SUM(BB14:BK14)</f>
        <v>1542.04</v>
      </c>
      <c r="BB14" s="13">
        <f>IF($D14="是",I14-J14,0)</f>
        <v>1542.04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v>3</v>
      </c>
      <c r="C15" s="1042">
        <f>'[3]数据-取费表'!J23</f>
        <v>3</v>
      </c>
      <c r="D15" s="1616" t="s">
        <v>3393</v>
      </c>
      <c r="E15" s="13">
        <f>IF($C$3="是",ROUND($A$3*G15/$B$3,2),ROUND($A$3*(G15-AT15)/$B$3,2))</f>
        <v>18.63</v>
      </c>
      <c r="F15" s="29"/>
      <c r="G15" s="30">
        <f>H15+AC15+AT15</f>
        <v>28</v>
      </c>
      <c r="H15" s="17">
        <f>SUMIF(I$12:AB$12,"总值",I15:AB15)</f>
        <v>28</v>
      </c>
      <c r="I15" s="1617">
        <f>'[3]数据-取费表'!K23</f>
        <v>28</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3</v>
      </c>
      <c r="AX15" s="8">
        <f t="shared" si="6"/>
        <v>3</v>
      </c>
      <c r="AY15" s="1340">
        <f>ROUND($AY$6*AZ15/$AZ$5,2)</f>
        <v>18.63</v>
      </c>
      <c r="AZ15" s="13">
        <f>BA15+BL15</f>
        <v>28</v>
      </c>
      <c r="BA15" s="13">
        <f>SUM(BB15:BK15)</f>
        <v>28</v>
      </c>
      <c r="BB15" s="13">
        <f>IF($D15="是",I15-J15,0)</f>
        <v>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v>1</v>
      </c>
      <c r="C16" s="1042">
        <f>'[3]数据-取费表'!J24</f>
        <v>4</v>
      </c>
      <c r="D16" s="1616" t="s">
        <v>3393</v>
      </c>
      <c r="E16" s="13">
        <f>IF($C$3="是",ROUND($A$3*G16/$B$3,2),ROUND($A$3*(G16-AT16)/$B$3,2))</f>
        <v>1026.21</v>
      </c>
      <c r="F16" s="29"/>
      <c r="G16" s="30">
        <f>H16+AC16+AT16</f>
        <v>1542.04</v>
      </c>
      <c r="H16" s="17">
        <f>SUMIF(I$12:AB$12,"总值",I16:AB16)</f>
        <v>1542.04</v>
      </c>
      <c r="I16" s="1617">
        <f>'[3]数据-取费表'!K24</f>
        <v>1542.04</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1</v>
      </c>
      <c r="AX16" s="8">
        <f t="shared" si="6"/>
        <v>4</v>
      </c>
      <c r="AY16" s="1340">
        <f>ROUND($AY$6*AZ16/$AZ$5,2)</f>
        <v>1026.21</v>
      </c>
      <c r="AZ16" s="13">
        <f>BA16+BL16</f>
        <v>1542.04</v>
      </c>
      <c r="BA16" s="13">
        <f>SUM(BB16:BK16)</f>
        <v>1542.04</v>
      </c>
      <c r="BB16" s="13">
        <f>IF($D16="是",I16-J16,0)</f>
        <v>1542.04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v>3</v>
      </c>
      <c r="C17" s="1042">
        <f>'[3]数据-取费表'!J25</f>
        <v>5</v>
      </c>
      <c r="D17" s="1616" t="s">
        <v>3393</v>
      </c>
      <c r="E17" s="13">
        <f>IF($C$3="是",ROUND($A$3*G17/$B$3,2),ROUND($A$3*(G17-AT17)/$B$3,2))</f>
        <v>3786.58</v>
      </c>
      <c r="F17" s="29"/>
      <c r="G17" s="30">
        <f>H17+AC17+AT17</f>
        <v>5689.92</v>
      </c>
      <c r="H17" s="17">
        <f>SUMIF(I$12:AB$12,"总值",I17:AB17)</f>
        <v>5689.92</v>
      </c>
      <c r="I17" s="1617">
        <f>'[3]数据-取费表'!K25</f>
        <v>5689.92</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3</v>
      </c>
      <c r="AX17" s="8">
        <f t="shared" si="6"/>
        <v>5</v>
      </c>
      <c r="AY17" s="1340">
        <f>ROUND($AY$6*AZ17/$AZ$5,2)</f>
        <v>3786.58</v>
      </c>
      <c r="AZ17" s="13">
        <f>BA17+BL17</f>
        <v>5689.92</v>
      </c>
      <c r="BA17" s="13">
        <f>SUM(BB17:BK17)</f>
        <v>5689.92</v>
      </c>
      <c r="BB17" s="13">
        <f>IF($D17="是",I17-J17,0)</f>
        <v>5689.92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v>5</v>
      </c>
      <c r="C18" s="1042">
        <f>'[3]数据-取费表'!J26</f>
        <v>6</v>
      </c>
      <c r="D18" s="1616" t="s">
        <v>3393</v>
      </c>
      <c r="E18" s="32">
        <f t="shared" ref="E18:E112" si="7">IF($C$3="是",ROUND($A$3*G18/$B$3,2),ROUND($A$3*(G18-AT18)/$B$3,2))</f>
        <v>5628.1</v>
      </c>
      <c r="F18" s="33"/>
      <c r="G18" s="34">
        <f t="shared" ref="G18:G109" si="8">H18+AC18+AT18</f>
        <v>8457.1</v>
      </c>
      <c r="H18" s="35">
        <f t="shared" ref="H18:H109" si="9">SUMIF(I$12:AB$12,"总值",I18:AB18)</f>
        <v>8457.1</v>
      </c>
      <c r="I18" s="1617">
        <f>'[3]数据-取费表'!K26</f>
        <v>8457.1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5</v>
      </c>
      <c r="AX18" s="1334">
        <f t="shared" ref="AX18:AX112" si="13">C18</f>
        <v>6</v>
      </c>
      <c r="AY18" s="39">
        <f t="shared" ref="AY18:AY109" si="14">ROUND($AY$6*AZ18/$AZ$5,2)</f>
        <v>5628.1</v>
      </c>
      <c r="AZ18" s="32">
        <f t="shared" ref="AZ18:AZ109" si="15">BA18+BL18</f>
        <v>8457.1</v>
      </c>
      <c r="BA18" s="32">
        <f t="shared" ref="BA18:BA109" si="16">SUM(BB18:BK18)</f>
        <v>8457.1</v>
      </c>
      <c r="BB18" s="32">
        <f t="shared" ref="BB18:BB109" si="17">IF($D18="是",I18-J18,0)</f>
        <v>8457.1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v>1</v>
      </c>
      <c r="C19" s="1042">
        <f>'[3]数据-取费表'!J27</f>
        <v>7</v>
      </c>
      <c r="D19" s="1616" t="s">
        <v>3393</v>
      </c>
      <c r="E19" s="32">
        <f t="shared" si="7"/>
        <v>3786.58</v>
      </c>
      <c r="F19" s="33"/>
      <c r="G19" s="34">
        <f t="shared" si="8"/>
        <v>5689.92</v>
      </c>
      <c r="H19" s="35">
        <f t="shared" si="9"/>
        <v>5689.92</v>
      </c>
      <c r="I19" s="1617">
        <f>'[3]数据-取费表'!K27</f>
        <v>5689.92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1</v>
      </c>
      <c r="AX19" s="1334">
        <f t="shared" si="13"/>
        <v>7</v>
      </c>
      <c r="AY19" s="39">
        <f t="shared" si="14"/>
        <v>3786.58</v>
      </c>
      <c r="AZ19" s="32">
        <f t="shared" si="15"/>
        <v>5689.92</v>
      </c>
      <c r="BA19" s="32">
        <f t="shared" si="16"/>
        <v>5689.92</v>
      </c>
      <c r="BB19" s="32">
        <f t="shared" si="17"/>
        <v>5689.92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25" sqref="K25"/>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78" t="s">
        <v>1131</v>
      </c>
      <c r="B2" s="3578"/>
      <c r="C2" s="3578"/>
      <c r="D2" s="787" t="s">
        <v>1107</v>
      </c>
      <c r="E2" s="1630" t="s">
        <v>1108</v>
      </c>
      <c r="F2" s="2649"/>
      <c r="G2" s="2641"/>
      <c r="H2" s="2642"/>
      <c r="I2" s="2316" t="s">
        <v>1132</v>
      </c>
      <c r="J2" s="2649"/>
      <c r="K2" s="2649"/>
      <c r="L2" s="2649"/>
      <c r="M2" s="2649"/>
      <c r="N2" s="2651"/>
      <c r="O2" s="2649"/>
      <c r="P2" s="2649"/>
    </row>
    <row r="3" spans="1:16" ht="15.75" thickBot="1">
      <c r="A3" s="3579" t="s">
        <v>1105</v>
      </c>
      <c r="B3" s="3579"/>
      <c r="C3" s="3579"/>
      <c r="D3" s="43">
        <f>'数据-基础表'!AY6</f>
        <v>15458.2</v>
      </c>
      <c r="E3" s="43">
        <f>'数据-基础表'!AZ5</f>
        <v>23228.35</v>
      </c>
      <c r="F3" s="2649"/>
      <c r="G3" s="1136"/>
      <c r="H3" s="1017" t="s">
        <v>1106</v>
      </c>
      <c r="I3" s="846">
        <f>ROUND('数据-基础表'!B3/'数据-基础表'!A3,2)</f>
        <v>1.5</v>
      </c>
      <c r="J3" s="2649"/>
      <c r="K3" s="2649"/>
      <c r="L3" s="2649"/>
      <c r="M3" s="2649"/>
      <c r="N3" s="2651"/>
      <c r="O3" s="2649"/>
      <c r="P3" s="2649"/>
    </row>
    <row r="4" spans="1:16" ht="15">
      <c r="A4" s="3580"/>
      <c r="B4" s="3581"/>
      <c r="C4" s="3582"/>
      <c r="D4" s="1632" t="s">
        <v>1107</v>
      </c>
      <c r="E4" s="1633" t="s">
        <v>1108</v>
      </c>
      <c r="F4" s="2649"/>
      <c r="G4" s="2643" t="s">
        <v>1133</v>
      </c>
      <c r="H4" s="1017" t="s">
        <v>1113</v>
      </c>
      <c r="I4" s="846">
        <f>ROUND(SUMIF('数据-基础表'!I9:AS9,"地上",'数据-基础表'!I5:AS5)/'数据-基础表'!A3,2)</f>
        <v>1.5</v>
      </c>
      <c r="J4" s="2649"/>
      <c r="K4" s="2649"/>
      <c r="L4" s="2649"/>
      <c r="M4" s="2649"/>
      <c r="N4" s="2651"/>
      <c r="O4" s="2649"/>
      <c r="P4" s="2649"/>
    </row>
    <row r="5" spans="1:16">
      <c r="A5" s="44" t="s">
        <v>1109</v>
      </c>
      <c r="B5" s="3583" t="s">
        <v>1110</v>
      </c>
      <c r="C5" s="3583"/>
      <c r="D5" s="45">
        <f>ROUND($D$3*E5/$E$3,2)</f>
        <v>0</v>
      </c>
      <c r="E5" s="46">
        <f>SUMIF('数据-基础表'!$11:$11,"住宅",'数据-基础表'!$5:$5)</f>
        <v>0</v>
      </c>
      <c r="F5" s="2649"/>
      <c r="G5" s="1136"/>
      <c r="H5" s="1017" t="s">
        <v>1106</v>
      </c>
      <c r="I5" s="846">
        <f>ROUND(E31/D31,2)</f>
        <v>1.5</v>
      </c>
      <c r="J5" s="2649"/>
      <c r="K5" s="2649"/>
      <c r="L5" s="2649"/>
      <c r="M5" s="2649"/>
      <c r="N5" s="2649"/>
      <c r="O5" s="2649"/>
      <c r="P5" s="2649"/>
    </row>
    <row r="6" spans="1:16" ht="15" thickBot="1">
      <c r="A6" s="1635"/>
      <c r="B6" s="3583" t="s">
        <v>1111</v>
      </c>
      <c r="C6" s="3583"/>
      <c r="D6" s="45">
        <f>ROUND($D$3*E6/$E$3,2)</f>
        <v>15458.2</v>
      </c>
      <c r="E6" s="46">
        <f>E3-E5</f>
        <v>23228.35</v>
      </c>
      <c r="F6" s="2649"/>
      <c r="G6" s="2644" t="s">
        <v>1112</v>
      </c>
      <c r="H6" s="1137" t="s">
        <v>1113</v>
      </c>
      <c r="I6" s="2645">
        <f>ROUND(F31/D31,2)</f>
        <v>1.5</v>
      </c>
      <c r="J6" s="2649"/>
      <c r="K6" s="2649"/>
      <c r="L6" s="2649"/>
      <c r="M6" s="2649"/>
      <c r="N6" s="2649"/>
      <c r="O6" s="2649"/>
      <c r="P6" s="2649"/>
    </row>
    <row r="7" spans="1:16" ht="15.75" thickBot="1">
      <c r="A7" s="3575"/>
      <c r="B7" s="3576"/>
      <c r="C7" s="3577"/>
      <c r="D7" s="1632" t="s">
        <v>1107</v>
      </c>
      <c r="E7" s="1636" t="s">
        <v>1114</v>
      </c>
      <c r="F7" s="2649"/>
      <c r="G7" s="2646" t="s">
        <v>1115</v>
      </c>
      <c r="H7" s="2647"/>
      <c r="I7" s="3469">
        <v>1.2</v>
      </c>
      <c r="J7" s="2649"/>
      <c r="K7" s="2649"/>
      <c r="L7" s="2649"/>
      <c r="M7" s="2649"/>
      <c r="N7" s="2649"/>
      <c r="O7" s="2649"/>
      <c r="P7" s="2649"/>
    </row>
    <row r="8" spans="1:16">
      <c r="A8" s="44" t="s">
        <v>1116</v>
      </c>
      <c r="B8" s="47" t="s">
        <v>1117</v>
      </c>
      <c r="C8" s="45" t="s">
        <v>1118</v>
      </c>
      <c r="D8" s="45">
        <f t="shared" ref="D8:D15" si="0">ROUND($D$3*E8/$E$3,2)</f>
        <v>15458.2</v>
      </c>
      <c r="E8" s="48">
        <f>SUMIF('数据-基础表'!BB10:BK10,"地上",'数据-基础表'!BB5:BK5)</f>
        <v>23228.35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15458.2</v>
      </c>
      <c r="E16" s="50">
        <f>SUM(E8:E15)</f>
        <v>23228.35</v>
      </c>
      <c r="F16" s="2649"/>
      <c r="G16" s="2650"/>
      <c r="H16" s="1639" t="s">
        <v>1135</v>
      </c>
      <c r="I16" s="1640"/>
      <c r="J16" s="1130"/>
      <c r="K16" s="3572" t="s">
        <v>1135</v>
      </c>
      <c r="L16" s="3573"/>
      <c r="M16" s="3573"/>
      <c r="N16" s="3573"/>
      <c r="O16" s="3573"/>
      <c r="P16" s="3574"/>
    </row>
    <row r="17" spans="1:19" ht="15">
      <c r="A17" s="1641" t="s">
        <v>1136</v>
      </c>
      <c r="B17" s="1642" t="s">
        <v>1137</v>
      </c>
      <c r="C17" s="1643" t="s">
        <v>1138</v>
      </c>
      <c r="D17" s="1644" t="s">
        <v>1126</v>
      </c>
      <c r="E17" s="1645" t="s">
        <v>1127</v>
      </c>
      <c r="F17" s="1646"/>
      <c r="G17" s="1647"/>
      <c r="H17" s="1648" t="s">
        <v>1139</v>
      </c>
      <c r="I17" s="1649" t="s">
        <v>1124</v>
      </c>
      <c r="J17" s="1130"/>
      <c r="K17" s="3569" t="s">
        <v>1140</v>
      </c>
      <c r="L17" s="3570"/>
      <c r="M17" s="3571"/>
      <c r="N17" s="3569" t="s">
        <v>1141</v>
      </c>
      <c r="O17" s="3570"/>
      <c r="P17" s="357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3395</v>
      </c>
      <c r="D19" s="45">
        <f>ROUND($D$3*E19/$E$3,2)</f>
        <v>15458.2</v>
      </c>
      <c r="E19" s="53">
        <f t="shared" ref="E19:E26" si="1">SUM(F19:G19)</f>
        <v>23228.35</v>
      </c>
      <c r="F19" s="2784">
        <f>'数据-基础表'!I5</f>
        <v>23228.35</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15458.2</v>
      </c>
      <c r="S19" s="1018">
        <f t="shared" si="5"/>
        <v>23228.35</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15458.2</v>
      </c>
      <c r="E27" s="1132">
        <f>IF(SUM(E19:E26)='数据-基础表'!BA5,SUM(E19:E26),IF(F27="地上面积有误","面积有误","地下面积有误"))</f>
        <v>23228.35</v>
      </c>
      <c r="F27" s="1131">
        <f>IF(SUM(F19:F26)=E8,SUM(F19:F26),"地上面积有误")</f>
        <v>23228.35</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15458.2</v>
      </c>
      <c r="S27" s="1017">
        <f>IF(SUM(S19:S26)=$E$3,SUM(S19:S26),SUM(S19:S26)&amp;"误差"&amp;ROUND(SUM(S19:S26)-E3,2))</f>
        <v>23228.35</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15458.2</v>
      </c>
      <c r="E31" s="667">
        <f>E27+E30</f>
        <v>23228.35</v>
      </c>
      <c r="F31" s="668">
        <f>F27+F30</f>
        <v>23228.35</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N19" sqref="AN19"/>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45398</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3415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59110</v>
      </c>
      <c r="F6" s="64">
        <f>SUMIF(项目基本情况!C$12:I$12,C6,项目基本情况!C$15:I$15)</f>
        <v>37.56</v>
      </c>
      <c r="G6" s="65">
        <f>IF(ISERROR(ROUND(POWER(1+H6,D6-F6)*(POWER(1+H6,F6)-1)/(POWER(1+H6,D6)-1),3)),0,ROUND(POWER(1+H6,D6-F6)*(POWER(1+H6,F6)-1)/(POWER(1+H6,D6)-1),3))</f>
        <v>0.90900000000000003</v>
      </c>
      <c r="H6" s="3439">
        <v>4.4999999999999998E-2</v>
      </c>
      <c r="I6" s="3439">
        <v>5.5E-2</v>
      </c>
      <c r="J6" s="3440">
        <v>7.0000000000000007E-2</v>
      </c>
      <c r="K6" s="1021">
        <f>SUMIF('数据-汇总表'!C$19:C$33,A6,'数据-汇总表'!E$19:E$33)</f>
        <v>23228.35</v>
      </c>
      <c r="L6" s="724">
        <v>3500</v>
      </c>
      <c r="M6" s="67">
        <f t="shared" ref="M6:M14" si="0">ROUND(K6*L6/10000,0)</f>
        <v>8130</v>
      </c>
      <c r="N6" s="722">
        <f>Q20</f>
        <v>0.85</v>
      </c>
      <c r="O6" s="67" t="str">
        <f>IF($N$5="成新度","——",ROUND(M6*N6,0))</f>
        <v>——</v>
      </c>
      <c r="P6" s="68" t="str">
        <f>IF($N$5="成新度","——",M6-O6)</f>
        <v>——</v>
      </c>
      <c r="Q6" s="725">
        <v>0.1</v>
      </c>
      <c r="R6" s="69">
        <f ca="1">SUMIF('数据-汇总表'!C$19:C$33,A6,'数据-汇总表'!R$19:R$27)</f>
        <v>15458.2</v>
      </c>
      <c r="S6" s="51">
        <f>IF('数据-汇总表'!$I$17="按面积比例",SUMIF('数据-汇总表'!C$19:C$33,A6,'数据-汇总表'!K$19:K$33),SUMIF('数据-汇总表'!C$19:C$33,A6,'数据-汇总表'!N$19:N$33))</f>
        <v>0</v>
      </c>
      <c r="T6" s="1163">
        <f>ROUND($L$14*S6/10000,0)</f>
        <v>0</v>
      </c>
      <c r="U6" s="3417">
        <v>2</v>
      </c>
      <c r="V6" s="3473">
        <v>0.02</v>
      </c>
      <c r="W6" s="70">
        <v>0.1</v>
      </c>
      <c r="X6" s="1031"/>
      <c r="Y6" s="71">
        <f>N6</f>
        <v>0.85</v>
      </c>
      <c r="Z6" s="72"/>
      <c r="AA6" s="66"/>
      <c r="AB6" s="66"/>
      <c r="AC6" s="1031"/>
      <c r="AD6" s="73"/>
      <c r="AE6" s="1032">
        <f ca="1">IF(AN6="",0,SUMIF(INDIRECT("'"&amp;AN6&amp;"'"&amp;"!E:E"),$AE$5,INDIRECT("'"&amp;AN6&amp;"'"&amp;"!F:F")))</f>
        <v>37.56</v>
      </c>
      <c r="AF6" s="1339"/>
      <c r="AG6" s="132">
        <f>IF(AF6="",0,AE6-AF6)</f>
        <v>0</v>
      </c>
      <c r="AH6" s="74"/>
      <c r="AI6" s="76">
        <v>365</v>
      </c>
      <c r="AJ6" s="77"/>
      <c r="AK6" s="3475">
        <v>5.0000000000000001E-3</v>
      </c>
      <c r="AL6" s="79">
        <v>1E-3</v>
      </c>
      <c r="AM6" s="3474">
        <v>5.0000000000000001E-3</v>
      </c>
      <c r="AN6" s="1706" t="s">
        <v>3419</v>
      </c>
      <c r="AO6" s="52">
        <f ca="1">SUMIF(INDIRECT("'"&amp;AN6&amp;"'"&amp;"!A:A"),"总价",INDIRECT("'"&amp;AN6&amp;"'"&amp;"!B:B"))</f>
        <v>24918</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0.90900000000000003</v>
      </c>
      <c r="H16" s="90">
        <f>ROUND(SUMPRODUCT(H6:H13,K6:K13)/SUMPRODUCT((H6:H13&gt;0)*(K6:K13)),3)</f>
        <v>4.4999999999999998E-2</v>
      </c>
      <c r="I16" s="91"/>
      <c r="J16" s="91"/>
      <c r="K16" s="92">
        <f>SUM(K6:K15)</f>
        <v>23228.35</v>
      </c>
      <c r="L16" s="93">
        <f>ROUND(M16*10000/SUM(K6:K14),0)</f>
        <v>3500</v>
      </c>
      <c r="M16" s="93">
        <f>SUM(M6:M14)</f>
        <v>8130</v>
      </c>
      <c r="N16" s="94">
        <f>ROUND(SUMPRODUCT(M6:M14,N6:N14)/M16,3)</f>
        <v>0.85</v>
      </c>
      <c r="O16" s="93">
        <f>SUM(O6:O14)</f>
        <v>0</v>
      </c>
      <c r="P16" s="93">
        <f>SUM(P6:P14)</f>
        <v>0</v>
      </c>
      <c r="Q16" s="95">
        <f>ROUND(SUMPRODUCT(Q6:Q13,K6:K13)/SUMPRODUCT((Q6:Q13&gt;0)*(K6:K13)),2)</f>
        <v>0.1</v>
      </c>
      <c r="R16" s="1025">
        <f ca="1">SUM(R6:R13)</f>
        <v>15458.2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3457</v>
      </c>
      <c r="J19" s="3441" t="s">
        <v>3396</v>
      </c>
      <c r="K19" s="3442" t="s">
        <v>3397</v>
      </c>
      <c r="L19" s="3442" t="s">
        <v>3398</v>
      </c>
      <c r="M19" s="2660"/>
      <c r="N19" s="3443" t="s">
        <v>3399</v>
      </c>
      <c r="O19" s="2660"/>
      <c r="P19" s="3452" t="s">
        <v>3416</v>
      </c>
      <c r="Q19" s="2660">
        <v>2015</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3400</v>
      </c>
      <c r="J20" s="3445">
        <f>J21+J22</f>
        <v>23228.35</v>
      </c>
      <c r="K20" s="3446">
        <f>L20/J20</f>
        <v>1500</v>
      </c>
      <c r="L20" s="3446">
        <f>L21+L22</f>
        <v>34842525</v>
      </c>
      <c r="M20" s="2660"/>
      <c r="N20" s="3447">
        <v>0</v>
      </c>
      <c r="O20" s="2660"/>
      <c r="P20" s="3452" t="s">
        <v>3417</v>
      </c>
      <c r="Q20" s="3453">
        <f>ROUND(1-(1-0%)*(2024-Q19)/60,2)</f>
        <v>0.85</v>
      </c>
      <c r="R20" s="2660"/>
      <c r="S20" s="2660"/>
      <c r="T20" s="2660"/>
      <c r="U20" s="2660"/>
      <c r="V20" s="2660">
        <f>'数据-汇总表'!F19</f>
        <v>23228.35</v>
      </c>
      <c r="W20" s="2660">
        <v>1.2</v>
      </c>
      <c r="X20" s="2660">
        <f>V20*W20</f>
        <v>27874.019999999997</v>
      </c>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v>
      </c>
      <c r="C21" s="2662"/>
      <c r="D21" s="2665"/>
      <c r="E21" s="2662"/>
      <c r="F21" s="2662"/>
      <c r="G21" s="2662"/>
      <c r="H21" s="2662"/>
      <c r="I21" s="3448" t="s">
        <v>3401</v>
      </c>
      <c r="J21" s="3451">
        <f>K16</f>
        <v>23228.35</v>
      </c>
      <c r="K21" s="3449">
        <v>1500</v>
      </c>
      <c r="L21" s="3449">
        <f>K21*J21</f>
        <v>34842525</v>
      </c>
      <c r="M21" s="2660"/>
      <c r="N21" s="2660"/>
      <c r="O21" s="2660"/>
      <c r="P21" s="3452" t="s">
        <v>3418</v>
      </c>
      <c r="Q21" s="3447">
        <v>0.8</v>
      </c>
      <c r="R21" s="2660"/>
      <c r="S21" s="2660"/>
      <c r="T21" s="2660"/>
      <c r="U21" s="2660"/>
      <c r="V21" s="2660">
        <f>'数据-基础表'!A3-'数据-基础表'!I13</f>
        <v>15178.87</v>
      </c>
      <c r="W21" s="2660">
        <v>0.2</v>
      </c>
      <c r="X21" s="2660">
        <f>V21*W21</f>
        <v>3035.7740000000003</v>
      </c>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3402</v>
      </c>
      <c r="J22" s="3449">
        <v>0</v>
      </c>
      <c r="K22" s="3449">
        <v>0</v>
      </c>
      <c r="L22" s="3449">
        <f t="shared" ref="L22:L25" si="12">K22*J22</f>
        <v>0</v>
      </c>
      <c r="M22" s="2660"/>
      <c r="N22" s="2660"/>
      <c r="O22" s="2660"/>
      <c r="P22" s="3452" t="s">
        <v>458</v>
      </c>
      <c r="Q22" s="2660">
        <f>ROUND((Q20+Q21)/2,3)</f>
        <v>0.82499999999999996</v>
      </c>
      <c r="R22" s="2660"/>
      <c r="S22" s="2660"/>
      <c r="T22" s="2660"/>
      <c r="U22" s="2660"/>
      <c r="V22" s="2660"/>
      <c r="W22" s="2660">
        <f>X22/V20</f>
        <v>1.3306926234536676</v>
      </c>
      <c r="X22" s="2660">
        <f>X20+X21</f>
        <v>30909.793999999998</v>
      </c>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3403</v>
      </c>
      <c r="J23" s="3445">
        <f>J20</f>
        <v>23228.35</v>
      </c>
      <c r="K23" s="3446">
        <v>500</v>
      </c>
      <c r="L23" s="3446">
        <f>K23*J23</f>
        <v>11614175</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3404</v>
      </c>
      <c r="J24" s="3445">
        <f>J20</f>
        <v>23228.35</v>
      </c>
      <c r="K24" s="3446">
        <v>1000</v>
      </c>
      <c r="L24" s="3446">
        <f>K24*J24</f>
        <v>23228350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3405</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3406</v>
      </c>
      <c r="J26" s="2661">
        <f>J20</f>
        <v>23228.35</v>
      </c>
      <c r="K26" s="3450">
        <f>L26/J26</f>
        <v>3000</v>
      </c>
      <c r="L26" s="3450">
        <f>L20+L23+L24+L25</f>
        <v>69685050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160</v>
      </c>
      <c r="C27" s="2790" t="s">
        <v>2306</v>
      </c>
      <c r="D27" s="2668"/>
      <c r="E27" s="2651"/>
      <c r="F27" s="2651"/>
      <c r="G27" s="2662"/>
      <c r="H27" s="2662"/>
      <c r="I27" s="3441" t="s">
        <v>3456</v>
      </c>
      <c r="J27" s="3470">
        <v>0.06</v>
      </c>
      <c r="K27" s="2660">
        <f>K26*(1+J27)</f>
        <v>3180</v>
      </c>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9"/>
      <c r="D28" s="2668"/>
      <c r="E28" s="2651"/>
      <c r="F28" s="2651"/>
      <c r="G28" s="2662"/>
      <c r="H28" s="2662"/>
      <c r="I28" s="3482" t="s">
        <v>3459</v>
      </c>
      <c r="J28" s="3482" t="s">
        <v>3460</v>
      </c>
      <c r="K28" s="3482" t="s">
        <v>3461</v>
      </c>
      <c r="L28" s="3482" t="s">
        <v>3462</v>
      </c>
      <c r="M28" s="3482" t="s">
        <v>3464</v>
      </c>
      <c r="N28" s="3482" t="s">
        <v>3463</v>
      </c>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3494">
        <f>[2]成本法!C10</f>
        <v>173</v>
      </c>
      <c r="C29" s="2791" t="s">
        <v>2293</v>
      </c>
      <c r="D29" s="2668"/>
      <c r="E29" s="2651"/>
      <c r="F29" s="2651"/>
      <c r="G29" s="2662"/>
      <c r="H29" s="2662"/>
      <c r="I29" s="3477" t="s">
        <v>3407</v>
      </c>
      <c r="J29" s="3477" t="s">
        <v>3408</v>
      </c>
      <c r="K29" s="3490">
        <f>'数据-基础表'!I13</f>
        <v>279.33</v>
      </c>
      <c r="L29" s="3477">
        <v>2550</v>
      </c>
      <c r="M29" s="3478">
        <f>ROUND(L29*K29/10000,0)</f>
        <v>71</v>
      </c>
      <c r="N29" s="3477">
        <v>1.4</v>
      </c>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95">
        <v>200</v>
      </c>
      <c r="C30" s="2669"/>
      <c r="D30" s="2668"/>
      <c r="E30" s="2651"/>
      <c r="F30" s="2651"/>
      <c r="G30" s="2662"/>
      <c r="H30" s="2662"/>
      <c r="I30" s="3477" t="s">
        <v>3409</v>
      </c>
      <c r="J30" s="3477" t="s">
        <v>3410</v>
      </c>
      <c r="K30" s="3490">
        <f>'数据-基础表'!I14</f>
        <v>1542.04</v>
      </c>
      <c r="L30" s="3477">
        <v>2400</v>
      </c>
      <c r="M30" s="3478">
        <f>ROUND(L30*K30/10000,0)</f>
        <v>370</v>
      </c>
      <c r="N30" s="3477">
        <v>1.2</v>
      </c>
      <c r="O30" s="785"/>
      <c r="P30" s="785"/>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3477" t="s">
        <v>3411</v>
      </c>
      <c r="J31" s="3477" t="s">
        <v>3412</v>
      </c>
      <c r="K31" s="3490">
        <f>'数据-基础表'!I15</f>
        <v>28</v>
      </c>
      <c r="L31" s="3477">
        <f>L30</f>
        <v>2400</v>
      </c>
      <c r="M31" s="3478">
        <f>ROUND(L31*K31/10000,0)</f>
        <v>7</v>
      </c>
      <c r="N31" s="3477">
        <v>1</v>
      </c>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4">
        <v>0</v>
      </c>
      <c r="C32" s="2669"/>
      <c r="D32" s="2665"/>
      <c r="E32" s="2662"/>
      <c r="F32" s="2662"/>
      <c r="G32" s="2662"/>
      <c r="H32" s="2662"/>
      <c r="I32" s="3477" t="s">
        <v>3413</v>
      </c>
      <c r="J32" s="3477" t="str">
        <f>J31</f>
        <v>1层</v>
      </c>
      <c r="K32" s="3490">
        <f>'数据-基础表'!I16</f>
        <v>1542.04</v>
      </c>
      <c r="L32" s="3477">
        <f>L31</f>
        <v>2400</v>
      </c>
      <c r="M32" s="3478">
        <f>ROUND(L32*K32/10000,0)</f>
        <v>370</v>
      </c>
      <c r="N32" s="3477">
        <v>1</v>
      </c>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5">
        <v>0.03</v>
      </c>
      <c r="C33" s="2792" t="s">
        <v>2294</v>
      </c>
      <c r="D33" s="2665"/>
      <c r="E33" s="2662"/>
      <c r="F33" s="2662"/>
      <c r="G33" s="2662"/>
      <c r="H33" s="2662"/>
      <c r="I33" s="3477" t="s">
        <v>3414</v>
      </c>
      <c r="J33" s="3477" t="s">
        <v>3412</v>
      </c>
      <c r="K33" s="3490">
        <f>'数据-基础表'!I17</f>
        <v>5689.92</v>
      </c>
      <c r="L33" s="3477">
        <v>1000</v>
      </c>
      <c r="M33" s="3478">
        <f>ROUND(L33*K33/10000,0)</f>
        <v>569</v>
      </c>
      <c r="N33" s="3477"/>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3478"/>
      <c r="J34" s="3478"/>
      <c r="K34" s="3479">
        <f>K29+K30+K31+K32+K33</f>
        <v>9081.33</v>
      </c>
      <c r="L34" s="3481">
        <f>M34*10000/K34</f>
        <v>1527.3093258366341</v>
      </c>
      <c r="M34" s="3479">
        <f>M29+M30+M31+M32+M33</f>
        <v>1387</v>
      </c>
      <c r="N34" s="3480">
        <f>SUMPRODUCT(N29:N33,K29:K33)/K34</f>
        <v>0.41971275132607228</v>
      </c>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6">
        <v>200</v>
      </c>
      <c r="C35" s="2792" t="s">
        <v>2296</v>
      </c>
      <c r="D35" s="2668"/>
      <c r="E35" s="2651"/>
      <c r="F35" s="2651"/>
      <c r="G35" s="2662"/>
      <c r="H35" s="2662"/>
      <c r="I35" s="3471"/>
      <c r="J35" s="3471"/>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7">
        <v>1.4999999999999999E-2</v>
      </c>
      <c r="C36" s="2792" t="s">
        <v>2297</v>
      </c>
      <c r="D36" s="2665"/>
      <c r="E36" s="2662"/>
      <c r="F36" s="2662"/>
      <c r="G36" s="2662"/>
      <c r="H36" s="2662"/>
      <c r="I36" s="3483"/>
      <c r="J36" s="3482" t="s">
        <v>3466</v>
      </c>
      <c r="K36" s="3484" t="s">
        <v>3467</v>
      </c>
      <c r="L36" s="3484" t="s">
        <v>3468</v>
      </c>
      <c r="M36" s="3484" t="s">
        <v>3469</v>
      </c>
      <c r="N36" s="3484" t="s">
        <v>3470</v>
      </c>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76">
        <v>0.02</v>
      </c>
      <c r="C37" s="2792" t="s">
        <v>2298</v>
      </c>
      <c r="D37" s="2665"/>
      <c r="E37" s="2662"/>
      <c r="F37" s="2662"/>
      <c r="G37" s="2662"/>
      <c r="H37" s="2662"/>
      <c r="I37" s="3483" t="s">
        <v>3465</v>
      </c>
      <c r="J37" s="3478">
        <f>150-10*2</f>
        <v>130</v>
      </c>
      <c r="K37" s="3478">
        <v>43</v>
      </c>
      <c r="L37" s="3478">
        <f>J37*K37</f>
        <v>5590</v>
      </c>
      <c r="M37" s="3479">
        <f>K30-L37</f>
        <v>-4047.96</v>
      </c>
      <c r="N37" s="3481">
        <f>(N29*M37+N31*L37)/K30</f>
        <v>-5.0027236647557344E-2</v>
      </c>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76">
        <v>0.01</v>
      </c>
      <c r="C38" s="2792" t="s">
        <v>2298</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t="s">
        <v>3457</v>
      </c>
      <c r="J40" s="3441" t="s">
        <v>3396</v>
      </c>
      <c r="K40" s="3442" t="s">
        <v>3397</v>
      </c>
      <c r="L40" s="3442" t="s">
        <v>3398</v>
      </c>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t="s">
        <v>3400</v>
      </c>
      <c r="J41" s="3445">
        <f>J42+J43</f>
        <v>1542.04</v>
      </c>
      <c r="K41" s="3446">
        <f>L41/J41</f>
        <v>1600</v>
      </c>
      <c r="L41" s="3446">
        <f>L42+L43</f>
        <v>2467264</v>
      </c>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t="s">
        <v>3401</v>
      </c>
      <c r="J42" s="3451">
        <f>'数据-基础表'!I14</f>
        <v>1542.04</v>
      </c>
      <c r="K42" s="3449">
        <v>1600</v>
      </c>
      <c r="L42" s="3449">
        <f>K42*J42</f>
        <v>2467264</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t="s">
        <v>3402</v>
      </c>
      <c r="J43" s="3449">
        <v>0</v>
      </c>
      <c r="K43" s="3449">
        <v>0</v>
      </c>
      <c r="L43" s="3449">
        <f t="shared" ref="L43" si="13">K43*J43</f>
        <v>0</v>
      </c>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t="s">
        <v>3403</v>
      </c>
      <c r="J44" s="3445">
        <f>J41</f>
        <v>1542.04</v>
      </c>
      <c r="K44" s="3446">
        <v>60</v>
      </c>
      <c r="L44" s="3446">
        <f>K44*J44</f>
        <v>92522.4</v>
      </c>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8">
        <v>0.03</v>
      </c>
      <c r="C45" s="2791" t="s">
        <v>2299</v>
      </c>
      <c r="D45" s="2665"/>
      <c r="E45" s="2662"/>
      <c r="F45" s="2662"/>
      <c r="G45" s="2662"/>
      <c r="H45" s="2662"/>
      <c r="I45" s="3444" t="s">
        <v>3404</v>
      </c>
      <c r="J45" s="3445">
        <f>J41</f>
        <v>1542.04</v>
      </c>
      <c r="K45" s="3446">
        <v>600</v>
      </c>
      <c r="L45" s="3446">
        <f>K45*J45</f>
        <v>925224</v>
      </c>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8">
        <v>0.02</v>
      </c>
      <c r="C46" s="2791" t="s">
        <v>2300</v>
      </c>
      <c r="D46" s="2665"/>
      <c r="E46" s="2662"/>
      <c r="F46" s="2662"/>
      <c r="G46" s="2662"/>
      <c r="H46" s="2662"/>
      <c r="I46" s="3444" t="s">
        <v>3405</v>
      </c>
      <c r="J46" s="3445">
        <v>0</v>
      </c>
      <c r="K46" s="3446">
        <f>K43</f>
        <v>0</v>
      </c>
      <c r="L46" s="3446">
        <f t="shared" ref="L46" si="14">K46*J46</f>
        <v>0</v>
      </c>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59"/>
      <c r="C47" s="2794" t="s">
        <v>2308</v>
      </c>
      <c r="D47" s="2665"/>
      <c r="E47" s="2662"/>
      <c r="F47" s="2662"/>
      <c r="G47" s="2662"/>
      <c r="H47" s="2662"/>
      <c r="I47" s="3441" t="s">
        <v>3406</v>
      </c>
      <c r="J47" s="2661">
        <f>J41</f>
        <v>1542.04</v>
      </c>
      <c r="K47" s="3450">
        <f>L47/J47</f>
        <v>2260</v>
      </c>
      <c r="L47" s="3450">
        <f>L41+L44+L45+L46</f>
        <v>3485010.4</v>
      </c>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0">
        <v>0.03</v>
      </c>
      <c r="C48" s="2791" t="s">
        <v>2299</v>
      </c>
      <c r="D48" s="2665"/>
      <c r="E48" s="2662"/>
      <c r="F48" s="2662"/>
      <c r="G48" s="2662"/>
      <c r="H48" s="2662"/>
      <c r="I48" s="3441" t="s">
        <v>3456</v>
      </c>
      <c r="J48" s="3470">
        <f>J27</f>
        <v>0.06</v>
      </c>
      <c r="K48" s="2660">
        <f>K47*(1+J48)</f>
        <v>2395.6</v>
      </c>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8">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84" t="s">
        <v>2285</v>
      </c>
      <c r="B1" s="3585"/>
      <c r="C1" s="3585"/>
      <c r="D1" s="3585"/>
      <c r="E1" s="3585"/>
      <c r="F1" s="3585"/>
      <c r="G1" s="358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23228.35</v>
      </c>
      <c r="C1" s="2675"/>
      <c r="D1" s="2675"/>
      <c r="E1" s="2675"/>
      <c r="F1" s="2675"/>
      <c r="G1" s="2676"/>
      <c r="H1" s="2677"/>
      <c r="I1" s="2677"/>
      <c r="J1" s="2677"/>
      <c r="K1" s="2677"/>
    </row>
    <row r="2" spans="1:11" ht="16.5">
      <c r="A2" s="2503" t="s">
        <v>653</v>
      </c>
      <c r="B2" s="2503">
        <f>SUM(C14:C23)</f>
        <v>15458.2</v>
      </c>
      <c r="C2" s="2675"/>
      <c r="D2" s="2675"/>
      <c r="E2" s="2675"/>
      <c r="F2" s="2675"/>
      <c r="G2" s="2676"/>
      <c r="H2" s="2677"/>
      <c r="I2" s="2677"/>
      <c r="J2" s="2677"/>
      <c r="K2" s="2677"/>
    </row>
    <row r="3" spans="1:11" ht="16.5">
      <c r="A3" s="2503" t="s">
        <v>662</v>
      </c>
      <c r="B3" s="2505">
        <f>项目基本情况!D3</f>
        <v>45398</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21021</v>
      </c>
      <c r="C5" s="2503">
        <f ca="1">IF(B5=D14,结果表!H102,ROUND(B5*10000/$B$1,0))</f>
        <v>9050</v>
      </c>
      <c r="D5" s="2503">
        <f ca="1">ROUND(B5*10000/$B$2,0)</f>
        <v>13599</v>
      </c>
      <c r="E5" s="2675"/>
      <c r="F5" s="2676"/>
      <c r="G5" s="2676"/>
      <c r="H5" s="2677"/>
      <c r="I5" s="2677"/>
      <c r="J5" s="2677"/>
      <c r="K5" s="2677"/>
    </row>
    <row r="6" spans="1:11" ht="16.5">
      <c r="A6" s="2503" t="s">
        <v>656</v>
      </c>
      <c r="B6" s="2503">
        <f ca="1">SUM(G14:G23)</f>
        <v>21021</v>
      </c>
      <c r="C6" s="2503">
        <f ca="1">IF(B6=G14,结果表!H108,ROUND(B6*10000/$B$1,0))</f>
        <v>9050</v>
      </c>
      <c r="D6" s="2503">
        <f ca="1">ROUND(B6*10000/$B$2,0)</f>
        <v>13599</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t="str">
        <f>IF(B8=I14,结果表!H112,ROUND(B8*10000/$B$1,0))</f>
        <v>——</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23228.35</v>
      </c>
      <c r="C14" s="2509">
        <f>结果表!C118</f>
        <v>15458.2</v>
      </c>
      <c r="D14" s="2509">
        <f ca="1">结果表!H118</f>
        <v>21021</v>
      </c>
      <c r="E14" s="2509">
        <f ca="1">ROUND(D14*10000/B14,0)</f>
        <v>9050</v>
      </c>
      <c r="F14" s="2509">
        <f ca="1">ROUND(D14*10000/C14,0)</f>
        <v>13599</v>
      </c>
      <c r="G14" s="2509">
        <f ca="1">D14</f>
        <v>21021</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3428</v>
      </c>
      <c r="H1" s="1741" t="str">
        <f>IF(G1="现房","——","估价对象范围")</f>
        <v>——</v>
      </c>
      <c r="I1" s="1742" t="s">
        <v>3429</v>
      </c>
    </row>
    <row r="2" spans="1:12" ht="21.75" customHeight="1" thickBot="1">
      <c r="A2" s="3620" t="str">
        <f>项目基本情况!S2</f>
        <v>北京市经济技术开发区兴海二街5好远1号楼等房地产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45" t="s">
        <v>1265</v>
      </c>
      <c r="B4" s="1746" t="s">
        <v>1266</v>
      </c>
      <c r="C4" s="1747" t="s">
        <v>3508</v>
      </c>
      <c r="D4" s="1747" t="s">
        <v>3509</v>
      </c>
      <c r="E4" s="3626" t="s">
        <v>1267</v>
      </c>
      <c r="F4" s="3627"/>
      <c r="G4" s="3627"/>
      <c r="H4" s="3627"/>
      <c r="I4" s="3628"/>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25" t="s">
        <v>1269</v>
      </c>
      <c r="F5" s="1748"/>
      <c r="G5" s="1748"/>
      <c r="H5" s="1748"/>
      <c r="I5" s="1364"/>
    </row>
    <row r="6" spans="1:12" ht="12.75">
      <c r="A6" s="3600"/>
      <c r="B6" s="3587"/>
      <c r="C6" s="3604"/>
      <c r="D6" s="3623"/>
      <c r="E6" s="125" t="s">
        <v>1270</v>
      </c>
      <c r="F6" s="1748"/>
      <c r="G6" s="1748"/>
      <c r="H6" s="1748"/>
      <c r="I6" s="1364"/>
    </row>
    <row r="7" spans="1:12" ht="12.75">
      <c r="A7" s="3600"/>
      <c r="B7" s="3587"/>
      <c r="C7" s="3605"/>
      <c r="D7" s="3623"/>
      <c r="E7" s="125" t="s">
        <v>1271</v>
      </c>
      <c r="F7" s="1748"/>
      <c r="G7" s="1748"/>
      <c r="H7" s="1748"/>
      <c r="I7" s="1364"/>
    </row>
    <row r="8" spans="1:12" ht="12.75">
      <c r="A8" s="3600" t="s">
        <v>1272</v>
      </c>
      <c r="B8" s="3587">
        <v>15</v>
      </c>
      <c r="C8" s="3603"/>
      <c r="D8" s="3623"/>
      <c r="E8" s="125" t="s">
        <v>1273</v>
      </c>
      <c r="F8" s="1748"/>
      <c r="G8" s="1748"/>
      <c r="H8" s="1748"/>
      <c r="I8" s="1364"/>
    </row>
    <row r="9" spans="1:12" ht="12.75">
      <c r="A9" s="3600"/>
      <c r="B9" s="3587"/>
      <c r="C9" s="3605"/>
      <c r="D9" s="3623"/>
      <c r="E9" s="125" t="s">
        <v>1274</v>
      </c>
      <c r="F9" s="1748"/>
      <c r="G9" s="1748"/>
      <c r="H9" s="1748"/>
      <c r="I9" s="1364"/>
    </row>
    <row r="10" spans="1:12" ht="12.75">
      <c r="A10" s="3600" t="s">
        <v>1275</v>
      </c>
      <c r="B10" s="3587">
        <v>15</v>
      </c>
      <c r="C10" s="3603"/>
      <c r="D10" s="3623"/>
      <c r="E10" s="125" t="s">
        <v>1276</v>
      </c>
      <c r="F10" s="1748"/>
      <c r="G10" s="1748"/>
      <c r="H10" s="1748"/>
      <c r="I10" s="1364"/>
    </row>
    <row r="11" spans="1:12" ht="12.75">
      <c r="A11" s="3600"/>
      <c r="B11" s="3587"/>
      <c r="C11" s="3605"/>
      <c r="D11" s="3623"/>
      <c r="E11" s="125" t="s">
        <v>1277</v>
      </c>
      <c r="F11" s="1748"/>
      <c r="G11" s="1748"/>
      <c r="H11" s="1748"/>
      <c r="I11" s="1364"/>
    </row>
    <row r="12" spans="1:12" ht="12.75">
      <c r="A12" s="3600" t="s">
        <v>1278</v>
      </c>
      <c r="B12" s="3587">
        <v>15</v>
      </c>
      <c r="C12" s="3603"/>
      <c r="D12" s="3623"/>
      <c r="E12" s="125" t="s">
        <v>1279</v>
      </c>
      <c r="F12" s="1748"/>
      <c r="G12" s="1748"/>
      <c r="H12" s="1748"/>
      <c r="I12" s="1364"/>
    </row>
    <row r="13" spans="1:12" ht="12.75">
      <c r="A13" s="3600"/>
      <c r="B13" s="3587"/>
      <c r="C13" s="3605"/>
      <c r="D13" s="3623"/>
      <c r="E13" s="125" t="s">
        <v>1280</v>
      </c>
      <c r="F13" s="1748"/>
      <c r="G13" s="1748"/>
      <c r="H13" s="1748"/>
      <c r="I13" s="1364"/>
    </row>
    <row r="14" spans="1:12" ht="12.75">
      <c r="A14" s="3600" t="s">
        <v>1281</v>
      </c>
      <c r="B14" s="3587">
        <v>30</v>
      </c>
      <c r="C14" s="3603">
        <v>4</v>
      </c>
      <c r="D14" s="3623">
        <v>6</v>
      </c>
      <c r="E14" s="125" t="s">
        <v>1282</v>
      </c>
      <c r="F14" s="1748"/>
      <c r="G14" s="1748"/>
      <c r="H14" s="1748"/>
      <c r="I14" s="1364"/>
    </row>
    <row r="15" spans="1:12" ht="12.75">
      <c r="A15" s="3600"/>
      <c r="B15" s="3587"/>
      <c r="C15" s="3604"/>
      <c r="D15" s="3623"/>
      <c r="E15" s="125" t="s">
        <v>1283</v>
      </c>
      <c r="F15" s="1748"/>
      <c r="G15" s="1748"/>
      <c r="H15" s="1748"/>
      <c r="I15" s="1364"/>
    </row>
    <row r="16" spans="1:12" ht="12.75">
      <c r="A16" s="3600"/>
      <c r="B16" s="3587"/>
      <c r="C16" s="3605"/>
      <c r="D16" s="3623"/>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10" t="s">
        <v>2130</v>
      </c>
      <c r="F18" s="3611"/>
      <c r="G18" s="3611"/>
      <c r="H18" s="3611"/>
      <c r="I18" s="3611"/>
      <c r="K18" s="296" t="s">
        <v>1289</v>
      </c>
      <c r="L18" s="296">
        <f>IF(C1="",'数据-汇总表'!E3,SUMIF(项目类型,C1,'数据-汇总表'!E17:E26)+SUMIF(项目类型,C1,'数据-汇总表'!I17:I26))</f>
        <v>23228.35</v>
      </c>
      <c r="M18" s="296">
        <f>IF(C1="",'数据-汇总表'!E3,SUMIF(项目类型,C1,'数据-汇总表'!E17:E26))</f>
        <v>23228.35</v>
      </c>
    </row>
    <row r="19" spans="1:36" ht="15">
      <c r="A19" s="1752" t="s">
        <v>1290</v>
      </c>
      <c r="B19" s="1753" t="s">
        <v>1291</v>
      </c>
      <c r="C19" s="128">
        <f ca="1">SUMIF(INDIRECT("'"&amp;C4&amp;"'"&amp;"!A:A"),结果表!B19,INDIRECT("'"&amp;C4&amp;"'"&amp;"!B:B"))</f>
        <v>15177.9427</v>
      </c>
      <c r="D19" s="129">
        <f ca="1">SUMIF(INDIRECT("'"&amp;D4&amp;"'"&amp;"!A:A"),结果表!B19,INDIRECT("'"&amp;D4&amp;"'"&amp;"!B:B"))</f>
        <v>24916.753799999999</v>
      </c>
      <c r="E19" s="1752" t="s">
        <v>1292</v>
      </c>
      <c r="F19" s="1753" t="s">
        <v>1291</v>
      </c>
      <c r="G19" s="130">
        <f ca="1">ROUND(C19*$C$18+D19*$D$18,0)</f>
        <v>21021</v>
      </c>
      <c r="H19" s="1754" t="s">
        <v>1293</v>
      </c>
      <c r="I19" s="123"/>
      <c r="K19" s="296" t="s">
        <v>1294</v>
      </c>
      <c r="L19" s="296">
        <f>IF(C1="",'数据-汇总表'!D3,SUMIF(项目类型,C1,'数据-汇总表'!D17:D26)+SUMIF(项目类型,C1,'数据-汇总表'!H17:H27))</f>
        <v>15458.2</v>
      </c>
      <c r="M19" s="296">
        <f>IF(C1="",'数据-汇总表'!D3,SUMIF(项目类型,C1,'数据-汇总表'!D17:D26))</f>
        <v>15458.2</v>
      </c>
    </row>
    <row r="20" spans="1:36" ht="15">
      <c r="A20" s="1755"/>
      <c r="B20" s="1017" t="s">
        <v>1295</v>
      </c>
      <c r="C20" s="131">
        <f ca="1">SUMIF(INDIRECT("'"&amp;C4&amp;"'"&amp;"!A:A"),结果表!B20,INDIRECT("'"&amp;C4&amp;"'"&amp;"!B:B"))</f>
        <v>6534</v>
      </c>
      <c r="D20" s="132">
        <f ca="1">SUMIF(INDIRECT("'"&amp;D4&amp;"'"&amp;"!A:A"),结果表!B20,INDIRECT("'"&amp;D4&amp;"'"&amp;"!B:B"))</f>
        <v>10727</v>
      </c>
      <c r="E20" s="1755"/>
      <c r="F20" s="1017" t="s">
        <v>1295</v>
      </c>
      <c r="G20" s="133">
        <f ca="1">ROUND(C20*$C$18+D20*$D$18,0)</f>
        <v>9050</v>
      </c>
      <c r="H20" s="799" t="s">
        <v>1296</v>
      </c>
      <c r="I20" s="123"/>
    </row>
    <row r="21" spans="1:36" ht="15" customHeight="1" thickBot="1">
      <c r="A21" s="819"/>
      <c r="B21" s="1756" t="s">
        <v>1297</v>
      </c>
      <c r="C21" s="710">
        <f ca="1">ROUND(C19*10000/L19,0)</f>
        <v>9819</v>
      </c>
      <c r="D21" s="711">
        <f ca="1">ROUND(D19*10000/L19,0)</f>
        <v>16119</v>
      </c>
      <c r="E21" s="819"/>
      <c r="F21" s="1756" t="s">
        <v>1297</v>
      </c>
      <c r="G21" s="134">
        <f ca="1">ROUND(G19*10000/L19,0)</f>
        <v>13599</v>
      </c>
      <c r="H21" s="1757" t="s">
        <v>1296</v>
      </c>
      <c r="I21" s="123"/>
      <c r="K21" s="716">
        <f>3000/L18</f>
        <v>0.12915252267164909</v>
      </c>
    </row>
    <row r="22" spans="1:36" ht="15" thickBot="1">
      <c r="A22" s="1679" t="s">
        <v>1298</v>
      </c>
      <c r="B22" s="1758"/>
      <c r="C22" s="1759"/>
      <c r="D22" s="712">
        <f ca="1">IF(C19&lt;D19,D19/C19-1,C19/D19-1)</f>
        <v>0.64164236830331411</v>
      </c>
      <c r="E22" s="123"/>
      <c r="F22" s="123"/>
      <c r="G22" s="123"/>
      <c r="H22" s="123"/>
      <c r="I22" s="123"/>
    </row>
    <row r="23" spans="1:36" ht="13.5" thickBot="1">
      <c r="A23" s="1738"/>
      <c r="B23" s="1738"/>
      <c r="C23" s="1738"/>
      <c r="D23" s="1738"/>
      <c r="E23" s="123"/>
      <c r="F23" s="123"/>
      <c r="G23" s="123"/>
      <c r="H23" s="123"/>
      <c r="I23" s="123"/>
    </row>
    <row r="24" spans="1:36" ht="14.25">
      <c r="A24" s="3594" t="s">
        <v>1299</v>
      </c>
      <c r="B24" s="1753" t="s">
        <v>1291</v>
      </c>
      <c r="C24" s="130">
        <f>IF(B30=0,0,D30)</f>
        <v>0</v>
      </c>
      <c r="D24" s="1760"/>
      <c r="E24" s="123"/>
      <c r="F24" s="123"/>
      <c r="G24" s="123"/>
      <c r="H24" s="123"/>
      <c r="I24" s="123"/>
    </row>
    <row r="25" spans="1:36" ht="14.25">
      <c r="A25" s="3595"/>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21021</v>
      </c>
      <c r="D32" s="1766" t="s">
        <v>3431</v>
      </c>
      <c r="E32" s="123"/>
      <c r="F32" s="123"/>
      <c r="G32" s="123"/>
      <c r="H32" s="123"/>
      <c r="I32" s="123"/>
    </row>
    <row r="33" spans="1:15" ht="15">
      <c r="A33" s="777" t="s">
        <v>1306</v>
      </c>
      <c r="B33" s="1767"/>
      <c r="C33" s="1768" t="s">
        <v>3432</v>
      </c>
      <c r="D33" s="1769" t="s">
        <v>3430</v>
      </c>
      <c r="E33" s="1770" t="s">
        <v>1307</v>
      </c>
      <c r="F33" s="1771" t="str">
        <f>IF(D32="楼面单价","取值（单价）","取值（总价）")</f>
        <v>取值（总价）</v>
      </c>
      <c r="G33" s="123"/>
      <c r="H33" s="123"/>
      <c r="I33" s="123"/>
    </row>
    <row r="34" spans="1:15" ht="15">
      <c r="A34" s="1772"/>
      <c r="B34" s="1773" t="s">
        <v>1308</v>
      </c>
      <c r="C34" s="142">
        <f ca="1">IF(C33="自定义",F34,C32-C35)</f>
        <v>7673</v>
      </c>
      <c r="D34" s="852">
        <f ca="1">IF(C33="自定义",ROUND(C34/C32,3),IF(C33="收益比率",SUMIF(INDIRECT("'"&amp;D33&amp;"'"&amp;"!b:b"),"土地收益比率",INDIRECT("'"&amp;D33&amp;"'"&amp;"!c:c")),SUMIF(INDIRECT("'"&amp;D33&amp;"'"&amp;"!b:b"),"土地成本比率",INDIRECT("'"&amp;D33&amp;"'"&amp;"!c:c"))))</f>
        <v>0.36499999999999999</v>
      </c>
      <c r="E34" s="1774" t="s">
        <v>1309</v>
      </c>
      <c r="F34" s="1321"/>
      <c r="G34" s="123"/>
      <c r="H34" s="123"/>
      <c r="I34" s="123"/>
    </row>
    <row r="35" spans="1:15" ht="15.75" thickBot="1">
      <c r="A35" s="1775"/>
      <c r="B35" s="1776" t="s">
        <v>1310</v>
      </c>
      <c r="C35" s="1161">
        <f ca="1">IF(C33="自定义",F35,ROUND(C32*D35,0))</f>
        <v>13348</v>
      </c>
      <c r="D35" s="1162">
        <f ca="1">IF(C33="自定义",ROUND(C35/C32,3),IF(C33="收益比率",SUMIF(INDIRECT("'"&amp;D33&amp;"'"&amp;"!b:b"),"建筑物收益比率",INDIRECT("'"&amp;D33&amp;"'"&amp;"!c:c")),SUMIF(INDIRECT("'"&amp;D33&amp;"'"&amp;"!b:b"),"建筑物成本比率",INDIRECT("'"&amp;D33&amp;"'"&amp;"!c:c"))))</f>
        <v>0.63500000000000001</v>
      </c>
      <c r="E35" s="1777" t="s">
        <v>1311</v>
      </c>
      <c r="F35" s="148"/>
      <c r="G35" s="123"/>
      <c r="H35" s="123"/>
      <c r="I35" s="123"/>
    </row>
    <row r="36" spans="1:15" ht="15.75" thickBot="1">
      <c r="A36" s="3614" t="s">
        <v>1312</v>
      </c>
      <c r="B36" s="1778" t="s">
        <v>1313</v>
      </c>
      <c r="C36" s="139"/>
      <c r="D36" s="1779"/>
      <c r="E36" s="1780"/>
      <c r="F36" s="1781"/>
      <c r="G36" s="123"/>
      <c r="H36" s="123"/>
      <c r="I36" s="123"/>
    </row>
    <row r="37" spans="1:15" ht="15.75" thickBot="1">
      <c r="A37" s="3615"/>
      <c r="B37" s="1665" t="s">
        <v>1314</v>
      </c>
      <c r="C37" s="141"/>
      <c r="D37" s="1130"/>
      <c r="E37" s="1130"/>
      <c r="F37" s="1781"/>
      <c r="G37" s="123"/>
      <c r="H37" s="123"/>
      <c r="I37" s="123"/>
    </row>
    <row r="38" spans="1:15" ht="15.75" thickBot="1">
      <c r="A38" s="3616"/>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91" t="s">
        <v>1326</v>
      </c>
      <c r="B45" s="3592"/>
      <c r="C45" s="3593"/>
      <c r="D45" s="149">
        <f ca="1">ROUND(H101*F45,0)</f>
        <v>21021</v>
      </c>
      <c r="E45" s="150" t="s">
        <v>1327</v>
      </c>
      <c r="F45" s="151">
        <v>1</v>
      </c>
      <c r="G45" s="152" t="s">
        <v>1328</v>
      </c>
      <c r="H45" s="123"/>
      <c r="I45" s="123"/>
      <c r="J45" s="3669" t="s">
        <v>1329</v>
      </c>
      <c r="K45" s="3669"/>
      <c r="L45" s="3669"/>
      <c r="M45" s="3669"/>
      <c r="N45" s="3669"/>
      <c r="O45" s="3669"/>
    </row>
    <row r="46" spans="1:15" ht="14.25" customHeight="1">
      <c r="A46" s="3588" t="s">
        <v>1330</v>
      </c>
      <c r="B46" s="3589"/>
      <c r="C46" s="3589"/>
      <c r="D46" s="3589"/>
      <c r="E46" s="3589"/>
      <c r="F46" s="3589"/>
      <c r="G46" s="3590"/>
      <c r="H46" s="1797"/>
      <c r="I46" s="153"/>
      <c r="J46" s="2514">
        <v>1</v>
      </c>
      <c r="K46" s="3650" t="s">
        <v>1331</v>
      </c>
      <c r="L46" s="3650"/>
      <c r="M46" s="3670"/>
      <c r="N46" s="3670"/>
      <c r="O46" s="3670"/>
    </row>
    <row r="47" spans="1:15" ht="12" customHeight="1">
      <c r="A47" s="154" t="s">
        <v>1332</v>
      </c>
      <c r="B47" s="155"/>
      <c r="C47" s="156"/>
      <c r="D47" s="1078" t="s">
        <v>1333</v>
      </c>
      <c r="E47" s="296" t="s">
        <v>1334</v>
      </c>
      <c r="F47" s="157" t="s">
        <v>1335</v>
      </c>
      <c r="G47" s="2537" t="s">
        <v>1336</v>
      </c>
      <c r="H47" s="2538"/>
      <c r="I47" s="153"/>
      <c r="J47" s="2514">
        <v>2</v>
      </c>
      <c r="K47" s="3650" t="s">
        <v>1337</v>
      </c>
      <c r="L47" s="3650"/>
      <c r="M47" s="3671">
        <f>'数据-取费表'!B2</f>
        <v>45398</v>
      </c>
      <c r="N47" s="3671"/>
      <c r="O47" s="3671"/>
    </row>
    <row r="48" spans="1:15" ht="25.5">
      <c r="A48" s="3619" t="s">
        <v>1338</v>
      </c>
      <c r="B48" s="3602"/>
      <c r="C48" s="3602"/>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650" t="s">
        <v>1340</v>
      </c>
      <c r="L48" s="3650"/>
      <c r="M48" s="3672">
        <f ca="1">H101</f>
        <v>21021</v>
      </c>
      <c r="N48" s="3672"/>
      <c r="O48" s="3672"/>
    </row>
    <row r="49" spans="1:35" ht="25.5" customHeight="1">
      <c r="A49" s="2324" t="s">
        <v>1341</v>
      </c>
      <c r="B49" s="3586" t="s">
        <v>1342</v>
      </c>
      <c r="C49" s="3586"/>
      <c r="D49" s="1581">
        <v>0</v>
      </c>
      <c r="E49" s="318" t="s">
        <v>1343</v>
      </c>
      <c r="F49" s="2415" t="s">
        <v>28</v>
      </c>
      <c r="G49" s="3656"/>
      <c r="H49" s="2301" t="s">
        <v>2133</v>
      </c>
      <c r="I49" s="2302"/>
      <c r="J49" s="2514">
        <v>4</v>
      </c>
      <c r="K49" s="3650" t="str">
        <f>IF(项目基本情况!E8="房地产抵押价值","房地产抵押价值","抵押担保权已注销时的房地产抵押价值")</f>
        <v>房地产抵押价值</v>
      </c>
      <c r="L49" s="3650"/>
      <c r="M49" s="3672">
        <f ca="1">IF(项目基本情况!E8="房地产抵押价值",H107,H109)</f>
        <v>21021</v>
      </c>
      <c r="N49" s="3672"/>
      <c r="O49" s="3672"/>
    </row>
    <row r="50" spans="1:35" ht="25.5" customHeight="1">
      <c r="A50" s="2542"/>
      <c r="B50" s="3586" t="s">
        <v>1344</v>
      </c>
      <c r="C50" s="3586"/>
      <c r="D50" s="2543"/>
      <c r="E50" s="326"/>
      <c r="F50" s="2415"/>
      <c r="G50" s="3657"/>
      <c r="H50" s="2303" t="s">
        <v>2134</v>
      </c>
      <c r="I50" s="2302"/>
      <c r="J50" s="3669" t="s">
        <v>1345</v>
      </c>
      <c r="K50" s="3669"/>
      <c r="L50" s="3669"/>
      <c r="M50" s="3669"/>
      <c r="N50" s="3669"/>
      <c r="O50" s="3669"/>
    </row>
    <row r="51" spans="1:35" ht="20.45" customHeight="1">
      <c r="A51" s="2544"/>
      <c r="B51" s="3586" t="s">
        <v>1346</v>
      </c>
      <c r="C51" s="3586"/>
      <c r="D51" s="1078"/>
      <c r="E51" s="321"/>
      <c r="F51" s="2415"/>
      <c r="G51" s="3658"/>
      <c r="H51" s="2303" t="s">
        <v>2135</v>
      </c>
      <c r="I51" s="2302"/>
      <c r="J51" s="2515" t="s">
        <v>1347</v>
      </c>
      <c r="K51" s="3650" t="s">
        <v>1348</v>
      </c>
      <c r="L51" s="3650"/>
      <c r="M51" s="2515" t="s">
        <v>1349</v>
      </c>
      <c r="N51" s="2515" t="s">
        <v>1350</v>
      </c>
      <c r="O51" s="2515" t="s">
        <v>1351</v>
      </c>
    </row>
    <row r="52" spans="1:35" ht="24" customHeight="1">
      <c r="A52" s="2326" t="s">
        <v>1352</v>
      </c>
      <c r="B52" s="3586" t="s">
        <v>1353</v>
      </c>
      <c r="C52" s="3586"/>
      <c r="D52" s="1078">
        <f ca="1">ROUND(D45*'数据-取费表'!B41/(1+'数据-取费表'!C42),0)</f>
        <v>1101</v>
      </c>
      <c r="E52" s="2325" t="s">
        <v>1354</v>
      </c>
      <c r="F52" s="2545">
        <f>'数据-取费表'!B41</f>
        <v>5.5000000000000007E-2</v>
      </c>
      <c r="G52" s="2546"/>
      <c r="H52" s="2535"/>
      <c r="I52" s="1798"/>
      <c r="J52" s="2514">
        <v>1</v>
      </c>
      <c r="K52" s="3651" t="s">
        <v>1355</v>
      </c>
      <c r="L52" s="3651"/>
      <c r="M52" s="2516" t="b">
        <f>D48</f>
        <v>0</v>
      </c>
      <c r="N52" s="2514" t="str">
        <f>E48</f>
        <v>销售额×税（费）率</v>
      </c>
      <c r="O52" s="2517">
        <f>F48</f>
        <v>5.5000000000000007E-2</v>
      </c>
    </row>
    <row r="53" spans="1:35" ht="12" customHeight="1">
      <c r="A53" s="2326" t="s">
        <v>1356</v>
      </c>
      <c r="B53" s="3612" t="s">
        <v>2290</v>
      </c>
      <c r="C53" s="3613"/>
      <c r="D53" s="1078">
        <f ca="1">ROUND(D45*'数据-取费表'!B41/(1+'数据-取费表'!C42),0)</f>
        <v>1101</v>
      </c>
      <c r="E53" s="2325" t="s">
        <v>1354</v>
      </c>
      <c r="F53" s="2545">
        <f>'数据-取费表'!B41</f>
        <v>5.5000000000000007E-2</v>
      </c>
      <c r="G53" s="2546"/>
      <c r="H53" s="2535"/>
      <c r="I53" s="1798"/>
      <c r="J53" s="2514">
        <v>2</v>
      </c>
      <c r="K53" s="3651" t="s">
        <v>1357</v>
      </c>
      <c r="L53" s="3651"/>
      <c r="M53" s="2516">
        <f t="shared" ref="M53:O54" ca="1" si="0">D55</f>
        <v>11</v>
      </c>
      <c r="N53" s="2514" t="str">
        <f t="shared" si="0"/>
        <v>销售额×税（费）率</v>
      </c>
      <c r="O53" s="2517" t="str">
        <f t="shared" si="0"/>
        <v>免征</v>
      </c>
    </row>
    <row r="54" spans="1:35" ht="12" customHeight="1">
      <c r="A54" s="2326" t="s">
        <v>1358</v>
      </c>
      <c r="B54" s="3612" t="s">
        <v>2291</v>
      </c>
      <c r="C54" s="3613"/>
      <c r="D54" s="1078">
        <f ca="1">C68</f>
        <v>1101</v>
      </c>
      <c r="E54" s="321" t="s">
        <v>1359</v>
      </c>
      <c r="F54" s="2545">
        <f>'数据-取费表'!B41</f>
        <v>5.5000000000000007E-2</v>
      </c>
      <c r="G54" s="2546"/>
      <c r="H54" s="2547"/>
      <c r="I54" s="1798"/>
      <c r="J54" s="2514">
        <v>3</v>
      </c>
      <c r="K54" s="3651" t="s">
        <v>1360</v>
      </c>
      <c r="L54" s="3651"/>
      <c r="M54" s="2516">
        <f t="shared" ca="1" si="0"/>
        <v>11917</v>
      </c>
      <c r="N54" s="2514" t="str">
        <f t="shared" si="0"/>
        <v>增值额×税（费）率</v>
      </c>
      <c r="O54" s="2518" t="str">
        <f t="shared" si="0"/>
        <v>免征</v>
      </c>
    </row>
    <row r="55" spans="1:35" ht="24" customHeight="1">
      <c r="A55" s="3601" t="s">
        <v>1361</v>
      </c>
      <c r="B55" s="3602"/>
      <c r="C55" s="3602"/>
      <c r="D55" s="2315">
        <f ca="1">IF(H55="个人住宅",0,ROUND(D45*I55,0))</f>
        <v>11</v>
      </c>
      <c r="E55" s="2325" t="s">
        <v>1362</v>
      </c>
      <c r="F55" s="2545" t="str">
        <f>IF(H55="正常",I55,"免征")</f>
        <v>免征</v>
      </c>
      <c r="G55" s="2546"/>
      <c r="H55" s="2541"/>
      <c r="I55" s="159">
        <f>'数据-取费表'!B49</f>
        <v>5.0000000000000001E-4</v>
      </c>
      <c r="J55" s="2514">
        <f>IF(H59="非个人房产","",4)</f>
        <v>4</v>
      </c>
      <c r="K55" s="3651" t="str">
        <f>IF(H59="非个人房产","——","个人所得税")</f>
        <v>个人所得税</v>
      </c>
      <c r="L55" s="3651"/>
      <c r="M55" s="2519">
        <f ca="1">D59</f>
        <v>200</v>
      </c>
      <c r="N55" s="2031" t="str">
        <f>E59</f>
        <v>差额计税</v>
      </c>
      <c r="O55" s="2520">
        <f>F59</f>
        <v>0.01</v>
      </c>
    </row>
    <row r="56" spans="1:35" ht="24.75">
      <c r="A56" s="3601" t="s">
        <v>1363</v>
      </c>
      <c r="B56" s="3602"/>
      <c r="C56" s="3602"/>
      <c r="D56" s="2315">
        <f ca="1">IF(H56="个人住宅",D57,D58)</f>
        <v>11917</v>
      </c>
      <c r="E56" s="2325" t="s">
        <v>1364</v>
      </c>
      <c r="F56" s="2545" t="str">
        <f>IF(H56="正常",F58,"免征")</f>
        <v>免征</v>
      </c>
      <c r="G56" s="2548" t="s">
        <v>1365</v>
      </c>
      <c r="H56" s="2549"/>
      <c r="I56" s="1799"/>
      <c r="J56" s="2514" t="str">
        <f>IF(项目基本情况!K6="上海银行",IF(J55="",4,J55+1),"")</f>
        <v/>
      </c>
      <c r="K56" s="3674" t="str">
        <f>IF(项目基本情况!K6="上海银行","其他处置费用","")</f>
        <v/>
      </c>
      <c r="L56" s="3675"/>
      <c r="M56" s="2516" t="str">
        <f>IF(项目基本情况!K6="上海银行",M69,"")</f>
        <v/>
      </c>
      <c r="N56" s="3674" t="str">
        <f>IF(项目基本情况!K6="上海银行","包含处置中涉及的律师、诉讼、拍卖、评估等费用","")</f>
        <v/>
      </c>
      <c r="O56" s="3677"/>
    </row>
    <row r="57" spans="1:35" ht="12.75">
      <c r="A57" s="2326" t="s">
        <v>1341</v>
      </c>
      <c r="B57" s="3612" t="s">
        <v>1366</v>
      </c>
      <c r="C57" s="3613"/>
      <c r="D57" s="1581">
        <v>0</v>
      </c>
      <c r="E57" s="318" t="s">
        <v>1343</v>
      </c>
      <c r="F57" s="296"/>
      <c r="G57" s="2546"/>
      <c r="H57" s="2550"/>
      <c r="I57" s="1799"/>
      <c r="J57" s="3651">
        <f>IF(AND(J55="",J56=""),4,IF(项目基本情况!K6="上海银行",结果表!J56+1,结果表!J55+1))</f>
        <v>5</v>
      </c>
      <c r="K57" s="3651" t="s">
        <v>1367</v>
      </c>
      <c r="L57" s="2521" t="s">
        <v>1368</v>
      </c>
      <c r="M57" s="2522"/>
      <c r="N57" s="2523">
        <f ca="1">SUMIF(M52:M56,"&lt;9e307")</f>
        <v>12128</v>
      </c>
      <c r="O57" s="2524"/>
      <c r="P57" s="2679">
        <f ca="1">N57/M49</f>
        <v>0.57694686266114836</v>
      </c>
    </row>
    <row r="58" spans="1:35" ht="24.75">
      <c r="A58" s="2326" t="s">
        <v>1352</v>
      </c>
      <c r="B58" s="3612" t="s">
        <v>1369</v>
      </c>
      <c r="C58" s="3586"/>
      <c r="D58" s="2315">
        <f ca="1">IF(H58="转让取得",C81,C97)</f>
        <v>11917</v>
      </c>
      <c r="E58" s="2325" t="s">
        <v>1364</v>
      </c>
      <c r="F58" s="296" t="s">
        <v>28</v>
      </c>
      <c r="G58" s="2546"/>
      <c r="H58" s="2549"/>
      <c r="I58" s="1799"/>
      <c r="J58" s="3651"/>
      <c r="K58" s="3651"/>
      <c r="L58" s="2521" t="s">
        <v>1370</v>
      </c>
      <c r="M58" s="2525"/>
      <c r="N58" s="2526" t="str">
        <f ca="1">NUMBERSTRING(INT(N57*10000),2)&amp;"元整"</f>
        <v>壹亿贰仟壹佰贰拾捌万元整</v>
      </c>
      <c r="O58" s="2527"/>
    </row>
    <row r="59" spans="1:35" ht="24.75" thickBot="1">
      <c r="A59" s="3654" t="s">
        <v>1371</v>
      </c>
      <c r="B59" s="3655"/>
      <c r="C59" s="3655"/>
      <c r="D59" s="2551">
        <f ca="1">IF(H59="非个人房产","——",IF(H59="个人住宅（满五唯一有凭证）",0,IF(H59="个人其他（无凭证）",ROUND(D45*F59,0),ROUND(C67*F59,0))))</f>
        <v>200</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2136</v>
      </c>
      <c r="J59" s="3652">
        <f>J57+1</f>
        <v>6</v>
      </c>
      <c r="K59" s="3651" t="s">
        <v>1372</v>
      </c>
      <c r="L59" s="2514" t="s">
        <v>1368</v>
      </c>
      <c r="M59" s="2528"/>
      <c r="N59" s="2529">
        <f ca="1">M49-N57</f>
        <v>8893</v>
      </c>
      <c r="O59" s="2530"/>
    </row>
    <row r="60" spans="1:35" ht="12" customHeight="1">
      <c r="A60" s="1800"/>
      <c r="B60" s="1738"/>
      <c r="C60" s="1738"/>
      <c r="D60" s="1738"/>
      <c r="E60" s="1569"/>
      <c r="F60" s="1799"/>
      <c r="G60" s="1799"/>
      <c r="H60" s="1801"/>
      <c r="I60" s="123"/>
      <c r="J60" s="3653"/>
      <c r="K60" s="3651"/>
      <c r="L60" s="2521" t="s">
        <v>1370</v>
      </c>
      <c r="M60" s="2525"/>
      <c r="N60" s="2526" t="str">
        <f ca="1">NUMBERSTRING(INT(N59*10000),2)&amp;"元整"</f>
        <v>捌仟捌佰玖拾叁万元整</v>
      </c>
      <c r="O60" s="2527"/>
    </row>
    <row r="61" spans="1:35" ht="13.5" thickBot="1">
      <c r="A61" s="3599" t="s">
        <v>1373</v>
      </c>
      <c r="B61" s="3599"/>
      <c r="C61" s="3599"/>
      <c r="D61" s="3599"/>
      <c r="E61" s="3599"/>
      <c r="F61" s="1799"/>
      <c r="G61" s="1799"/>
      <c r="H61" s="1801"/>
      <c r="I61" s="123"/>
      <c r="J61" s="2514">
        <f>J59+1</f>
        <v>7</v>
      </c>
      <c r="K61" s="3651" t="s">
        <v>1374</v>
      </c>
      <c r="L61" s="3651"/>
      <c r="M61" s="2531"/>
      <c r="N61" s="2532">
        <f ca="1">ROUND(N59*10000/'数据-汇总表'!E3,0)</f>
        <v>3829</v>
      </c>
      <c r="O61" s="2533"/>
    </row>
    <row r="62" spans="1:35" ht="12.75">
      <c r="A62" s="3617" t="s">
        <v>1375</v>
      </c>
      <c r="B62" s="3618"/>
      <c r="C62" s="2012"/>
      <c r="D62" s="2012" t="s">
        <v>1376</v>
      </c>
      <c r="E62" s="160" t="s">
        <v>1377</v>
      </c>
      <c r="F62" s="1799"/>
      <c r="G62" s="1799"/>
      <c r="H62" s="1801"/>
      <c r="I62" s="123"/>
    </row>
    <row r="63" spans="1:35" ht="12.75">
      <c r="A63" s="167" t="s">
        <v>330</v>
      </c>
      <c r="B63" s="161" t="s">
        <v>1378</v>
      </c>
      <c r="C63" s="2555">
        <f ca="1">ROUND((C64+C65)/(1+'数据-取费表'!C42),0)</f>
        <v>20020</v>
      </c>
      <c r="D63" s="161"/>
      <c r="E63" s="162"/>
      <c r="F63" s="1799"/>
      <c r="G63" s="1799"/>
      <c r="H63" s="1801"/>
      <c r="I63" s="123"/>
      <c r="J63" s="3676" t="s">
        <v>1379</v>
      </c>
      <c r="K63" s="1323" t="s">
        <v>1380</v>
      </c>
      <c r="L63" s="1323">
        <f ca="1">IF(M49&gt;10000,M49*0.5%,IF(AND(M49&gt;1000,M49&lt;=10000),M49*1%,IF(AND(M49&gt;100,M49&lt;=1000),M49*3%,IF(AND(M49&gt;10,M49&lt;=100),M49*5%,M49*8%))))</f>
        <v>105.105</v>
      </c>
      <c r="M63" s="296">
        <f ca="1">ROUND(L63,1)</f>
        <v>105.1</v>
      </c>
      <c r="N63" s="2534"/>
      <c r="Z63" s="1743"/>
      <c r="AI63" s="1744"/>
    </row>
    <row r="64" spans="1:35" ht="14.25" customHeight="1">
      <c r="A64" s="163" t="s">
        <v>325</v>
      </c>
      <c r="B64" s="164" t="s">
        <v>1381</v>
      </c>
      <c r="C64" s="2556">
        <f ca="1">D45</f>
        <v>21021</v>
      </c>
      <c r="D64" s="164" t="s">
        <v>26</v>
      </c>
      <c r="E64" s="166"/>
      <c r="F64" s="1799"/>
      <c r="G64" s="1799"/>
      <c r="H64" s="1801"/>
      <c r="I64" s="123"/>
      <c r="J64" s="3676"/>
      <c r="K64" s="1323" t="s">
        <v>1382</v>
      </c>
      <c r="L64" s="1323">
        <f ca="1">IF(M49&gt;2000,M49*0.5%,IF(AND(M49&gt;1000,M49&lt;=2000),M49*0.6%,IF(AND(M49&gt;500,M49&lt;=1000),M49*0.7%,IF(AND(M49&gt;200,M49&lt;=500),M49*0.8%,IF(AND(M49&gt;100,M49&lt;=200),M49*0.9%,IF(AND(M49&gt;50,M49&lt;=100),M49*1%,IF(AND(M49&gt;20,M49&lt;=50),M49*1.5%,IF(AND(M49&gt;10,M49&lt;=20),M49*2%,IF(AND(M49&gt;1,M49&lt;=10),M49*2.5%)))))))))</f>
        <v>105.105</v>
      </c>
      <c r="M64" s="296">
        <f t="shared" ref="M64:M65" ca="1" si="1">ROUND(L64,1)</f>
        <v>105.1</v>
      </c>
      <c r="N64" s="2535" t="s">
        <v>1383</v>
      </c>
      <c r="Z64" s="1743"/>
      <c r="AI64" s="1744"/>
    </row>
    <row r="65" spans="1:35" ht="14.25" customHeight="1">
      <c r="A65" s="163" t="s">
        <v>326</v>
      </c>
      <c r="B65" s="164" t="s">
        <v>1384</v>
      </c>
      <c r="C65" s="2557"/>
      <c r="D65" s="164"/>
      <c r="E65" s="166"/>
      <c r="F65" s="1799"/>
      <c r="G65" s="1799"/>
      <c r="H65" s="1801"/>
      <c r="I65" s="123"/>
      <c r="J65" s="3676"/>
      <c r="K65" s="1323" t="s">
        <v>1385</v>
      </c>
      <c r="L65" s="1323">
        <f ca="1">IF(M49&gt;1000,M49*0.1%,IF(AND(M49&gt;500,M49&lt;=1000),M49*0.5%,IF(AND(M49&gt;50,M49&lt;=500),M49*1%,IF(AND(M49&gt;1,M49&lt;=50),M49*1.5%))))</f>
        <v>21.021000000000001</v>
      </c>
      <c r="M65" s="296">
        <f t="shared" ca="1" si="1"/>
        <v>21</v>
      </c>
      <c r="N65" s="2535" t="s">
        <v>1383</v>
      </c>
      <c r="Z65" s="1743"/>
      <c r="AI65" s="1744"/>
    </row>
    <row r="66" spans="1:35" ht="14.25" customHeight="1">
      <c r="A66" s="167" t="s">
        <v>327</v>
      </c>
      <c r="B66" s="168" t="s">
        <v>1386</v>
      </c>
      <c r="C66" s="2558"/>
      <c r="D66" s="168" t="s">
        <v>26</v>
      </c>
      <c r="E66" s="1329" t="s">
        <v>671</v>
      </c>
      <c r="F66" s="1799"/>
      <c r="G66" s="1799"/>
      <c r="H66" s="1801"/>
      <c r="I66" s="123"/>
      <c r="J66" s="3676"/>
      <c r="K66" s="1323" t="s">
        <v>1387</v>
      </c>
      <c r="L66" s="1323">
        <f ca="1">M49*0.5%</f>
        <v>105.105</v>
      </c>
      <c r="M66" s="296">
        <f ca="1">IF(L66&gt;0.5,0.5,ROUND(L66,0))</f>
        <v>0.5</v>
      </c>
      <c r="N66" s="2535" t="s">
        <v>1388</v>
      </c>
      <c r="Z66" s="1743"/>
      <c r="AI66" s="1744"/>
    </row>
    <row r="67" spans="1:35" ht="14.25" customHeight="1">
      <c r="A67" s="167" t="s">
        <v>328</v>
      </c>
      <c r="B67" s="168" t="s">
        <v>1389</v>
      </c>
      <c r="C67" s="2559">
        <f ca="1">C63-C66</f>
        <v>20020</v>
      </c>
      <c r="D67" s="164" t="s">
        <v>26</v>
      </c>
      <c r="E67" s="166"/>
      <c r="F67" s="1799"/>
      <c r="G67" s="1799"/>
      <c r="H67" s="1801"/>
      <c r="I67" s="123"/>
      <c r="J67" s="3676"/>
      <c r="K67" s="1323" t="s">
        <v>1390</v>
      </c>
      <c r="L67" s="1323">
        <f ca="1">IF(M49&gt;=10000,(8.25+(M49-10000)*0.01%),IF(AND(M49&gt;=8000,M49&lt;10000),(7.85+(M49-8000)*0.02%),IF(AND(M49&gt;=5000,M49&lt;8000),(6.65+(M49-5000)*0.04%),IF(AND(M49&gt;=2000,M49&lt;5000),(4.25+(PM49-2000)*0.08%),IF(AND(M49&gt;=1000,M49&lt;2000),(2.75+(M49-1000)*0.15%),IF(AND(M49&gt;=100,M49&lt;1000),(0.5+(M49-100)*0.25%),IF(AND(M49&gt;0,M49&lt;100),M49*0.5%)))))))</f>
        <v>9.3521000000000001</v>
      </c>
      <c r="M67" s="296">
        <f ca="1">ROUND(L67*0.9,1)</f>
        <v>8.4</v>
      </c>
      <c r="N67" s="2534"/>
      <c r="Z67" s="1743"/>
      <c r="AI67" s="1744"/>
    </row>
    <row r="68" spans="1:35" ht="14.25" customHeight="1" thickBot="1">
      <c r="A68" s="170" t="s">
        <v>329</v>
      </c>
      <c r="B68" s="171" t="s">
        <v>1391</v>
      </c>
      <c r="C68" s="2560">
        <f ca="1">IF(C67&lt;=0,0,ROUND(C67*D68,0))</f>
        <v>1101</v>
      </c>
      <c r="D68" s="2561">
        <f>'数据-取费表'!B41</f>
        <v>5.5000000000000007E-2</v>
      </c>
      <c r="E68" s="172"/>
      <c r="F68" s="1799"/>
      <c r="G68" s="1799"/>
      <c r="H68" s="1801"/>
      <c r="I68" s="123"/>
      <c r="J68" s="3676"/>
      <c r="K68" s="1323" t="s">
        <v>1392</v>
      </c>
      <c r="L68" s="1323">
        <f ca="1">IF(M49&gt;10000,M49*0.5%,IF(AND(M49&gt;5000,M49&lt;=10000),M49*1%,IF(AND(M49&gt;1000,M49&lt;=5000),M49*2%,IF(AND(M49&gt;200,M49&lt;=1000),M49*3%,M49*5%))))</f>
        <v>105.105</v>
      </c>
      <c r="M68" s="296">
        <f ca="1">ROUND(L68,1)</f>
        <v>105.1</v>
      </c>
      <c r="N68" s="2534"/>
      <c r="Z68" s="1743"/>
      <c r="AI68" s="1744"/>
    </row>
    <row r="69" spans="1:35" s="1763" customFormat="1" ht="16.5" customHeight="1">
      <c r="A69" s="1802"/>
      <c r="B69" s="1803"/>
      <c r="C69" s="1804"/>
      <c r="D69" s="1805"/>
      <c r="E69" s="1806"/>
      <c r="F69" s="1569"/>
      <c r="G69" s="1569"/>
      <c r="H69" s="1568"/>
      <c r="I69" s="1738"/>
      <c r="J69" s="3676"/>
      <c r="K69" s="1323" t="s">
        <v>1393</v>
      </c>
      <c r="L69" s="1323"/>
      <c r="M69" s="296">
        <f ca="1">ROUND(SUM(M63:M68),0)</f>
        <v>345</v>
      </c>
      <c r="N69" s="2536">
        <f ca="1">M69/M49</f>
        <v>1.6412159269302125E-2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38" t="s">
        <v>1394</v>
      </c>
      <c r="B70" s="3639"/>
      <c r="C70" s="3639"/>
      <c r="D70" s="3639"/>
      <c r="E70" s="3639"/>
      <c r="F70" s="3639"/>
      <c r="G70" s="3639"/>
      <c r="H70" s="3639"/>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17" t="s">
        <v>1375</v>
      </c>
      <c r="B71" s="3618"/>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20020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100</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2" t="s">
        <v>1402</v>
      </c>
      <c r="F76" s="3586"/>
      <c r="G76" s="3586"/>
      <c r="H76" s="363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100</v>
      </c>
      <c r="D78" s="2568">
        <f>'数据-取费表'!B43</f>
        <v>5.000000000000001E-3</v>
      </c>
      <c r="E78" s="3596" t="s">
        <v>1406</v>
      </c>
      <c r="F78" s="3597"/>
      <c r="G78" s="3597"/>
      <c r="H78" s="360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19920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199.2</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11917</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38" t="s">
        <v>1410</v>
      </c>
      <c r="B83" s="3639"/>
      <c r="C83" s="3639"/>
      <c r="D83" s="3639"/>
      <c r="E83" s="3639"/>
      <c r="F83" s="3639"/>
      <c r="G83" s="3639"/>
      <c r="H83" s="363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17" t="s">
        <v>1375</v>
      </c>
      <c r="B84" s="3618"/>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20020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100</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78" t="s">
        <v>2128</v>
      </c>
      <c r="H90" s="3679"/>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6" t="s">
        <v>1419</v>
      </c>
      <c r="F91" s="3597"/>
      <c r="G91" s="359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6" t="s">
        <v>1422</v>
      </c>
      <c r="F92" s="3597"/>
      <c r="G92" s="3597"/>
      <c r="H92" s="3606"/>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100</v>
      </c>
      <c r="D93" s="2568">
        <f>'数据-取费表'!B43</f>
        <v>5.000000000000001E-3</v>
      </c>
      <c r="E93" s="3596" t="s">
        <v>1406</v>
      </c>
      <c r="F93" s="3597"/>
      <c r="G93" s="3597"/>
      <c r="H93" s="360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07" t="s">
        <v>1426</v>
      </c>
      <c r="F94" s="3608"/>
      <c r="G94" s="3608"/>
      <c r="H94" s="360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19920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199.2</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11917</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80" t="s">
        <v>1428</v>
      </c>
      <c r="B100" s="3581"/>
      <c r="C100" s="3581"/>
      <c r="D100" s="3598"/>
      <c r="E100" s="3581" t="s">
        <v>1429</v>
      </c>
      <c r="F100" s="3581"/>
      <c r="G100" s="3581"/>
      <c r="H100" s="3598"/>
      <c r="I100" s="123"/>
    </row>
    <row r="101" spans="1:35" ht="18.75" customHeight="1">
      <c r="A101" s="3659" t="s">
        <v>1430</v>
      </c>
      <c r="B101" s="3660"/>
      <c r="C101" s="2576" t="str">
        <f>C4</f>
        <v>成本法 (元)</v>
      </c>
      <c r="D101" s="2577" t="str">
        <f>D4</f>
        <v>收益法 (元)</v>
      </c>
      <c r="E101" s="3673" t="s">
        <v>1431</v>
      </c>
      <c r="F101" s="3630"/>
      <c r="G101" s="1818" t="s">
        <v>1432</v>
      </c>
      <c r="H101" s="2586">
        <f ca="1">H118</f>
        <v>21021</v>
      </c>
      <c r="I101" s="123"/>
    </row>
    <row r="102" spans="1:35" ht="18.75" customHeight="1">
      <c r="A102" s="3632" t="s">
        <v>1433</v>
      </c>
      <c r="B102" s="2575" t="s">
        <v>1432</v>
      </c>
      <c r="C102" s="2576">
        <f ca="1">IF(D32="楼面单价",ROUND(C19,0),C19)</f>
        <v>15177.9427</v>
      </c>
      <c r="D102" s="2577">
        <f ca="1">IF(D32="楼面单价",ROUND(D19,0),D19)</f>
        <v>24916.753799999999</v>
      </c>
      <c r="E102" s="3673"/>
      <c r="F102" s="3630"/>
      <c r="G102" s="1818" t="s">
        <v>1434</v>
      </c>
      <c r="H102" s="2546">
        <f ca="1">I118</f>
        <v>9050</v>
      </c>
      <c r="I102" s="123"/>
    </row>
    <row r="103" spans="1:35" ht="42.75" customHeight="1">
      <c r="A103" s="3632"/>
      <c r="B103" s="2575" t="s">
        <v>1434</v>
      </c>
      <c r="C103" s="2578">
        <f ca="1">C20</f>
        <v>6534</v>
      </c>
      <c r="D103" s="2579">
        <f ca="1">D20</f>
        <v>10727</v>
      </c>
      <c r="E103" s="3667" t="s">
        <v>1435</v>
      </c>
      <c r="F103" s="3668"/>
      <c r="G103" s="1819" t="s">
        <v>1436</v>
      </c>
      <c r="H103" s="2586">
        <f>IF(D36="正常操作",H104+H105+H106,H105+H106)</f>
        <v>0</v>
      </c>
      <c r="I103" s="123"/>
    </row>
    <row r="104" spans="1:35" ht="18.75" customHeight="1">
      <c r="A104" s="3632" t="s">
        <v>1437</v>
      </c>
      <c r="B104" s="2580" t="s">
        <v>1432</v>
      </c>
      <c r="C104" s="2581">
        <f ca="1">H118</f>
        <v>21021</v>
      </c>
      <c r="D104" s="2582"/>
      <c r="E104" s="1665" t="s">
        <v>1438</v>
      </c>
      <c r="F104" s="1657"/>
      <c r="G104" s="1819" t="s">
        <v>1436</v>
      </c>
      <c r="H104" s="2587">
        <f>IF(D36="同一抵押权人同一抵押物续贷",C36&amp;"（续贷，未扣减，详见特别提示）",C36)</f>
        <v>0</v>
      </c>
      <c r="I104" s="123"/>
    </row>
    <row r="105" spans="1:35" ht="18.75" customHeight="1" thickBot="1">
      <c r="A105" s="3633"/>
      <c r="B105" s="2583" t="s">
        <v>1434</v>
      </c>
      <c r="C105" s="2584">
        <f ca="1">I118</f>
        <v>9050</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29" t="str">
        <f>IF(项目基本情况!E8="已注销","——","3.房地产抵押价值")</f>
        <v>3.房地产抵押价值</v>
      </c>
      <c r="F107" s="3630"/>
      <c r="G107" s="1818" t="s">
        <v>1432</v>
      </c>
      <c r="H107" s="2586">
        <f ca="1">IF(E107="——","——",H101-H103)</f>
        <v>21021</v>
      </c>
      <c r="I107" s="123"/>
    </row>
    <row r="108" spans="1:35" ht="18.75" customHeight="1">
      <c r="A108" s="123"/>
      <c r="B108" s="123"/>
      <c r="C108" s="123"/>
      <c r="D108" s="123"/>
      <c r="E108" s="3629"/>
      <c r="F108" s="3630"/>
      <c r="G108" s="1818" t="s">
        <v>1434</v>
      </c>
      <c r="H108" s="2546">
        <f ca="1">IF(H107=H101,H102,ROUND(H107*10000/'数据-汇总表'!E3,0))</f>
        <v>9050</v>
      </c>
      <c r="I108" s="123"/>
    </row>
    <row r="109" spans="1:35" ht="18.75" customHeight="1">
      <c r="A109" s="123"/>
      <c r="B109" s="123"/>
      <c r="C109" s="123"/>
      <c r="D109" s="123"/>
      <c r="E109" s="3629" t="str">
        <f>IF(项目基本情况!E8="已注销及未注销","4.抵押担保权已注销时的房地产抵押价值",IF(项目基本情况!E8="已注销","3.抵押担保权已注销时的房地产抵押价值","——"))</f>
        <v>——</v>
      </c>
      <c r="F109" s="3630"/>
      <c r="G109" s="1818" t="s">
        <v>1432</v>
      </c>
      <c r="H109" s="2589" t="str">
        <f>IF(E109="——","——",H101-H105-H106)</f>
        <v>——</v>
      </c>
      <c r="I109" s="123"/>
    </row>
    <row r="110" spans="1:35" ht="18.75" customHeight="1">
      <c r="A110" s="123"/>
      <c r="B110" s="123"/>
      <c r="C110" s="123"/>
      <c r="D110" s="123"/>
      <c r="E110" s="3629"/>
      <c r="F110" s="3630"/>
      <c r="G110" s="1818" t="s">
        <v>1434</v>
      </c>
      <c r="H110" s="2546" t="str">
        <f>IF(H109="——","——",ROUND(H109*10000/'数据-汇总表'!E3,0))</f>
        <v>——</v>
      </c>
      <c r="I110" s="123"/>
    </row>
    <row r="111" spans="1:35" ht="18.75" customHeight="1">
      <c r="A111" s="123"/>
      <c r="B111" s="123"/>
      <c r="C111" s="123"/>
      <c r="D111" s="123"/>
      <c r="E111" s="3661" t="str">
        <f>IF(项目基本情况!E9="抵押净值",IF(OR(项目基本情况!E8="已注销",项目基本情况!E8="房地产抵押价值"),"4.抵押净值","5.抵押净值"),"——")</f>
        <v>——</v>
      </c>
      <c r="F111" s="3631"/>
      <c r="G111" s="1818" t="s">
        <v>1432</v>
      </c>
      <c r="H111" s="2586" t="str">
        <f>IF(E111="——","——",N59)</f>
        <v>——</v>
      </c>
      <c r="I111" s="123"/>
    </row>
    <row r="112" spans="1:35" ht="18.75" customHeight="1" thickBot="1">
      <c r="A112" s="123"/>
      <c r="B112" s="123"/>
      <c r="C112" s="123"/>
      <c r="D112" s="123"/>
      <c r="E112" s="3662"/>
      <c r="F112" s="3663"/>
      <c r="G112" s="1821" t="s">
        <v>1434</v>
      </c>
      <c r="H112" s="2590" t="str">
        <f>IF(E111="——","——",N61)</f>
        <v>——</v>
      </c>
      <c r="I112" s="123"/>
    </row>
    <row r="113" spans="1:27" ht="18.75" customHeight="1">
      <c r="A113" s="123"/>
      <c r="B113" s="123"/>
      <c r="C113" s="123"/>
      <c r="D113" s="123"/>
      <c r="E113" s="3634" t="s">
        <v>1440</v>
      </c>
      <c r="F113" s="3634"/>
      <c r="G113" s="3634"/>
      <c r="H113" s="3634"/>
      <c r="I113" s="123"/>
    </row>
    <row r="114" spans="1:27" ht="3.75" customHeight="1">
      <c r="A114" s="1738"/>
      <c r="B114" s="1738"/>
      <c r="C114" s="1738"/>
      <c r="D114" s="1738"/>
      <c r="E114" s="1800"/>
      <c r="F114" s="1800"/>
      <c r="G114" s="1800"/>
      <c r="H114" s="1800"/>
      <c r="I114" s="1738"/>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3458</v>
      </c>
      <c r="G116" s="3643"/>
      <c r="H116" s="3600" t="s">
        <v>1447</v>
      </c>
      <c r="I116" s="3600"/>
    </row>
    <row r="117" spans="1:27" ht="18.75" customHeight="1">
      <c r="A117" s="3600"/>
      <c r="B117" s="3636"/>
      <c r="C117" s="3636"/>
      <c r="D117" s="2320" t="s">
        <v>1448</v>
      </c>
      <c r="E117" s="2320" t="s">
        <v>1449</v>
      </c>
      <c r="F117" s="2320" t="s">
        <v>1448</v>
      </c>
      <c r="G117" s="2320" t="s">
        <v>1450</v>
      </c>
      <c r="H117" s="2320" t="s">
        <v>1448</v>
      </c>
      <c r="I117" s="2320" t="s">
        <v>1450</v>
      </c>
    </row>
    <row r="118" spans="1:27" ht="24.75" customHeight="1">
      <c r="A118" s="2591" t="str">
        <f>项目基本情况!S2</f>
        <v>北京市经济技术开发区兴海二街5好远1号楼等房地产</v>
      </c>
      <c r="B118" s="2320">
        <f>M18</f>
        <v>23228.35</v>
      </c>
      <c r="C118" s="2320">
        <f>M19</f>
        <v>15458.2</v>
      </c>
      <c r="D118" s="2320">
        <f ca="1">ROUND(IF(D32="总价",C34,E118*B118/10000),0)</f>
        <v>7673</v>
      </c>
      <c r="E118" s="2320">
        <f ca="1">ROUND(IF(C33="自定义",IF(D32="楼面单价",C34,D118*10000/B118),I118-G118),0)</f>
        <v>3304</v>
      </c>
      <c r="F118" s="2320">
        <f ca="1">ROUND(IF(D32="总价",C35,G118*B118/10000),0)</f>
        <v>13348</v>
      </c>
      <c r="G118" s="2320">
        <f ca="1">ROUND(IF(D32="楼面单价",C35,F118*10000/B118),0)</f>
        <v>5746</v>
      </c>
      <c r="H118" s="2320">
        <f ca="1">ROUND(IF(D32="总价",C32,I118*B118/10000),0)</f>
        <v>21021</v>
      </c>
      <c r="I118" s="2320">
        <f ca="1">ROUND(IF(D32="楼面单价",C32,H118*10000/B118),0)</f>
        <v>9050</v>
      </c>
      <c r="K118" s="3472">
        <f ca="1">D118/(C118/666.67)</f>
        <v>330.91556002639373</v>
      </c>
      <c r="L118" s="3472">
        <f>基准地价修正!E33/(C118/666.67)</f>
        <v>161.29599824041608</v>
      </c>
    </row>
    <row r="119" spans="1:27" ht="18.75" customHeight="1">
      <c r="A119" s="3600" t="s">
        <v>1451</v>
      </c>
      <c r="B119" s="3600"/>
      <c r="C119" s="3600"/>
      <c r="D119" s="3640" t="str">
        <f ca="1">NUMBERSTRING(INT(D118*10000),2)&amp;"元整"</f>
        <v>柒仟陆佰柒拾叁万元整</v>
      </c>
      <c r="E119" s="3642"/>
      <c r="F119" s="3640" t="str">
        <f ca="1">NUMBERSTRING(INT(F118*10000),2)&amp;"元整"</f>
        <v>壹亿叁仟叁佰肆拾捌万元整</v>
      </c>
      <c r="G119" s="3642"/>
      <c r="H119" s="3640" t="str">
        <f ca="1">NUMBERSTRING(INT(H118*10000),2)&amp;"元整"</f>
        <v>贰亿壹仟零贰拾壹万元整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40" t="s">
        <v>1451</v>
      </c>
      <c r="B121" s="3641"/>
      <c r="C121" s="3642"/>
      <c r="D121" s="3640" t="str">
        <f>IF(D120=0,"零元整",NUMBERSTRING(INT(D120*10000),2)&amp;"元整")</f>
        <v>零元整</v>
      </c>
      <c r="E121" s="3641"/>
      <c r="F121" s="3641"/>
      <c r="G121" s="3641"/>
      <c r="H121" s="3641"/>
      <c r="I121" s="3642"/>
      <c r="AA121" s="716"/>
    </row>
    <row r="122" spans="1:27" ht="18.75" customHeight="1">
      <c r="A122" s="3631" t="str">
        <f>IF(项目基本情况!B9="房地产市场价值","",MID(E107,3,LEN(E107)-2))</f>
        <v>房地产抵押价值</v>
      </c>
      <c r="B122" s="3631"/>
      <c r="C122" s="3631"/>
      <c r="D122" s="3664">
        <f ca="1">H107</f>
        <v>21021</v>
      </c>
      <c r="E122" s="3665"/>
      <c r="F122" s="3665"/>
      <c r="G122" s="3665"/>
      <c r="H122" s="3665"/>
      <c r="I122" s="3666"/>
      <c r="AA122" s="716"/>
    </row>
    <row r="123" spans="1:27" ht="18.75" customHeight="1">
      <c r="A123" s="3600" t="s">
        <v>1451</v>
      </c>
      <c r="B123" s="3600"/>
      <c r="C123" s="3600"/>
      <c r="D123" s="3640" t="str">
        <f ca="1">NUMBERSTRING(INT(D122*10000),2)&amp;"元整"</f>
        <v>贰亿壹仟零贰拾壹万元整</v>
      </c>
      <c r="E123" s="3641"/>
      <c r="F123" s="3641"/>
      <c r="G123" s="3641"/>
      <c r="H123" s="3641"/>
      <c r="I123" s="3642"/>
      <c r="AA123" s="716"/>
    </row>
    <row r="124" spans="1:27" ht="18.75" customHeight="1">
      <c r="A124" s="3631" t="str">
        <f>IF(项目基本情况!B9="房地产市场价值","",MID(E109,3,LEN(E109)-2))</f>
        <v/>
      </c>
      <c r="B124" s="3631"/>
      <c r="C124" s="3631"/>
      <c r="D124" s="3664" t="str">
        <f>H109</f>
        <v>——</v>
      </c>
      <c r="E124" s="3665"/>
      <c r="F124" s="3665"/>
      <c r="G124" s="3665"/>
      <c r="H124" s="3665"/>
      <c r="I124" s="3666"/>
      <c r="AA124" s="716"/>
    </row>
    <row r="125" spans="1:27" ht="18.75" customHeight="1">
      <c r="A125" s="3600" t="s">
        <v>1451</v>
      </c>
      <c r="B125" s="3600"/>
      <c r="C125" s="3600"/>
      <c r="D125" s="3640" t="e">
        <f>NUMBERSTRING(INT(D124*10000),2)&amp;"元整"</f>
        <v>#VALUE!</v>
      </c>
      <c r="E125" s="3641"/>
      <c r="F125" s="3641"/>
      <c r="G125" s="3641"/>
      <c r="H125" s="3641"/>
      <c r="I125" s="3642"/>
      <c r="AA125" s="716"/>
    </row>
    <row r="126" spans="1:27" ht="18.75" customHeight="1">
      <c r="A126" s="3631" t="str">
        <f>IF(项目基本情况!B9="房地产市场价值","",MID(E111,3,LEN(E111)-2))</f>
        <v/>
      </c>
      <c r="B126" s="3631"/>
      <c r="C126" s="3631"/>
      <c r="D126" s="3664" t="str">
        <f>H111</f>
        <v>——</v>
      </c>
      <c r="E126" s="3665"/>
      <c r="F126" s="3665"/>
      <c r="G126" s="3665"/>
      <c r="H126" s="3665"/>
      <c r="I126" s="3666"/>
      <c r="AA126" s="716"/>
    </row>
    <row r="127" spans="1:27" ht="18.75" customHeight="1">
      <c r="A127" s="3600" t="s">
        <v>1451</v>
      </c>
      <c r="B127" s="3600"/>
      <c r="C127" s="3600"/>
      <c r="D127" s="3640" t="e">
        <f>NUMBERSTRING(INT(D126*10000),2)&amp;"元整"</f>
        <v>#VALUE!</v>
      </c>
      <c r="E127" s="3641"/>
      <c r="F127" s="3641"/>
      <c r="G127" s="3641"/>
      <c r="H127" s="3641"/>
      <c r="I127" s="3642"/>
      <c r="AA127" s="716"/>
    </row>
    <row r="128" spans="1:27" ht="21.75" customHeight="1">
      <c r="A128" s="3647" t="s">
        <v>1452</v>
      </c>
      <c r="B128" s="3647"/>
      <c r="C128" s="3647"/>
      <c r="D128" s="3647"/>
      <c r="E128" s="3647"/>
      <c r="F128" s="3647"/>
      <c r="G128" s="3647"/>
      <c r="H128" s="3647"/>
      <c r="I128" s="3647"/>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23228.35</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3740</v>
      </c>
      <c r="C2" s="1990" t="s">
        <v>1934</v>
      </c>
      <c r="D2" s="1991" t="s">
        <v>1935</v>
      </c>
      <c r="E2" s="3411" t="s">
        <v>3</v>
      </c>
      <c r="F2" s="1991" t="s">
        <v>1936</v>
      </c>
      <c r="G2" s="1992" t="str">
        <f>IF(E2="商业",项目基本情况!B37,IF(E2="办公",项目基本情况!C37,IF(E2="住宅",项目基本情况!D37,IF(E2="工业",项目基本情况!E37,项目基本情况!F37))))</f>
        <v>七级</v>
      </c>
      <c r="H2" s="1991" t="s">
        <v>1937</v>
      </c>
      <c r="I2" s="1992" t="str">
        <f>IF(E2="商业",项目基本情况!B38,IF(E2="办公",项目基本情况!C38,IF(E2="住宅",项目基本情况!D38,IF(E2="工业",项目基本情况!E38,项目基本情况!F38))))</f>
        <v>Ⅶ-亦1</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1.5019</v>
      </c>
      <c r="T2" s="3350">
        <f t="shared" ref="T2:T16" si="0">ROUND($C$5*$C$22*$C$23*$C$24*S2*$C$28,0)</f>
        <v>2419</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1610</v>
      </c>
      <c r="C3" s="1990" t="s">
        <v>1940</v>
      </c>
      <c r="D3" s="1991" t="s">
        <v>1941</v>
      </c>
      <c r="E3" s="3409" t="s">
        <v>2482</v>
      </c>
      <c r="F3" s="1995" t="s">
        <v>3455</v>
      </c>
      <c r="G3" s="743">
        <f>IF(F3="宗地容积率",'数据-汇总表'!I4,IF(F3="估价对象容积率",'数据-汇总表'!I6,'数据-汇总表'!I7))</f>
        <v>1.2</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1.1838</v>
      </c>
      <c r="T3" s="3350">
        <f t="shared" si="0"/>
        <v>1906</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87"/>
      <c r="B4" s="3688"/>
      <c r="C4" s="3688"/>
      <c r="D4" s="3689"/>
      <c r="E4" s="3689"/>
      <c r="F4" s="3689"/>
      <c r="G4" s="3689"/>
      <c r="H4" s="3689"/>
      <c r="I4" s="3689"/>
      <c r="J4" s="3690"/>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1.0004999999999999</v>
      </c>
      <c r="T4" s="3350">
        <f t="shared" si="0"/>
        <v>1611</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1648</v>
      </c>
      <c r="D5" s="1330">
        <f>ROUND(C6*C17+C20,0)</f>
        <v>1648</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0.88239999999999996</v>
      </c>
      <c r="T5" s="3350">
        <f t="shared" si="0"/>
        <v>1421</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1690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0.84799999999999998</v>
      </c>
      <c r="T6" s="3350">
        <f t="shared" si="0"/>
        <v>1366</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1690</v>
      </c>
      <c r="N7" s="857">
        <f>SUMPRODUCT((因素修正幅度!B190:B233=I2)*(因素修正幅度!C3:G3=E2)*(因素修正幅度!C190:G233))</f>
        <v>0.13</v>
      </c>
      <c r="O7" s="1110"/>
      <c r="P7" s="1110"/>
      <c r="Q7" s="1110"/>
      <c r="R7" s="1203">
        <v>6</v>
      </c>
      <c r="S7" s="3408"/>
      <c r="T7" s="3350">
        <f t="shared" si="0"/>
        <v>0</v>
      </c>
      <c r="U7" s="1204"/>
      <c r="V7" s="3350">
        <f t="shared" si="1"/>
        <v>0</v>
      </c>
      <c r="W7" s="1349" t="s">
        <v>1954</v>
      </c>
      <c r="X7" s="1205" t="str">
        <f>G2</f>
        <v>七级</v>
      </c>
      <c r="Y7" s="1205" t="s">
        <v>1955</v>
      </c>
      <c r="Z7" s="1206">
        <f>G3</f>
        <v>1.2</v>
      </c>
      <c r="AA7" s="1207"/>
      <c r="AB7" s="1207"/>
      <c r="AC7" s="1208"/>
      <c r="AD7" s="1209"/>
      <c r="AE7" s="1209"/>
      <c r="AF7" s="1209"/>
      <c r="AG7" s="1209"/>
      <c r="AH7" s="1209"/>
      <c r="AI7" s="1209"/>
      <c r="AJ7" s="1210"/>
    </row>
    <row r="8" spans="1:36" ht="25.5">
      <c r="A8" s="3288"/>
      <c r="B8" s="164" t="s">
        <v>1956</v>
      </c>
      <c r="C8" s="2017" t="s">
        <v>3420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84" t="s">
        <v>1959</v>
      </c>
      <c r="X8" s="3685"/>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86"/>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50">
        <f t="shared" si="0"/>
        <v>0</v>
      </c>
      <c r="U10" s="1204"/>
      <c r="V10" s="3350">
        <f t="shared" si="1"/>
        <v>0</v>
      </c>
      <c r="W10" s="368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91" t="s">
        <v>3257</v>
      </c>
      <c r="B20" s="161" t="s">
        <v>1993</v>
      </c>
      <c r="C20" s="3314">
        <f>ROUND(IF(F21="与级别开发程度一致",0,(G21-E21)/C21),0)</f>
        <v>-42</v>
      </c>
      <c r="D20" s="3330" t="s">
        <v>1997</v>
      </c>
      <c r="E20" s="3331"/>
      <c r="F20" s="3697" t="s">
        <v>1994</v>
      </c>
      <c r="G20" s="3698"/>
      <c r="H20" s="3315" t="s">
        <v>3385</v>
      </c>
      <c r="I20" s="3315" t="s">
        <v>3386</v>
      </c>
      <c r="J20" s="3316" t="s">
        <v>3387</v>
      </c>
      <c r="K20" s="2038" t="s">
        <v>3388</v>
      </c>
      <c r="L20" s="2038" t="s">
        <v>3389</v>
      </c>
      <c r="M20" s="2038" t="s">
        <v>3436</v>
      </c>
      <c r="N20" s="2038" t="s">
        <v>3390</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92"/>
      <c r="B21" s="2155" t="s">
        <v>1996</v>
      </c>
      <c r="C21" s="2156">
        <f>IF(E3="M4科研用地",SUMPRODUCT((修正!A2:A7=E3)*(修正!B1:M1=G2)*(修正!B2:M7)),SUMPRODUCT((修正!A2:A7=E2)*(修正!B1:M1=G2)*(修正!B2:M7)))</f>
        <v>1.2</v>
      </c>
      <c r="D21" s="181" t="str">
        <f>IF(OR(G2="八级",G2="九级",G2="十级",G2="十一级",G2="十二级"),"五通一平","七通一平")</f>
        <v>七通一平</v>
      </c>
      <c r="E21" s="2146">
        <f>SUMPRODUCT((修正!B1:M1=G2)*(修正!B17:M17))</f>
        <v>315</v>
      </c>
      <c r="F21" s="2147" t="s">
        <v>3500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45398</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13</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0.92020000000000002</v>
      </c>
      <c r="D24" s="2051" t="s">
        <v>2006</v>
      </c>
      <c r="E24" s="1326">
        <f>存贷款利率!E24/100</f>
        <v>4.3499999999999997E-2</v>
      </c>
      <c r="F24" s="2051" t="s">
        <v>1998</v>
      </c>
      <c r="G24" s="759">
        <f>SUMIF(M30:Q30,E2,M33:Q33)</f>
        <v>0.05</v>
      </c>
      <c r="H24" s="2051" t="s">
        <v>2007</v>
      </c>
      <c r="I24" s="760">
        <f>SUMIF('数据-取费表'!C6:C15,E2,'数据-取费表'!F6:F15)/COUNTIF('数据-取费表'!C6:C15,E2)</f>
        <v>37.56</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1.2</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0.99480000000000002</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3740</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1610</v>
      </c>
      <c r="D33" s="2089">
        <f>'数据-汇总表'!F19</f>
        <v>23228.35</v>
      </c>
      <c r="E33" s="764">
        <f>ROUND(C33*D33/10000,0)</f>
        <v>3740</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242</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95"/>
      <c r="B37" s="2104" t="s">
        <v>2035</v>
      </c>
      <c r="C37" s="169">
        <f>ROUND(D5*C22*C23*C24*C28*F37,0)</f>
        <v>966</v>
      </c>
      <c r="D37" s="2089"/>
      <c r="E37" s="165">
        <f>ROUND(C37*D37/10000,0)</f>
        <v>0</v>
      </c>
      <c r="F37" s="165">
        <f>SUMIF(修正!A57:A68,G2,修正!B57:B68)</f>
        <v>0.6</v>
      </c>
      <c r="G37" s="165">
        <f>ROUND(IF(E2="工业",C37*$M$42,C37*$M$41),0)</f>
        <v>145</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96"/>
      <c r="B38" s="2032" t="s">
        <v>2036</v>
      </c>
      <c r="C38" s="169">
        <f>ROUND(D5*C22*C23*C24*C28*F38,0)</f>
        <v>483</v>
      </c>
      <c r="D38" s="2089"/>
      <c r="E38" s="165">
        <f t="shared" ref="E38:E42" si="4">ROUND(C38*D38/10000,0)</f>
        <v>0</v>
      </c>
      <c r="F38" s="165">
        <f>SUMIF(修正!A57:A68,G2,修正!C57:C68)</f>
        <v>0.3</v>
      </c>
      <c r="G38" s="165">
        <f>ROUND(IF(E2="工业",C38*$M$42,C38*$M$41),0)</f>
        <v>72</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96"/>
      <c r="B39" s="2032" t="s">
        <v>3262</v>
      </c>
      <c r="C39" s="169">
        <f>ROUND(D5*C22*C23*C24*C28*F39,0)</f>
        <v>403</v>
      </c>
      <c r="D39" s="2089"/>
      <c r="E39" s="165">
        <f t="shared" si="4"/>
        <v>0</v>
      </c>
      <c r="F39" s="165">
        <f>SUMIF(修正!A57:A68,G2,修正!D57:D68)</f>
        <v>0.25</v>
      </c>
      <c r="G39" s="165">
        <f>ROUND(IF(E2="工业",C39*$M$42,C39*$M$41),0)</f>
        <v>60</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403</v>
      </c>
      <c r="D40" s="2089"/>
      <c r="E40" s="165">
        <f t="shared" si="4"/>
        <v>0</v>
      </c>
      <c r="F40" s="169">
        <f>SUMIF(修正!A57:A68,G2,修正!E57:E68)</f>
        <v>0.25</v>
      </c>
      <c r="G40" s="165">
        <f>ROUND(IF(E2="工业",C40*$M$42,C40*$M$41),0)</f>
        <v>60</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0.99480000000000002</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3422</v>
      </c>
      <c r="D83" s="1056">
        <f t="shared" ref="D83:D90" si="22">SUMIF($J$82:$N$82,C83,J83:N83)</f>
        <v>0</v>
      </c>
      <c r="E83" s="735">
        <f>ROUND(SUM(D83:D90),4)</f>
        <v>-5.1999999999999998E-3</v>
      </c>
      <c r="F83" s="1805">
        <f>IF(E2="工业",SUMIF(L1:L12,G2,N1:N12),"——")</f>
        <v>0.13</v>
      </c>
      <c r="G83" s="1054">
        <v>1.6899999999999998E-2</v>
      </c>
      <c r="H83" s="1057">
        <f t="shared" ref="H83:H90" si="23">IFERROR(ROUNDDOWN($F$83*I83/2,4),"——")</f>
        <v>1.6899999999999998E-2</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3423</v>
      </c>
      <c r="D84" s="1056">
        <f t="shared" si="22"/>
        <v>-1.95E-2</v>
      </c>
      <c r="E84" s="738"/>
      <c r="F84" s="1805"/>
      <c r="G84" s="1054">
        <v>1.95E-2</v>
      </c>
      <c r="H84" s="1057">
        <f t="shared" si="23"/>
        <v>1.95E-2</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3273</v>
      </c>
      <c r="B85" s="2125">
        <f>估价对象房地状况!G17</f>
        <v>0</v>
      </c>
      <c r="C85" s="2035" t="s">
        <v>3421</v>
      </c>
      <c r="D85" s="1056">
        <f t="shared" si="22"/>
        <v>6.4999999999999997E-3</v>
      </c>
      <c r="E85" s="738"/>
      <c r="F85" s="1805"/>
      <c r="G85" s="1054">
        <v>6.4999999999999997E-3</v>
      </c>
      <c r="H85" s="1057">
        <f t="shared" si="23"/>
        <v>6.4999999999999997E-3</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2066</v>
      </c>
      <c r="B86" s="2125">
        <f>估价对象房地状况!G22</f>
        <v>0</v>
      </c>
      <c r="C86" s="2035" t="s">
        <v>3422</v>
      </c>
      <c r="D86" s="1056">
        <f t="shared" si="22"/>
        <v>0</v>
      </c>
      <c r="E86" s="738"/>
      <c r="F86" s="1805"/>
      <c r="G86" s="1054">
        <v>3.2000000000000002E-3</v>
      </c>
      <c r="H86" s="1057">
        <f t="shared" si="23"/>
        <v>3.2000000000000002E-3</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2058</v>
      </c>
      <c r="B87" s="1317" t="str">
        <f>估价对象房地状况!G19</f>
        <v>估价对象所在区域公共配套设施齐备情况</v>
      </c>
      <c r="C87" s="2035" t="s">
        <v>3423</v>
      </c>
      <c r="D87" s="1056">
        <f t="shared" si="22"/>
        <v>-3.8999999999999998E-3</v>
      </c>
      <c r="E87" s="738"/>
      <c r="F87" s="1805"/>
      <c r="G87" s="1054">
        <v>3.8999999999999998E-3</v>
      </c>
      <c r="H87" s="1057">
        <f t="shared" si="23"/>
        <v>3.8999999999999998E-3</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2059</v>
      </c>
      <c r="B88" s="1317" t="str">
        <f>估价对象房地状况!G20</f>
        <v>估价对象所在区域基础设施水平</v>
      </c>
      <c r="C88" s="2035" t="s">
        <v>3421</v>
      </c>
      <c r="D88" s="1056">
        <f t="shared" si="22"/>
        <v>7.7999999999999996E-3</v>
      </c>
      <c r="E88" s="738"/>
      <c r="F88" s="1805"/>
      <c r="G88" s="1054">
        <v>7.7999999999999996E-3</v>
      </c>
      <c r="H88" s="1057">
        <f t="shared" si="23"/>
        <v>7.7999999999999996E-3</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2056</v>
      </c>
      <c r="B89" s="2127" t="s">
        <v>2070</v>
      </c>
      <c r="C89" s="2035" t="s">
        <v>3421</v>
      </c>
      <c r="D89" s="1056">
        <f t="shared" si="22"/>
        <v>3.8999999999999998E-3</v>
      </c>
      <c r="E89" s="738"/>
      <c r="F89" s="1805"/>
      <c r="G89" s="1054">
        <v>3.8999999999999998E-3</v>
      </c>
      <c r="H89" s="1057">
        <f t="shared" si="23"/>
        <v>3.8999999999999998E-3</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2071</v>
      </c>
      <c r="B90" s="2134" t="str">
        <f>估价对象房地状况!G18</f>
        <v>该园区内是否有污染型企业，绿化情况，卫生条件，整体环境状况判断</v>
      </c>
      <c r="C90" s="2035" t="s">
        <v>3422</v>
      </c>
      <c r="D90" s="1056">
        <f t="shared" si="22"/>
        <v>0</v>
      </c>
      <c r="E90" s="739"/>
      <c r="F90" s="1805"/>
      <c r="G90" s="1054">
        <v>3.2000000000000002E-3</v>
      </c>
      <c r="H90" s="1057">
        <f t="shared" si="23"/>
        <v>3.2000000000000002E-3</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93" t="s">
        <v>3297</v>
      </c>
      <c r="B103" s="3693"/>
      <c r="C103" s="3693"/>
      <c r="D103" s="3693"/>
      <c r="E103" s="3693"/>
      <c r="F103" s="3693"/>
      <c r="G103" s="3693"/>
      <c r="H103" s="3693"/>
      <c r="I103" s="3693"/>
      <c r="J103" s="3693"/>
      <c r="K103" s="3379"/>
      <c r="L103" s="3379"/>
      <c r="M103" s="3379"/>
      <c r="N103" s="3379"/>
    </row>
    <row r="104" spans="1:14">
      <c r="A104" s="3694" t="s">
        <v>3298</v>
      </c>
      <c r="B104" s="3694" t="s">
        <v>3299</v>
      </c>
      <c r="C104" s="3380" t="s">
        <v>3300</v>
      </c>
      <c r="D104" s="3381"/>
      <c r="E104" s="3381"/>
      <c r="F104" s="3381"/>
      <c r="G104" s="3381"/>
      <c r="H104" s="3381"/>
      <c r="I104" s="3381"/>
      <c r="J104" s="3382"/>
      <c r="K104" s="3383"/>
      <c r="L104" s="3383"/>
      <c r="M104" s="3383"/>
      <c r="N104" s="3383"/>
    </row>
    <row r="105" spans="1:14">
      <c r="A105" s="3694"/>
      <c r="B105" s="3694"/>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80"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8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8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8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8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81"/>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8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83" t="s">
        <v>3314</v>
      </c>
      <c r="B113" s="3683"/>
      <c r="C113" s="3683"/>
      <c r="D113" s="3683"/>
      <c r="E113" s="3683"/>
      <c r="F113" s="3683"/>
      <c r="G113" s="3683"/>
      <c r="H113" s="3683"/>
      <c r="I113" s="3683"/>
      <c r="J113" s="368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1.2</v>
      </c>
      <c r="C116" s="3389" t="s">
        <v>3316</v>
      </c>
      <c r="D116" s="3390">
        <f>SUMPRODUCT((A118:A122=F116)*(B117:M117=H116)*B118:M122)</f>
        <v>0.63959999999999995</v>
      </c>
      <c r="E116" s="1991" t="s">
        <v>3317</v>
      </c>
      <c r="F116" s="3391" t="str">
        <f>E2</f>
        <v>工业</v>
      </c>
      <c r="G116" s="1991" t="s">
        <v>3318</v>
      </c>
      <c r="H116" s="3391" t="str">
        <f>G2</f>
        <v>七级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0.98360000000000003</v>
      </c>
      <c r="C118" s="3377">
        <f>B118</f>
        <v>0.98360000000000003</v>
      </c>
      <c r="D118" s="3377">
        <f>ROUND(0.949-0.014*B116,4)</f>
        <v>0.93220000000000003</v>
      </c>
      <c r="E118" s="3377">
        <f>D118</f>
        <v>0.93220000000000003</v>
      </c>
      <c r="F118" s="3377">
        <f>E118</f>
        <v>0.93220000000000003</v>
      </c>
      <c r="G118" s="3377">
        <f>F118</f>
        <v>0.93220000000000003</v>
      </c>
      <c r="H118" s="3377">
        <f>G118</f>
        <v>0.93220000000000003</v>
      </c>
      <c r="I118" s="3377">
        <f>ROUND(0.8486-0.018*B116,4)</f>
        <v>0.82699999999999996</v>
      </c>
      <c r="J118" s="3377">
        <f t="shared" ref="J118:M122" si="35">I118</f>
        <v>0.82699999999999996</v>
      </c>
      <c r="K118" s="3377">
        <f t="shared" si="35"/>
        <v>0.82699999999999996</v>
      </c>
      <c r="L118" s="3377">
        <f t="shared" si="35"/>
        <v>0.82699999999999996</v>
      </c>
      <c r="M118" s="3400">
        <f t="shared" si="35"/>
        <v>0.82699999999999996</v>
      </c>
      <c r="N118" s="3387"/>
    </row>
    <row r="119" spans="1:14">
      <c r="A119" s="3399" t="s">
        <v>3332</v>
      </c>
      <c r="B119" s="3377">
        <f>ROUND(0.993-0.0112*B116,4)</f>
        <v>0.97960000000000003</v>
      </c>
      <c r="C119" s="3377">
        <f>B119</f>
        <v>0.97960000000000003</v>
      </c>
      <c r="D119" s="3377">
        <f>ROUND(0.9415-0.0142*B116,4)</f>
        <v>0.92449999999999999</v>
      </c>
      <c r="E119" s="3377">
        <f t="shared" ref="E119:H120" si="36">D119</f>
        <v>0.92449999999999999</v>
      </c>
      <c r="F119" s="3377">
        <f t="shared" si="36"/>
        <v>0.92449999999999999</v>
      </c>
      <c r="G119" s="3377">
        <f t="shared" si="36"/>
        <v>0.92449999999999999</v>
      </c>
      <c r="H119" s="3377">
        <f t="shared" si="36"/>
        <v>0.92449999999999999</v>
      </c>
      <c r="I119" s="3377">
        <f>ROUND(0.838-0.0182*B116,4)</f>
        <v>0.81620000000000004</v>
      </c>
      <c r="J119" s="3377">
        <f t="shared" si="35"/>
        <v>0.81620000000000004</v>
      </c>
      <c r="K119" s="3377">
        <f t="shared" si="35"/>
        <v>0.81620000000000004</v>
      </c>
      <c r="L119" s="3377">
        <f t="shared" si="35"/>
        <v>0.81620000000000004</v>
      </c>
      <c r="M119" s="3400">
        <f t="shared" si="35"/>
        <v>0.81620000000000004</v>
      </c>
      <c r="N119" s="3387"/>
    </row>
    <row r="120" spans="1:14">
      <c r="A120" s="3399" t="s">
        <v>3333</v>
      </c>
      <c r="B120" s="3377">
        <f>ROUND(0.9448-0.0115*B116,4)</f>
        <v>0.93100000000000005</v>
      </c>
      <c r="C120" s="3377">
        <f>B120</f>
        <v>0.93100000000000005</v>
      </c>
      <c r="D120" s="3377">
        <f>ROUND(0.937-0.0145*B116,4)</f>
        <v>0.91959999999999997</v>
      </c>
      <c r="E120" s="3377">
        <f t="shared" si="36"/>
        <v>0.91959999999999997</v>
      </c>
      <c r="F120" s="3377">
        <f t="shared" si="36"/>
        <v>0.91959999999999997</v>
      </c>
      <c r="G120" s="3377">
        <f t="shared" si="36"/>
        <v>0.91959999999999997</v>
      </c>
      <c r="H120" s="3377">
        <f t="shared" si="36"/>
        <v>0.91959999999999997</v>
      </c>
      <c r="I120" s="3377">
        <f>ROUND(0.7965-0.0185*B116,4)</f>
        <v>0.77429999999999999</v>
      </c>
      <c r="J120" s="3377">
        <f t="shared" si="35"/>
        <v>0.77429999999999999</v>
      </c>
      <c r="K120" s="3377">
        <f t="shared" si="35"/>
        <v>0.77429999999999999</v>
      </c>
      <c r="L120" s="3377">
        <f t="shared" si="35"/>
        <v>0.77429999999999999</v>
      </c>
      <c r="M120" s="3400">
        <f t="shared" si="35"/>
        <v>0.77429999999999999</v>
      </c>
      <c r="N120" s="3387"/>
    </row>
    <row r="121" spans="1:14" ht="13.5" thickBot="1">
      <c r="A121" s="3401" t="s">
        <v>3334</v>
      </c>
      <c r="B121" s="3402">
        <f>ROUND(0.7836-0.012*B116,4)</f>
        <v>0.76919999999999999</v>
      </c>
      <c r="C121" s="3402">
        <f>B121</f>
        <v>0.76919999999999999</v>
      </c>
      <c r="D121" s="3402">
        <f>ROUND(0.753-0.015*B116,4)</f>
        <v>0.73499999999999999</v>
      </c>
      <c r="E121" s="3402">
        <f>D121</f>
        <v>0.73499999999999999</v>
      </c>
      <c r="F121" s="3402">
        <f>E121</f>
        <v>0.73499999999999999</v>
      </c>
      <c r="G121" s="3402">
        <f>ROUND(0.6612-0.018*B116,4)</f>
        <v>0.63959999999999995</v>
      </c>
      <c r="H121" s="3402">
        <f>G121</f>
        <v>0.63959999999999995</v>
      </c>
      <c r="I121" s="3402">
        <f>ROUND(0.5905-0.019*B116,4)</f>
        <v>0.56769999999999998</v>
      </c>
      <c r="J121" s="3402">
        <f t="shared" si="35"/>
        <v>0.56769999999999998</v>
      </c>
      <c r="K121" s="3402">
        <f t="shared" si="35"/>
        <v>0.56769999999999998</v>
      </c>
      <c r="L121" s="3402">
        <f t="shared" si="35"/>
        <v>0.56769999999999998</v>
      </c>
      <c r="M121" s="3403">
        <f t="shared" si="35"/>
        <v>0.56769999999999998</v>
      </c>
      <c r="N121" s="3387"/>
    </row>
    <row r="122" spans="1:14">
      <c r="A122" s="3404" t="s">
        <v>2615</v>
      </c>
      <c r="B122" s="3377">
        <f>ROUND(0.9404-0.0106*B116,4)</f>
        <v>0.92769999999999997</v>
      </c>
      <c r="C122" s="3377">
        <f>B122</f>
        <v>0.92769999999999997</v>
      </c>
      <c r="D122" s="3377">
        <f>ROUND(0.8955-0.0135*B116,4)</f>
        <v>0.87929999999999997</v>
      </c>
      <c r="E122" s="3377">
        <f t="shared" ref="E122:H122" si="37">D122</f>
        <v>0.87929999999999997</v>
      </c>
      <c r="F122" s="3377">
        <f t="shared" si="37"/>
        <v>0.87929999999999997</v>
      </c>
      <c r="G122" s="3377">
        <f t="shared" si="37"/>
        <v>0.87929999999999997</v>
      </c>
      <c r="H122" s="3377">
        <f t="shared" si="37"/>
        <v>0.87929999999999997</v>
      </c>
      <c r="I122" s="3377">
        <f>ROUND(0.7632-0.0166*B116,4)</f>
        <v>0.74329999999999996</v>
      </c>
      <c r="J122" s="3377">
        <f t="shared" si="35"/>
        <v>0.74329999999999996</v>
      </c>
      <c r="K122" s="3377">
        <f t="shared" si="35"/>
        <v>0.74329999999999996</v>
      </c>
      <c r="L122" s="3377">
        <f t="shared" si="35"/>
        <v>0.74329999999999996</v>
      </c>
      <c r="M122" s="3400">
        <f t="shared" si="35"/>
        <v>0.74329999999999996</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97" t="str">
        <f>项目基本情况!B1</f>
        <v>北京市经济技术开发区兴海二街5好远1号楼等房地产抵押价值预评估</v>
      </c>
      <c r="C37" s="3497"/>
      <c r="D37" s="3497"/>
      <c r="E37" s="3497"/>
      <c r="F37" s="3497"/>
      <c r="G37" s="3497"/>
      <c r="H37" s="3497"/>
      <c r="I37" s="3497"/>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M18" sqref="M18"/>
    </sheetView>
  </sheetViews>
  <sheetFormatPr defaultRowHeight="13.5"/>
  <cols>
    <col min="2" max="2" width="31.875" customWidth="1"/>
  </cols>
  <sheetData>
    <row r="5" spans="1:15" ht="14.25" thickBot="1">
      <c r="J5" s="3492" t="s">
        <v>3502</v>
      </c>
      <c r="K5" s="3492"/>
      <c r="L5" s="3492"/>
      <c r="M5" s="3492"/>
    </row>
    <row r="6" spans="1:15" ht="27.75" thickBot="1">
      <c r="A6" s="3461" t="s">
        <v>3437</v>
      </c>
      <c r="B6" s="3462" t="s">
        <v>3438</v>
      </c>
      <c r="C6" s="3462" t="s">
        <v>3439</v>
      </c>
      <c r="D6" s="3463" t="s">
        <v>3440</v>
      </c>
      <c r="E6" s="3462" t="s">
        <v>3441</v>
      </c>
      <c r="F6" s="3462" t="s">
        <v>3442</v>
      </c>
      <c r="G6" s="3462" t="s">
        <v>3453</v>
      </c>
      <c r="H6" s="3462" t="s">
        <v>3501</v>
      </c>
      <c r="J6" s="3493" t="s">
        <v>3506</v>
      </c>
      <c r="K6" s="3493" t="s">
        <v>3503</v>
      </c>
      <c r="L6" s="3493" t="s">
        <v>3504</v>
      </c>
      <c r="M6" s="3493" t="s">
        <v>3505</v>
      </c>
      <c r="N6" s="3243"/>
      <c r="O6" s="3491" t="s">
        <v>3499</v>
      </c>
    </row>
    <row r="7" spans="1:15" ht="24" customHeight="1" thickBot="1">
      <c r="A7" s="3464">
        <v>1</v>
      </c>
      <c r="B7" s="3465" t="s">
        <v>3443</v>
      </c>
      <c r="C7" s="3465" t="s">
        <v>3444</v>
      </c>
      <c r="D7" s="3466" t="s">
        <v>3425</v>
      </c>
      <c r="E7" s="3465">
        <v>21793.200000000001</v>
      </c>
      <c r="F7" s="3465" t="s">
        <v>3445</v>
      </c>
      <c r="G7" s="3462">
        <v>1</v>
      </c>
      <c r="H7" s="3462">
        <f>E7*G7</f>
        <v>21793.200000000001</v>
      </c>
      <c r="J7" s="3493">
        <f ca="1">ROUND($J$12*H7/$H$12,0)</f>
        <v>3902</v>
      </c>
      <c r="K7" s="3493">
        <f ca="1">ROUND($K$12*O7/$O$12,0)</f>
        <v>683</v>
      </c>
      <c r="L7" s="3493">
        <f ca="1">J7+K7</f>
        <v>4585</v>
      </c>
      <c r="M7" s="3493">
        <f ca="1">ROUND(L7*10000/E7,0)</f>
        <v>2104</v>
      </c>
      <c r="N7" s="3243"/>
      <c r="O7" s="3243">
        <f>'数据-取费表'!M29</f>
        <v>71</v>
      </c>
    </row>
    <row r="8" spans="1:15" ht="24" customHeight="1" thickBot="1">
      <c r="A8" s="3464">
        <v>2</v>
      </c>
      <c r="B8" s="3465" t="s">
        <v>3446</v>
      </c>
      <c r="C8" s="3465" t="s">
        <v>3447</v>
      </c>
      <c r="D8" s="3466" t="s">
        <v>3425</v>
      </c>
      <c r="E8" s="3465">
        <v>9368.6200000000008</v>
      </c>
      <c r="F8" s="3465" t="s">
        <v>3445</v>
      </c>
      <c r="G8" s="3462">
        <f>14616/9324</f>
        <v>1.5675675675675675</v>
      </c>
      <c r="H8" s="3462">
        <f t="shared" ref="H8:H11" si="0">E8*G8</f>
        <v>14685.944864864867</v>
      </c>
      <c r="J8" s="3493">
        <f ca="1">ROUND($J$12*H8/$H$12,0)</f>
        <v>2629</v>
      </c>
      <c r="K8" s="3493">
        <f ca="1">ROUND($K$12*O8/$O$12,0)</f>
        <v>3561</v>
      </c>
      <c r="L8" s="3493">
        <f ca="1">J8+K8</f>
        <v>6190</v>
      </c>
      <c r="M8" s="3493">
        <f ca="1">ROUND(L8*10000/E8,0)</f>
        <v>6607</v>
      </c>
      <c r="N8" s="3243"/>
      <c r="O8" s="3243">
        <f>'数据-取费表'!M30</f>
        <v>370</v>
      </c>
    </row>
    <row r="9" spans="1:15" ht="24" customHeight="1" thickBot="1">
      <c r="A9" s="3464">
        <v>3</v>
      </c>
      <c r="B9" s="3465" t="s">
        <v>3448</v>
      </c>
      <c r="C9" s="3465" t="s">
        <v>3394</v>
      </c>
      <c r="D9" s="3466" t="s">
        <v>3425</v>
      </c>
      <c r="E9" s="3465">
        <v>1587.12</v>
      </c>
      <c r="F9" s="3465" t="s">
        <v>3445</v>
      </c>
      <c r="G9" s="3462">
        <f>3168/1584</f>
        <v>2</v>
      </c>
      <c r="H9" s="3462">
        <f t="shared" si="0"/>
        <v>3174.24</v>
      </c>
      <c r="J9" s="3493">
        <f ca="1">ROUND($J$12*H9/$H$12,0)</f>
        <v>568</v>
      </c>
      <c r="K9" s="3493">
        <f ca="1">ROUND($K$12*O9/$O$12,0)</f>
        <v>67</v>
      </c>
      <c r="L9" s="3493">
        <f ca="1">J9+K9</f>
        <v>635</v>
      </c>
      <c r="M9" s="3493">
        <f ca="1">ROUND(L9*10000/E9,0)</f>
        <v>4001</v>
      </c>
      <c r="N9" s="3243"/>
      <c r="O9" s="3243">
        <f>'数据-取费表'!M31</f>
        <v>7</v>
      </c>
    </row>
    <row r="10" spans="1:15" ht="24" customHeight="1" thickBot="1">
      <c r="A10" s="3464">
        <v>4</v>
      </c>
      <c r="B10" s="3465" t="s">
        <v>3449</v>
      </c>
      <c r="C10" s="3465" t="s">
        <v>3394</v>
      </c>
      <c r="D10" s="3466" t="s">
        <v>3425</v>
      </c>
      <c r="E10" s="3465">
        <v>1587.12</v>
      </c>
      <c r="F10" s="3465" t="s">
        <v>3445</v>
      </c>
      <c r="G10" s="3462">
        <f>G9</f>
        <v>2</v>
      </c>
      <c r="H10" s="3462">
        <f t="shared" si="0"/>
        <v>3174.24</v>
      </c>
      <c r="J10" s="3493">
        <f ca="1">ROUND($J$12*H10/$H$12,0)</f>
        <v>568</v>
      </c>
      <c r="K10" s="3493">
        <f ca="1">ROUND($K$12*O10/$O$12,0)</f>
        <v>3561</v>
      </c>
      <c r="L10" s="3493">
        <f ca="1">J10+K10</f>
        <v>4129</v>
      </c>
      <c r="M10" s="3493">
        <f ca="1">ROUND(L10*10000/E10,0)</f>
        <v>26016</v>
      </c>
      <c r="N10" s="3243"/>
      <c r="O10" s="3243">
        <f>'数据-取费表'!M32</f>
        <v>370</v>
      </c>
    </row>
    <row r="11" spans="1:15" ht="24" customHeight="1" thickBot="1">
      <c r="A11" s="3464">
        <v>5</v>
      </c>
      <c r="B11" s="3465" t="s">
        <v>3450</v>
      </c>
      <c r="C11" s="3465" t="s">
        <v>3394</v>
      </c>
      <c r="D11" s="3466" t="s">
        <v>3425</v>
      </c>
      <c r="E11" s="3465">
        <v>31.37</v>
      </c>
      <c r="F11" s="3465" t="s">
        <v>3451</v>
      </c>
      <c r="G11" s="3462">
        <v>1</v>
      </c>
      <c r="H11" s="3462">
        <f t="shared" si="0"/>
        <v>31.37</v>
      </c>
      <c r="J11" s="3493">
        <f ca="1">J12-J7-J8-J9-J10</f>
        <v>6</v>
      </c>
      <c r="K11" s="3493">
        <f ca="1">ROUND($K$12*O11/$O$12,0)</f>
        <v>5476</v>
      </c>
      <c r="L11" s="3493">
        <f ca="1">J11+K11</f>
        <v>5482</v>
      </c>
      <c r="M11" s="3493">
        <f ca="1">ROUND(L11*10000/E11,0)</f>
        <v>1747529</v>
      </c>
      <c r="N11" s="3243"/>
      <c r="O11" s="3243">
        <f>'数据-取费表'!M33</f>
        <v>569</v>
      </c>
    </row>
    <row r="12" spans="1:15" ht="14.25" thickBot="1">
      <c r="A12" s="3699" t="s">
        <v>3452</v>
      </c>
      <c r="B12" s="3700"/>
      <c r="C12" s="3700"/>
      <c r="D12" s="3701"/>
      <c r="E12" s="3465">
        <v>34367.43</v>
      </c>
      <c r="F12" s="3465" t="s">
        <v>43</v>
      </c>
      <c r="G12" s="3462"/>
      <c r="H12" s="3462">
        <f>ROUND(SUM(H7:H11),2)</f>
        <v>42858.99</v>
      </c>
      <c r="J12" s="3493">
        <f ca="1">结果表!D118</f>
        <v>7673</v>
      </c>
      <c r="K12" s="3493">
        <f ca="1">结果表!F118</f>
        <v>13348</v>
      </c>
      <c r="L12" s="3493">
        <f ca="1">SUM(L7:L11)</f>
        <v>21021</v>
      </c>
      <c r="M12" s="3493"/>
      <c r="N12" s="3243"/>
      <c r="O12" s="3243">
        <f>SUM(O7:O11)</f>
        <v>1387</v>
      </c>
    </row>
    <row r="14" spans="1:15">
      <c r="G14" s="3467" t="s">
        <v>3454</v>
      </c>
      <c r="H14" s="3468">
        <f>H12/'数据-基础表'!A3</f>
        <v>2.7725731327062655</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topLeftCell="B1" workbookViewId="0">
      <selection activeCell="S20" sqref="S20"/>
    </sheetView>
  </sheetViews>
  <sheetFormatPr defaultColWidth="8.875" defaultRowHeight="12"/>
  <cols>
    <col min="1" max="1" width="21.5" style="3487" customWidth="1"/>
    <col min="2" max="7" width="8.875" style="3487"/>
    <col min="8" max="8" width="15.625" style="3487" customWidth="1"/>
    <col min="9" max="19" width="8.875" style="3487"/>
    <col min="20" max="21" width="9.5" style="3487" bestFit="1" customWidth="1"/>
    <col min="22" max="16384" width="8.875" style="3487"/>
  </cols>
  <sheetData>
    <row r="1" spans="1:21" s="3485" customFormat="1">
      <c r="A1" s="3485" t="s">
        <v>3471</v>
      </c>
      <c r="B1" s="3485" t="s">
        <v>3472</v>
      </c>
      <c r="C1" s="3485" t="s">
        <v>3473</v>
      </c>
      <c r="D1" s="3485" t="s">
        <v>3496</v>
      </c>
      <c r="E1" s="3485" t="s">
        <v>3474</v>
      </c>
      <c r="F1" s="3485" t="s">
        <v>3475</v>
      </c>
      <c r="G1" s="3485" t="s">
        <v>3476</v>
      </c>
      <c r="H1" s="3485" t="s">
        <v>3477</v>
      </c>
      <c r="I1" s="3485" t="s">
        <v>3478</v>
      </c>
      <c r="J1" s="3485" t="s">
        <v>3479</v>
      </c>
      <c r="K1" s="3485" t="s">
        <v>3480</v>
      </c>
      <c r="L1" s="3485" t="s">
        <v>3481</v>
      </c>
      <c r="M1" s="3485" t="s">
        <v>3482</v>
      </c>
      <c r="N1" s="3702" t="s">
        <v>3497</v>
      </c>
      <c r="O1" s="3702"/>
      <c r="Q1" s="3702" t="s">
        <v>3498</v>
      </c>
      <c r="R1" s="3702"/>
      <c r="S1" s="3702"/>
    </row>
    <row r="2" spans="1:21" s="3485" customFormat="1">
      <c r="A2" s="3485" t="s">
        <v>3483</v>
      </c>
      <c r="B2" s="3485" t="s">
        <v>3384</v>
      </c>
      <c r="C2" s="3485">
        <v>101073.71</v>
      </c>
      <c r="D2" s="3485">
        <v>131395.82</v>
      </c>
      <c r="E2" s="3485" t="s">
        <v>3484</v>
      </c>
      <c r="F2" s="3485" t="s">
        <v>3485</v>
      </c>
      <c r="G2" s="3485" t="s">
        <v>3486</v>
      </c>
      <c r="H2" s="3486">
        <v>44323.000497685185</v>
      </c>
      <c r="I2" s="3485">
        <v>8185.96</v>
      </c>
      <c r="J2" s="3485">
        <v>53.99</v>
      </c>
      <c r="K2" s="3485">
        <v>623</v>
      </c>
      <c r="L2" s="3485">
        <v>0</v>
      </c>
      <c r="M2" s="3485" t="s">
        <v>3487</v>
      </c>
      <c r="N2" s="3485">
        <v>1.4649000000000001</v>
      </c>
      <c r="O2" s="3485">
        <f>基准地价修正!C24</f>
        <v>0.92020000000000002</v>
      </c>
      <c r="P2" s="3488">
        <f>K2*N2*O2</f>
        <v>839.80461054000011</v>
      </c>
      <c r="Q2" s="3485">
        <f>D2/C2</f>
        <v>1.2999999703186911</v>
      </c>
      <c r="R2" s="3485">
        <v>0.91</v>
      </c>
      <c r="S2" s="3485">
        <v>0.91</v>
      </c>
      <c r="T2" s="3488">
        <f>P2*S2/R2</f>
        <v>839.80461054000011</v>
      </c>
      <c r="U2" s="3488">
        <f>T2*D2/(C2/666.67)/10000</f>
        <v>72.783428500356251</v>
      </c>
    </row>
    <row r="3" spans="1:21" s="3485" customFormat="1">
      <c r="A3" s="3485" t="s">
        <v>3488</v>
      </c>
      <c r="B3" s="3485" t="s">
        <v>3384</v>
      </c>
      <c r="C3" s="3485">
        <v>43490.16</v>
      </c>
      <c r="D3" s="3485">
        <v>69584.259999999995</v>
      </c>
      <c r="E3" s="3485" t="s">
        <v>3489</v>
      </c>
      <c r="F3" s="3485" t="s">
        <v>3485</v>
      </c>
      <c r="G3" s="3485" t="s">
        <v>3490</v>
      </c>
      <c r="H3" s="3486">
        <v>44308.000497685185</v>
      </c>
      <c r="I3" s="3485">
        <v>3931.51</v>
      </c>
      <c r="J3" s="3485">
        <v>60.27</v>
      </c>
      <c r="K3" s="3485">
        <v>565</v>
      </c>
      <c r="L3" s="3485">
        <v>0</v>
      </c>
      <c r="M3" s="3485" t="s">
        <v>3487</v>
      </c>
      <c r="N3" s="3485">
        <f>N2</f>
        <v>1.4649000000000001</v>
      </c>
      <c r="O3" s="3485">
        <f>O2</f>
        <v>0.92020000000000002</v>
      </c>
      <c r="P3" s="3488">
        <f t="shared" ref="P3:P5" si="0">K3*N3*O3</f>
        <v>761.62055369999996</v>
      </c>
      <c r="Q3" s="3485">
        <f>D3/C3</f>
        <v>1.6000000919748281</v>
      </c>
      <c r="R3" s="3485">
        <v>0.84</v>
      </c>
      <c r="S3" s="3485">
        <f>S2</f>
        <v>0.91</v>
      </c>
      <c r="T3" s="3488">
        <f t="shared" ref="T3:T5" si="1">P3*S3/R3</f>
        <v>825.08893317500008</v>
      </c>
      <c r="U3" s="3489">
        <f t="shared" ref="U3:U5" si="2">T3*D3/(C3/666.67)/10000</f>
        <v>88.00993131195051</v>
      </c>
    </row>
    <row r="4" spans="1:21" s="3485" customFormat="1">
      <c r="A4" s="3485" t="s">
        <v>3491</v>
      </c>
      <c r="B4" s="3485" t="s">
        <v>3384</v>
      </c>
      <c r="C4" s="3485">
        <v>16189.08</v>
      </c>
      <c r="D4" s="3485">
        <v>32378.16</v>
      </c>
      <c r="E4" s="3485" t="s">
        <v>3492</v>
      </c>
      <c r="F4" s="3485" t="s">
        <v>3485</v>
      </c>
      <c r="G4" s="3485" t="s">
        <v>3493</v>
      </c>
      <c r="H4" s="3486">
        <v>44119.000497685185</v>
      </c>
      <c r="I4" s="3485">
        <v>2246.2600000000002</v>
      </c>
      <c r="J4" s="3485">
        <v>92.5</v>
      </c>
      <c r="K4" s="3485">
        <v>694</v>
      </c>
      <c r="L4" s="3485">
        <v>0</v>
      </c>
      <c r="M4" s="3485" t="s">
        <v>3487</v>
      </c>
      <c r="N4" s="3485">
        <f t="shared" ref="N4:N5" si="3">N3</f>
        <v>1.4649000000000001</v>
      </c>
      <c r="O4" s="3485">
        <f t="shared" ref="O4:O5" si="4">O3</f>
        <v>0.92020000000000002</v>
      </c>
      <c r="P4" s="3488">
        <f t="shared" si="0"/>
        <v>935.51268012000003</v>
      </c>
      <c r="Q4" s="3485">
        <f>D4/C4</f>
        <v>2</v>
      </c>
      <c r="R4" s="3485">
        <v>0.75</v>
      </c>
      <c r="S4" s="3485">
        <f t="shared" ref="S4:S5" si="5">S3</f>
        <v>0.91</v>
      </c>
      <c r="T4" s="3488">
        <f t="shared" si="1"/>
        <v>1135.0887185456002</v>
      </c>
      <c r="U4" s="3488">
        <f t="shared" si="2"/>
        <v>151.34591919855902</v>
      </c>
    </row>
    <row r="5" spans="1:21" s="3485" customFormat="1">
      <c r="A5" s="3485" t="s">
        <v>3494</v>
      </c>
      <c r="B5" s="3485" t="s">
        <v>3384</v>
      </c>
      <c r="C5" s="3485">
        <v>10002.61</v>
      </c>
      <c r="D5" s="3485">
        <v>20005.22</v>
      </c>
      <c r="E5" s="3485" t="s">
        <v>3492</v>
      </c>
      <c r="F5" s="3485" t="s">
        <v>3485</v>
      </c>
      <c r="G5" s="3485" t="s">
        <v>3495</v>
      </c>
      <c r="H5" s="3486">
        <v>44041.000497685185</v>
      </c>
      <c r="I5" s="3485">
        <v>1039.07</v>
      </c>
      <c r="J5" s="3485">
        <v>69.25</v>
      </c>
      <c r="K5" s="3485">
        <v>519</v>
      </c>
      <c r="L5" s="3485">
        <v>0</v>
      </c>
      <c r="M5" s="3485" t="s">
        <v>3487</v>
      </c>
      <c r="N5" s="3485">
        <f t="shared" si="3"/>
        <v>1.4649000000000001</v>
      </c>
      <c r="O5" s="3485">
        <f t="shared" si="4"/>
        <v>0.92020000000000002</v>
      </c>
      <c r="P5" s="3488">
        <f t="shared" si="0"/>
        <v>699.61250862000009</v>
      </c>
      <c r="Q5" s="3485">
        <f>D5/C5</f>
        <v>2</v>
      </c>
      <c r="R5" s="3485">
        <f>R4</f>
        <v>0.75</v>
      </c>
      <c r="S5" s="3485">
        <f t="shared" si="5"/>
        <v>0.91</v>
      </c>
      <c r="T5" s="3488">
        <f t="shared" si="1"/>
        <v>848.86317712560015</v>
      </c>
      <c r="U5" s="3489">
        <f t="shared" si="2"/>
        <v>113.18232285886477</v>
      </c>
    </row>
  </sheetData>
  <mergeCells count="2">
    <mergeCell ref="N1:O1"/>
    <mergeCell ref="Q1:S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14605</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6288</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4319</v>
      </c>
      <c r="D5" s="205" t="s">
        <v>1468</v>
      </c>
      <c r="E5" s="206" t="s">
        <v>1469</v>
      </c>
      <c r="F5" s="206" t="s">
        <v>1470</v>
      </c>
      <c r="G5" s="207"/>
    </row>
    <row r="6" spans="1:9" s="208" customFormat="1" ht="13.5" customHeight="1">
      <c r="A6" s="769" t="s">
        <v>1471</v>
      </c>
      <c r="B6" s="209" t="s">
        <v>1472</v>
      </c>
      <c r="C6" s="210">
        <f>基准地价修正!E33</f>
        <v>3740</v>
      </c>
      <c r="D6" s="211"/>
      <c r="E6" s="212"/>
      <c r="F6" s="212"/>
      <c r="G6" s="213"/>
    </row>
    <row r="7" spans="1:9" s="208" customFormat="1" ht="13.5" customHeight="1">
      <c r="A7" s="769" t="s">
        <v>1473</v>
      </c>
      <c r="B7" s="209" t="s">
        <v>1474</v>
      </c>
      <c r="C7" s="214">
        <f>ROUND(C6*F7,0)</f>
        <v>114</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465</v>
      </c>
      <c r="D8" s="216"/>
      <c r="E8" s="214"/>
      <c r="F8" s="215"/>
      <c r="G8" s="1847" t="s">
        <v>3433</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160</v>
      </c>
      <c r="F9" s="215"/>
      <c r="G9" s="1848" t="s">
        <v>3434</v>
      </c>
      <c r="H9" s="1128"/>
      <c r="I9" s="1849" t="s">
        <v>1478</v>
      </c>
    </row>
    <row r="10" spans="1:9" s="208" customFormat="1" ht="13.5" customHeight="1">
      <c r="A10" s="770" t="s">
        <v>356</v>
      </c>
      <c r="B10" s="218" t="s">
        <v>1479</v>
      </c>
      <c r="C10" s="219">
        <f ca="1">ROUND(D10*E10/10000,0)</f>
        <v>465</v>
      </c>
      <c r="D10" s="836">
        <f ca="1">IF(B1="",'数据-汇总表'!E6,IF(INDIRECT("'数据-取费表'!c"&amp;$G$1)="住宅",INDIRECT("'数据-取费表'!s"&amp;$G$1),INDIRECT("'数据-取费表'!k"&amp;$G$1)+INDIRECT("'数据-取费表'!s"&amp;$G$1)))</f>
        <v>23228.35</v>
      </c>
      <c r="E10" s="219">
        <f>'数据-取费表'!B28</f>
        <v>200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23228.35</v>
      </c>
      <c r="E19" s="205">
        <f>'数据-取费表'!B31</f>
        <v>200</v>
      </c>
      <c r="F19" s="225"/>
      <c r="G19" s="1847" t="s">
        <v>3435</v>
      </c>
    </row>
    <row r="20" spans="1:7" s="208" customFormat="1" ht="13.5" customHeight="1">
      <c r="A20" s="249" t="s">
        <v>1492</v>
      </c>
      <c r="B20" s="204" t="s">
        <v>1493</v>
      </c>
      <c r="C20" s="226">
        <f ca="1">ROUND((C5+C19)*F20,0)</f>
        <v>86</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150</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149</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1</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441</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ROUND((C5+C19+C20)*F27*'数据-取费表'!B21/'数据-取费表'!B20,0)</f>
        <v>441</v>
      </c>
      <c r="D28" s="229"/>
      <c r="E28" s="230"/>
      <c r="F28" s="240"/>
      <c r="G28" s="241"/>
    </row>
    <row r="29" spans="1:7" s="208" customFormat="1" ht="13.5" customHeight="1">
      <c r="A29" s="771" t="s">
        <v>347</v>
      </c>
      <c r="B29" s="242" t="s">
        <v>1516</v>
      </c>
      <c r="C29" s="232">
        <f ca="1">ROUND(C21*F27*'数据-取费表'!B21/'数据-取费表'!B20,4)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5335</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8961</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8130</v>
      </c>
      <c r="D34" s="211"/>
      <c r="E34" s="214"/>
      <c r="F34" s="251">
        <f ca="1">IF('数据-取费表'!B24=0,1,IF(B1="",'数据-取费表'!N16,INDIRECT("'数据-取费表'!n"&amp;$G$1)))</f>
        <v>1</v>
      </c>
      <c r="G34" s="213" t="s">
        <v>1525</v>
      </c>
    </row>
    <row r="35" spans="1:7" ht="13.5" customHeight="1">
      <c r="A35" s="771" t="s">
        <v>351</v>
      </c>
      <c r="B35" s="209" t="s">
        <v>1526</v>
      </c>
      <c r="C35" s="214">
        <f ca="1">ROUND(C34*F35,0)</f>
        <v>244</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465</v>
      </c>
      <c r="D37" s="211">
        <f ca="1">D19</f>
        <v>23228.35</v>
      </c>
      <c r="E37" s="243">
        <f>'数据-取费表'!B35</f>
        <v>200</v>
      </c>
      <c r="F37" s="253"/>
      <c r="G37" s="255" t="s">
        <v>1531</v>
      </c>
    </row>
    <row r="38" spans="1:7" ht="13.5" customHeight="1">
      <c r="A38" s="771" t="s">
        <v>354</v>
      </c>
      <c r="B38" s="209" t="s">
        <v>1532</v>
      </c>
      <c r="C38" s="214">
        <f ca="1">ROUND(C34*F38,0)</f>
        <v>122</v>
      </c>
      <c r="D38" s="214"/>
      <c r="E38" s="214"/>
      <c r="F38" s="253">
        <f>'数据-取费表'!B36</f>
        <v>1.4999999999999999E-2</v>
      </c>
      <c r="G38" s="213" t="s">
        <v>1527</v>
      </c>
    </row>
    <row r="39" spans="1:7" s="208" customFormat="1" ht="13.5" customHeight="1">
      <c r="A39" s="249" t="s">
        <v>1533</v>
      </c>
      <c r="B39" s="204" t="s">
        <v>1534</v>
      </c>
      <c r="C39" s="226">
        <f ca="1">ROUND(C33*F20,0)</f>
        <v>179</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158</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155</v>
      </c>
      <c r="D42" s="232"/>
      <c r="E42" s="232"/>
      <c r="F42" s="233"/>
      <c r="G42" s="3703" t="s">
        <v>1543</v>
      </c>
    </row>
    <row r="43" spans="1:7" ht="13.5" customHeight="1">
      <c r="A43" s="771" t="s">
        <v>347</v>
      </c>
      <c r="B43" s="209" t="s">
        <v>1544</v>
      </c>
      <c r="C43" s="232">
        <f ca="1">ROUND(IF('数据-取费表'!B22&lt;=1,C39*F22*'数据-取费表'!B21/2,C39*(POWER((1+F22),'数据-取费表'!B21/2)-1)),0)</f>
        <v>3</v>
      </c>
      <c r="D43" s="232"/>
      <c r="E43" s="232"/>
      <c r="F43" s="233"/>
      <c r="G43" s="3704"/>
    </row>
    <row r="44" spans="1:7" ht="13.5" customHeight="1">
      <c r="A44" s="771" t="s">
        <v>348</v>
      </c>
      <c r="B44" s="209" t="s">
        <v>1545</v>
      </c>
      <c r="C44" s="232">
        <f ca="1">ROUND(IF('数据-取费表'!B22&lt;=1,C40*F22*'数据-取费表'!B21/2,C40*(POWER((1+F22),'数据-取费表'!B21/2)-1)),4)</f>
        <v>2.0000000000000001E-4</v>
      </c>
      <c r="D44" s="232"/>
      <c r="E44" s="232"/>
      <c r="F44" s="233"/>
      <c r="G44" s="3705"/>
    </row>
    <row r="45" spans="1:7" s="208" customFormat="1" ht="13.5" customHeight="1">
      <c r="A45" s="249" t="s">
        <v>1546</v>
      </c>
      <c r="B45" s="238" t="s">
        <v>1512</v>
      </c>
      <c r="C45" s="239">
        <f ca="1">C46</f>
        <v>914</v>
      </c>
      <c r="D45" s="229">
        <f ca="1">C47</f>
        <v>1E-3</v>
      </c>
      <c r="E45" s="230" t="s">
        <v>1538</v>
      </c>
      <c r="F45" s="240">
        <f ca="1">F27</f>
        <v>0.1</v>
      </c>
      <c r="G45" s="241" t="s">
        <v>1547</v>
      </c>
    </row>
    <row r="46" spans="1:7" s="208" customFormat="1" ht="13.5" customHeight="1">
      <c r="A46" s="771" t="s">
        <v>346</v>
      </c>
      <c r="B46" s="242" t="s">
        <v>1548</v>
      </c>
      <c r="C46" s="243">
        <f ca="1">ROUND((C33+C39)*F27,0)</f>
        <v>914</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10906</v>
      </c>
      <c r="D49" s="226"/>
      <c r="E49" s="226"/>
      <c r="F49" s="258"/>
      <c r="G49" s="228" t="s">
        <v>1553</v>
      </c>
    </row>
    <row r="50" spans="1:7" s="252" customFormat="1" ht="24">
      <c r="A50" s="249" t="s">
        <v>1554</v>
      </c>
      <c r="B50" s="204" t="s">
        <v>1555</v>
      </c>
      <c r="C50" s="226"/>
      <c r="D50" s="226"/>
      <c r="E50" s="226"/>
      <c r="F50" s="258">
        <f>IF('数据-取费表'!B24=0,'数据-取费表'!N16,1)</f>
        <v>0.85</v>
      </c>
      <c r="G50" s="241" t="s">
        <v>1556</v>
      </c>
    </row>
    <row r="51" spans="1:7" ht="16.5" customHeight="1">
      <c r="A51" s="249" t="s">
        <v>1557</v>
      </c>
      <c r="B51" s="204" t="s">
        <v>1558</v>
      </c>
      <c r="C51" s="226">
        <f ca="1">ROUND(C49*F50,0)</f>
        <v>9270</v>
      </c>
      <c r="D51" s="226"/>
      <c r="E51" s="226"/>
      <c r="F51" s="258"/>
      <c r="G51" s="228" t="s">
        <v>1559</v>
      </c>
    </row>
    <row r="52" spans="1:7" s="202" customFormat="1" ht="16.5" thickBot="1">
      <c r="A52" s="259" t="s">
        <v>1560</v>
      </c>
      <c r="B52" s="260"/>
      <c r="C52" s="261">
        <f ca="1">C31+C51</f>
        <v>14605</v>
      </c>
      <c r="D52" s="260"/>
      <c r="E52" s="260"/>
      <c r="F52" s="260"/>
      <c r="G52" s="262"/>
    </row>
    <row r="55" spans="1:7" ht="15">
      <c r="B55" s="264" t="s">
        <v>1561</v>
      </c>
      <c r="C55" s="265"/>
    </row>
    <row r="56" spans="1:7">
      <c r="B56" s="267" t="s">
        <v>802</v>
      </c>
      <c r="C56" s="269">
        <f ca="1">1-C57</f>
        <v>0.36499999999999999</v>
      </c>
    </row>
    <row r="57" spans="1:7">
      <c r="B57" s="267" t="s">
        <v>803</v>
      </c>
      <c r="C57" s="268">
        <f ca="1">ROUND(C51/C52,3)</f>
        <v>0.63500000000000001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t="s">
        <v>3</v>
      </c>
      <c r="C1" s="1850" t="s">
        <v>1562</v>
      </c>
      <c r="D1" s="192"/>
      <c r="E1" s="192"/>
      <c r="F1" s="192"/>
      <c r="G1" s="1117">
        <f>MATCH(B1,'数据-取费表'!A6:A16,0)+5</f>
        <v>6</v>
      </c>
      <c r="H1" s="1052" t="str">
        <f>IF(ISERROR(FIND("住宅",B1)),"非住宅","住宅")</f>
        <v>非住宅</v>
      </c>
    </row>
    <row r="2" spans="1:8" s="194" customFormat="1" ht="18" customHeight="1">
      <c r="A2" s="195" t="s">
        <v>1461</v>
      </c>
      <c r="B2" s="3413">
        <f ca="1">ROUND(IF(D2="——",C52/10000,C52/10000-E2),4)</f>
        <v>15177.9427</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6534</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43183941.5</v>
      </c>
      <c r="D5" s="205" t="s">
        <v>1468</v>
      </c>
      <c r="E5" s="206" t="s">
        <v>1469</v>
      </c>
      <c r="F5" s="206" t="s">
        <v>1470</v>
      </c>
      <c r="G5" s="207"/>
    </row>
    <row r="6" spans="1:8" s="208" customFormat="1" ht="13.5" customHeight="1">
      <c r="A6" s="769" t="s">
        <v>1471</v>
      </c>
      <c r="B6" s="209" t="s">
        <v>1472</v>
      </c>
      <c r="C6" s="210">
        <f>基准地价修正!C33*基准地价修正!D33</f>
        <v>37397643.5</v>
      </c>
      <c r="D6" s="211"/>
      <c r="E6" s="212"/>
      <c r="F6" s="212"/>
      <c r="G6" s="213"/>
    </row>
    <row r="7" spans="1:8" s="208" customFormat="1" ht="13.5" customHeight="1">
      <c r="A7" s="769" t="s">
        <v>1473</v>
      </c>
      <c r="B7" s="209" t="s">
        <v>1474</v>
      </c>
      <c r="C7" s="214">
        <f>ROUND(C6*F7,0)</f>
        <v>1140628</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4645670</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1479</v>
      </c>
      <c r="C10" s="219">
        <f ca="1">ROUND(D10*E10,0)</f>
        <v>4645670</v>
      </c>
      <c r="D10" s="836">
        <f ca="1">IF(B1="",'数据-汇总表'!E6,IF(INDIRECT("'数据-取费表'!c"&amp;$G$1)="住宅",INDIRECT("'数据-取费表'!s"&amp;$G$1),INDIRECT("'数据-取费表'!k"&amp;$G$1)+INDIRECT("'数据-取费表'!s"&amp;$G$1)))</f>
        <v>23228.35</v>
      </c>
      <c r="E10" s="219">
        <f>'数据-取费表'!B28</f>
        <v>200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4645670</v>
      </c>
      <c r="D19" s="840">
        <f ca="1">D9+D10</f>
        <v>23228.35</v>
      </c>
      <c r="E19" s="205">
        <f>'数据-取费表'!B31</f>
        <v>200</v>
      </c>
      <c r="F19" s="225"/>
      <c r="G19" s="1847"/>
    </row>
    <row r="20" spans="1:7" s="208" customFormat="1" ht="13.5" customHeight="1">
      <c r="A20" s="249" t="s">
        <v>1573</v>
      </c>
      <c r="B20" s="204" t="s">
        <v>1574</v>
      </c>
      <c r="C20" s="226">
        <f ca="1">ROUND((C5+C19)*F20,0)</f>
        <v>956592</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1666623</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1489846</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160276</v>
      </c>
      <c r="D24" s="232"/>
      <c r="E24" s="232"/>
      <c r="F24" s="233"/>
      <c r="G24" s="234" t="s">
        <v>1585</v>
      </c>
    </row>
    <row r="25" spans="1:7" s="208" customFormat="1" ht="24">
      <c r="A25" s="771" t="s">
        <v>1475</v>
      </c>
      <c r="B25" s="209" t="s">
        <v>1586</v>
      </c>
      <c r="C25" s="1119">
        <f ca="1">ROUND(IF('数据-取费表'!B22&lt;=1,C20*F22*'数据-取费表'!B22/2,C20*(POWER((1+F22),'数据-取费表'!B22/2)-1)),0)</f>
        <v>16501</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4878620</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ROUND((C5+C19+C20)*F27,0)</f>
        <v>4878620</v>
      </c>
      <c r="D28" s="229"/>
      <c r="E28" s="230"/>
      <c r="F28" s="240"/>
      <c r="G28" s="241"/>
    </row>
    <row r="29" spans="1:7" s="208" customFormat="1" ht="13.5" customHeight="1">
      <c r="A29" s="771" t="s">
        <v>347</v>
      </c>
      <c r="B29" s="242" t="s">
        <v>1516</v>
      </c>
      <c r="C29" s="232">
        <f ca="1">ROUND(C21*F27,4)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59089541</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89603360</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81299225</v>
      </c>
      <c r="D34" s="211"/>
      <c r="E34" s="214"/>
      <c r="F34" s="251"/>
      <c r="G34" s="213"/>
    </row>
    <row r="35" spans="1:7" ht="13.5" customHeight="1">
      <c r="A35" s="771" t="s">
        <v>351</v>
      </c>
      <c r="B35" s="209" t="s">
        <v>1526</v>
      </c>
      <c r="C35" s="214">
        <f ca="1">ROUND(C34*F35,0)</f>
        <v>2438977</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4645670</v>
      </c>
      <c r="D37" s="211">
        <f ca="1">D19</f>
        <v>23228.35</v>
      </c>
      <c r="E37" s="243">
        <f>'数据-取费表'!B35</f>
        <v>200</v>
      </c>
      <c r="F37" s="253"/>
      <c r="G37" s="255"/>
    </row>
    <row r="38" spans="1:7" ht="13.5" customHeight="1">
      <c r="A38" s="771" t="s">
        <v>354</v>
      </c>
      <c r="B38" s="209" t="s">
        <v>1532</v>
      </c>
      <c r="C38" s="214">
        <f ca="1">ROUND(C34*F38,0)</f>
        <v>1219488</v>
      </c>
      <c r="D38" s="214"/>
      <c r="E38" s="214"/>
      <c r="F38" s="253">
        <f>'数据-取费表'!B36</f>
        <v>1.4999999999999999E-2</v>
      </c>
      <c r="G38" s="213" t="s">
        <v>1527</v>
      </c>
    </row>
    <row r="39" spans="1:7" s="208" customFormat="1" ht="13.5" customHeight="1">
      <c r="A39" s="249" t="s">
        <v>1533</v>
      </c>
      <c r="B39" s="204" t="s">
        <v>1534</v>
      </c>
      <c r="C39" s="226">
        <f ca="1">ROUND(C33*F20,0)</f>
        <v>1792067</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1576571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1545658</v>
      </c>
      <c r="D42" s="232"/>
      <c r="E42" s="232"/>
      <c r="F42" s="233"/>
      <c r="G42" s="3703" t="s">
        <v>1590</v>
      </c>
    </row>
    <row r="43" spans="1:7" ht="13.5" customHeight="1">
      <c r="A43" s="771" t="s">
        <v>347</v>
      </c>
      <c r="B43" s="209" t="s">
        <v>1544</v>
      </c>
      <c r="C43" s="232">
        <f ca="1">ROUND(IF('数据-取费表'!B22&lt;=1,C39*F22*'数据-取费表'!B20/2,C39*(POWER((1+F22),'数据-取费表'!B20/2)-1)),0)</f>
        <v>30913</v>
      </c>
      <c r="D43" s="232"/>
      <c r="E43" s="232"/>
      <c r="F43" s="233"/>
      <c r="G43" s="3704"/>
    </row>
    <row r="44" spans="1:7" ht="13.5" customHeight="1">
      <c r="A44" s="771" t="s">
        <v>348</v>
      </c>
      <c r="B44" s="209" t="s">
        <v>1545</v>
      </c>
      <c r="C44" s="232">
        <f ca="1">ROUND(IF('数据-取费表'!B22&lt;=1,C40*F22*'数据-取费表'!B20/2,C40*(POWER((1+F22),'数据-取费表'!B20/2)-1)),4)</f>
        <v>2.0000000000000001E-4</v>
      </c>
      <c r="D44" s="232"/>
      <c r="E44" s="232"/>
      <c r="F44" s="233"/>
      <c r="G44" s="3705"/>
    </row>
    <row r="45" spans="1:7" s="208" customFormat="1" ht="13.5" customHeight="1">
      <c r="A45" s="249" t="s">
        <v>1546</v>
      </c>
      <c r="B45" s="238" t="s">
        <v>1512</v>
      </c>
      <c r="C45" s="239">
        <f ca="1">C46</f>
        <v>9139543</v>
      </c>
      <c r="D45" s="229">
        <f ca="1">C47</f>
        <v>1E-3</v>
      </c>
      <c r="E45" s="230" t="s">
        <v>1538</v>
      </c>
      <c r="F45" s="240">
        <f ca="1">F27</f>
        <v>0.1</v>
      </c>
      <c r="G45" s="241" t="s">
        <v>1547</v>
      </c>
    </row>
    <row r="46" spans="1:7" s="208" customFormat="1" ht="13.5" customHeight="1">
      <c r="A46" s="771" t="s">
        <v>346</v>
      </c>
      <c r="B46" s="242" t="s">
        <v>1548</v>
      </c>
      <c r="C46" s="243">
        <f ca="1">ROUND((C33+C39)*F27,0)</f>
        <v>9139543</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109046925</v>
      </c>
      <c r="D49" s="226"/>
      <c r="E49" s="226"/>
      <c r="F49" s="258"/>
      <c r="G49" s="228" t="s">
        <v>1553</v>
      </c>
    </row>
    <row r="50" spans="1:7" s="252" customFormat="1">
      <c r="A50" s="249" t="s">
        <v>1554</v>
      </c>
      <c r="B50" s="204" t="s">
        <v>1555</v>
      </c>
      <c r="C50" s="226"/>
      <c r="D50" s="226"/>
      <c r="E50" s="226"/>
      <c r="F50" s="258">
        <f>IF('数据-取费表'!B24=0,'数据-取费表'!N16,1)</f>
        <v>0.85</v>
      </c>
      <c r="G50" s="241"/>
    </row>
    <row r="51" spans="1:7" ht="16.5" customHeight="1">
      <c r="A51" s="249" t="s">
        <v>1557</v>
      </c>
      <c r="B51" s="204" t="s">
        <v>1592</v>
      </c>
      <c r="C51" s="226">
        <f ca="1">ROUND(C49*F50,0)</f>
        <v>92689886</v>
      </c>
      <c r="D51" s="226"/>
      <c r="E51" s="226"/>
      <c r="F51" s="258"/>
      <c r="G51" s="228" t="s">
        <v>1559</v>
      </c>
    </row>
    <row r="52" spans="1:7" s="202" customFormat="1" ht="16.5" thickBot="1">
      <c r="A52" s="259" t="s">
        <v>1560</v>
      </c>
      <c r="B52" s="260"/>
      <c r="C52" s="261">
        <f ca="1">C31+C51</f>
        <v>151779427</v>
      </c>
      <c r="D52" s="260"/>
      <c r="E52" s="260"/>
      <c r="F52" s="260"/>
      <c r="G52" s="262"/>
    </row>
    <row r="55" spans="1:7" ht="15">
      <c r="B55" s="264" t="s">
        <v>1561</v>
      </c>
      <c r="C55" s="265"/>
    </row>
    <row r="56" spans="1:7">
      <c r="B56" s="267" t="s">
        <v>802</v>
      </c>
      <c r="C56" s="269">
        <f ca="1">1-C57</f>
        <v>0.38900000000000001</v>
      </c>
    </row>
    <row r="57" spans="1:7">
      <c r="B57" s="267" t="s">
        <v>803</v>
      </c>
      <c r="C57" s="268">
        <f ca="1">ROUND(C51/C52,3)</f>
        <v>0.61099999999999999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-319</v>
      </c>
      <c r="C2" s="270" t="s">
        <v>1594</v>
      </c>
      <c r="D2" s="270"/>
      <c r="E2" s="2795"/>
      <c r="F2" s="2795"/>
      <c r="G2" s="2795"/>
      <c r="H2" s="2795"/>
      <c r="I2" s="2795"/>
      <c r="J2" s="2795"/>
      <c r="K2" s="2795"/>
    </row>
    <row r="3" spans="1:33" ht="18" customHeight="1" thickBot="1">
      <c r="A3" s="197" t="s">
        <v>1463</v>
      </c>
      <c r="B3" s="198">
        <f ca="1">ROUND(B2*10000/IF(C1="",'数据-汇总表'!E3,INDIRECT("'数据-取费表'!K"&amp;$K$1)),0)</f>
        <v>-137</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23228.35</v>
      </c>
      <c r="E14" s="21">
        <f>'数据-取费表'!B35</f>
        <v>200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23228.35</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292</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1626</v>
      </c>
      <c r="C20" s="21">
        <f ca="1">ROUND(D20*E20/10000,0)</f>
        <v>465</v>
      </c>
      <c r="D20" s="837">
        <f ca="1">IF(C1="",'数据-汇总表'!E6,IF(INDIRECT("'数据-取费表'!c"&amp;$K$1)="住宅",INDIRECT("'数据-取费表'!s"&amp;$K$1),INDIRECT("'数据-取费表'!k"&amp;$K$1)+INDIRECT("'数据-取费表'!s"&amp;$K$1)))</f>
        <v>23228.35</v>
      </c>
      <c r="E20" s="21">
        <f>'数据-取费表'!B28</f>
        <v>200</v>
      </c>
      <c r="F20" s="795"/>
      <c r="G20" s="12"/>
      <c r="H20" s="800"/>
      <c r="I20" s="800"/>
      <c r="J20" s="800"/>
      <c r="K20" s="801"/>
    </row>
    <row r="21" spans="1:33" s="794" customFormat="1" ht="13.5" customHeight="1">
      <c r="A21" s="781" t="s">
        <v>357</v>
      </c>
      <c r="B21" s="804" t="s">
        <v>1627</v>
      </c>
      <c r="C21" s="805">
        <f ca="1">C16+C17+C18</f>
        <v>292</v>
      </c>
      <c r="D21" s="806"/>
      <c r="E21" s="275"/>
      <c r="F21" s="275"/>
      <c r="G21" s="125" t="s">
        <v>1628</v>
      </c>
      <c r="H21" s="798"/>
      <c r="I21" s="798"/>
      <c r="J21" s="798"/>
      <c r="K21" s="799"/>
    </row>
    <row r="22" spans="1:33" s="794" customFormat="1" ht="13.5" customHeight="1">
      <c r="A22" s="781" t="s">
        <v>1600</v>
      </c>
      <c r="B22" s="804" t="s">
        <v>1629</v>
      </c>
      <c r="C22" s="805">
        <f ca="1">ROUND(C21*F22,0)</f>
        <v>6</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30</v>
      </c>
      <c r="D28" s="274">
        <f ca="1">C29</f>
        <v>0</v>
      </c>
      <c r="E28" s="276" t="s">
        <v>12</v>
      </c>
      <c r="F28" s="282">
        <f ca="1">IF(C1="",'数据-取费表'!Q16,INDIRECT("'数据-取费表'!q"&amp;$K$1))</f>
        <v>0.1</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30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-319</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37.56</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24918</v>
      </c>
      <c r="C2" s="1378" t="s">
        <v>805</v>
      </c>
      <c r="D2" s="1378"/>
      <c r="E2" s="1379"/>
      <c r="F2" s="1380"/>
      <c r="G2" s="2695"/>
      <c r="H2" s="2684"/>
      <c r="I2" s="2684"/>
      <c r="J2" s="2684"/>
      <c r="K2" s="2685"/>
      <c r="L2" s="2684"/>
      <c r="M2" s="2684"/>
    </row>
    <row r="3" spans="1:37" ht="18" customHeight="1" thickBot="1">
      <c r="A3" s="1381" t="s">
        <v>806</v>
      </c>
      <c r="B3" s="1382">
        <f ca="1">IF(ISERROR(B2*10000/F43),0,ROUND(B2*10000/F43,0))</f>
        <v>10727</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1528</v>
      </c>
      <c r="D5" s="1355" t="s">
        <v>693</v>
      </c>
      <c r="E5" s="1062"/>
      <c r="F5" s="1063"/>
      <c r="G5" s="1375"/>
      <c r="H5" s="293">
        <v>1</v>
      </c>
      <c r="I5" s="294" t="s">
        <v>692</v>
      </c>
      <c r="J5" s="1061">
        <f ca="1">J6+J10+J12</f>
        <v>0</v>
      </c>
      <c r="K5" s="1355" t="s">
        <v>693</v>
      </c>
      <c r="L5" s="1062"/>
      <c r="M5" s="1063"/>
    </row>
    <row r="6" spans="1:37" ht="18" customHeight="1">
      <c r="A6" s="1060" t="s">
        <v>398</v>
      </c>
      <c r="B6" s="3708" t="s">
        <v>694</v>
      </c>
      <c r="C6" s="1065">
        <f ca="1">ROUND(F6*F8*F7*(1-F9)/10000,0)</f>
        <v>1526</v>
      </c>
      <c r="D6" s="149" t="s">
        <v>2108</v>
      </c>
      <c r="E6" s="296" t="s">
        <v>696</v>
      </c>
      <c r="F6" s="297">
        <f ca="1">INDIRECT("'数据-取费表'!u"&amp;$G$1)</f>
        <v>2</v>
      </c>
      <c r="G6" s="1375"/>
      <c r="H6" s="1060" t="s">
        <v>398</v>
      </c>
      <c r="I6" s="3708" t="s">
        <v>694</v>
      </c>
      <c r="J6" s="295">
        <f ca="1">ROUND(M6*M8*M7*(1-M9)/10000,0)</f>
        <v>0</v>
      </c>
      <c r="K6" s="149" t="s">
        <v>2107</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23228.35</v>
      </c>
      <c r="G7" s="1375"/>
      <c r="H7" s="298"/>
      <c r="I7" s="3709"/>
      <c r="J7" s="300"/>
      <c r="K7" s="301"/>
      <c r="L7" s="296" t="s">
        <v>697</v>
      </c>
      <c r="M7" s="297">
        <f ca="1">F7</f>
        <v>23228.35</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2116</v>
      </c>
      <c r="E10" s="307" t="s">
        <v>701</v>
      </c>
      <c r="F10" s="1107" t="s">
        <v>3424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9270</v>
      </c>
      <c r="D13" s="1072" t="s">
        <v>705</v>
      </c>
      <c r="E13" s="1072" t="s">
        <v>706</v>
      </c>
      <c r="F13" s="1073">
        <f ca="1">INDIRECT("'数据-取费表'!y"&amp;$G$1)</f>
        <v>0.85</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8130</v>
      </c>
      <c r="D14" s="1336" t="s">
        <v>708</v>
      </c>
      <c r="E14" s="1333"/>
      <c r="F14" s="313"/>
      <c r="G14" s="1375"/>
      <c r="H14" s="973" t="s">
        <v>398</v>
      </c>
      <c r="I14" s="296" t="s">
        <v>709</v>
      </c>
      <c r="J14" s="21">
        <f ca="1">C29</f>
        <v>10906</v>
      </c>
      <c r="K14" s="12"/>
      <c r="L14" s="798"/>
      <c r="M14" s="799"/>
    </row>
    <row r="15" spans="1:37" s="1388" customFormat="1" ht="18" customHeight="1" thickBot="1">
      <c r="A15" s="973" t="s">
        <v>399</v>
      </c>
      <c r="B15" s="296" t="s">
        <v>710</v>
      </c>
      <c r="C15" s="21">
        <f ca="1">ROUND(C14*F15,0)</f>
        <v>244</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57</v>
      </c>
      <c r="K16" s="1078" t="s">
        <v>715</v>
      </c>
      <c r="L16" s="1079"/>
      <c r="M16" s="1063"/>
    </row>
    <row r="17" spans="1:37" s="1388" customFormat="1" ht="18" customHeight="1">
      <c r="A17" s="973" t="s">
        <v>681</v>
      </c>
      <c r="B17" s="296" t="s">
        <v>716</v>
      </c>
      <c r="C17" s="21">
        <f ca="1">ROUND(F17*(F43+INDIRECT("'数据-取费表'!S"&amp;$G$1))/10000,0)</f>
        <v>465</v>
      </c>
      <c r="D17" s="296" t="s">
        <v>717</v>
      </c>
      <c r="E17" s="296" t="s">
        <v>718</v>
      </c>
      <c r="F17" s="23">
        <f>'数据-取费表'!B35</f>
        <v>200</v>
      </c>
      <c r="G17" s="1387"/>
      <c r="H17" s="973" t="s">
        <v>398</v>
      </c>
      <c r="I17" s="296" t="s">
        <v>719</v>
      </c>
      <c r="J17" s="2307">
        <f ca="1">ROUND(IF(AND(项目基本情况!B11="自然人",项目基本情况!B10="北京市"),J6*M17/(1+'数据-取费表'!C42),J18+J19+J20),2)</f>
        <v>2.3199999999999998</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122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8961</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179</v>
      </c>
      <c r="D20" s="317" t="s">
        <v>729</v>
      </c>
      <c r="E20" s="296" t="s">
        <v>712</v>
      </c>
      <c r="F20" s="316">
        <f>'数据-取费表'!B37</f>
        <v>0.02</v>
      </c>
      <c r="G20" s="1387"/>
      <c r="H20" s="973" t="s">
        <v>680</v>
      </c>
      <c r="I20" s="149" t="s">
        <v>730</v>
      </c>
      <c r="J20" s="22">
        <f ca="1">ROUND(M20*M21/10000,2)</f>
        <v>2.3199999999999998</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15458.2</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54.53</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158</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-57</v>
      </c>
      <c r="K25" s="1086" t="s">
        <v>753</v>
      </c>
      <c r="L25" s="1087"/>
      <c r="M25" s="1088"/>
    </row>
    <row r="26" spans="1:37">
      <c r="A26" s="973" t="s">
        <v>397</v>
      </c>
      <c r="B26" s="296" t="s">
        <v>754</v>
      </c>
      <c r="C26" s="21">
        <f ca="1">ROUND((C19+C20)*F26,0)</f>
        <v>914</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10906</v>
      </c>
      <c r="D29" s="1083"/>
      <c r="E29" s="1081"/>
      <c r="F29" s="1084"/>
      <c r="G29" s="1387"/>
      <c r="H29" s="328" t="s">
        <v>396</v>
      </c>
      <c r="I29" s="329" t="s">
        <v>768</v>
      </c>
      <c r="J29" s="330">
        <f ca="1">ROUND(J26/(1+F40)^F41,0)</f>
        <v>0</v>
      </c>
      <c r="K29" s="331" t="s">
        <v>769</v>
      </c>
      <c r="L29" s="332"/>
      <c r="M29" s="333">
        <f ca="1">INDIRECT("'数据-取费表'!k"&amp;$G$1)</f>
        <v>23228.35</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328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256.64999999999998</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79.930000000000007</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174.4</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2.3199999999999998</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15458.2</v>
      </c>
      <c r="G35" s="1375"/>
      <c r="H35" s="2686"/>
      <c r="I35" s="1389"/>
      <c r="J35" s="1390"/>
      <c r="K35" s="2690"/>
      <c r="L35" s="2689"/>
      <c r="M35" s="2689"/>
    </row>
    <row r="36" spans="1:18" ht="18" customHeight="1">
      <c r="A36" s="1093" t="s">
        <v>402</v>
      </c>
      <c r="B36" s="296" t="s">
        <v>738</v>
      </c>
      <c r="C36" s="21">
        <f ca="1">ROUND(C29*F36,2)</f>
        <v>54.53</v>
      </c>
      <c r="D36" s="1335" t="s">
        <v>771</v>
      </c>
      <c r="E36" s="296" t="s">
        <v>712</v>
      </c>
      <c r="F36" s="322">
        <f ca="1">INDIRECT("'数据-取费表'!Ak"&amp;$G$1)</f>
        <v>5.0000000000000001E-3</v>
      </c>
      <c r="G36" s="1375"/>
      <c r="H36" s="2689"/>
      <c r="I36" s="1389"/>
      <c r="J36" s="1390"/>
      <c r="K36" s="2535"/>
      <c r="L36" s="2689"/>
      <c r="M36" s="2689"/>
    </row>
    <row r="37" spans="1:18" ht="18" customHeight="1">
      <c r="A37" s="973" t="s">
        <v>437</v>
      </c>
      <c r="B37" s="296" t="s">
        <v>742</v>
      </c>
      <c r="C37" s="21">
        <f ca="1">ROUND(C13*F37,2)</f>
        <v>9.27</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7.64</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1200</v>
      </c>
      <c r="D39" s="1086" t="s">
        <v>773</v>
      </c>
      <c r="E39" s="1087"/>
      <c r="F39" s="1088"/>
      <c r="G39" s="1375"/>
      <c r="H39" s="2689">
        <f ca="1">C39/C6</f>
        <v>0.78636959370904325</v>
      </c>
      <c r="I39" s="1389"/>
      <c r="J39" s="1390"/>
      <c r="K39" s="2693"/>
      <c r="L39" s="2689"/>
      <c r="M39" s="2689"/>
    </row>
    <row r="40" spans="1:18" ht="18" customHeight="1">
      <c r="A40" s="293" t="s">
        <v>395</v>
      </c>
      <c r="B40" s="294" t="s">
        <v>774</v>
      </c>
      <c r="C40" s="295">
        <f ca="1">ROUND(C39*(1-((1+F42)/(1+F40))^F41)/(F40-F42),0)</f>
        <v>24630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37.56</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10603</v>
      </c>
      <c r="D43" s="331" t="s">
        <v>777</v>
      </c>
      <c r="E43" s="332" t="s">
        <v>778</v>
      </c>
      <c r="F43" s="333">
        <f ca="1">INDIRECT("'数据-取费表'!k"&amp;$G$1)</f>
        <v>23228.35</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-25669</v>
      </c>
      <c r="D46" s="1397" t="str">
        <f>C2</f>
        <v>万元</v>
      </c>
      <c r="E46" s="1391"/>
      <c r="F46" s="1391"/>
      <c r="I46" s="1398" t="s">
        <v>810</v>
      </c>
      <c r="J46" s="1399"/>
      <c r="K46" s="1400"/>
      <c r="L46" s="1401">
        <f ca="1">IF(M47="住宅",0,IF(L48&gt;J51,L60,J60))</f>
        <v>288</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3425</v>
      </c>
      <c r="K47" s="1407" t="s">
        <v>816</v>
      </c>
      <c r="L47" s="1408">
        <f ca="1">INDIRECT("'数据-取费表'!d"&amp;$G$1)</f>
        <v>50</v>
      </c>
      <c r="M47" s="1371" t="str">
        <f>IF(ISNUMBER(FIND("住宅",C1)),"住宅","非住宅")</f>
        <v>非住宅</v>
      </c>
      <c r="O47" s="1409" t="s">
        <v>403</v>
      </c>
      <c r="P47" s="1410" t="s">
        <v>817</v>
      </c>
      <c r="Q47" s="1411">
        <f ca="1">C40+J29</f>
        <v>24630</v>
      </c>
      <c r="R47" s="1411" t="s">
        <v>818</v>
      </c>
    </row>
    <row r="48" spans="1:18" s="1375" customFormat="1" ht="28.5" thickBot="1">
      <c r="A48" s="1101" t="s">
        <v>438</v>
      </c>
      <c r="B48" s="294" t="s">
        <v>692</v>
      </c>
      <c r="C48" s="1350">
        <f ca="1">C49+C53+C55</f>
        <v>0</v>
      </c>
      <c r="D48" s="1103"/>
      <c r="E48" s="1104"/>
      <c r="F48" s="953"/>
      <c r="G48" s="713"/>
      <c r="H48" s="714"/>
      <c r="I48" s="1412" t="s">
        <v>819</v>
      </c>
      <c r="J48" s="1413" t="s">
        <v>3426</v>
      </c>
      <c r="K48" s="1414" t="s">
        <v>820</v>
      </c>
      <c r="L48" s="1415">
        <f ca="1">INDIRECT("'数据-取费表'!f"&amp;$G$1)</f>
        <v>37.56</v>
      </c>
      <c r="O48" s="1409" t="s">
        <v>404</v>
      </c>
      <c r="P48" s="1410" t="s">
        <v>821</v>
      </c>
      <c r="Q48" s="1411">
        <f ca="1">J60</f>
        <v>288</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v>2015</v>
      </c>
      <c r="K49" s="1414" t="s">
        <v>824</v>
      </c>
      <c r="L49" s="1418"/>
      <c r="O49" s="1419" t="s">
        <v>405</v>
      </c>
      <c r="P49" s="1410" t="s">
        <v>825</v>
      </c>
      <c r="Q49" s="1411">
        <f ca="1">C29</f>
        <v>10906</v>
      </c>
      <c r="R49" s="1411" t="s">
        <v>818</v>
      </c>
    </row>
    <row r="50" spans="1:18" s="1375" customFormat="1" ht="13.5" thickBot="1">
      <c r="A50" s="967"/>
      <c r="B50" s="970"/>
      <c r="C50" s="1109"/>
      <c r="D50" s="944"/>
      <c r="E50" s="1047" t="s">
        <v>697</v>
      </c>
      <c r="F50" s="1048">
        <f ca="1">F7</f>
        <v>23228.35</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41</v>
      </c>
      <c r="K51" s="1425" t="s">
        <v>830</v>
      </c>
      <c r="L51" s="1426">
        <f ca="1">ROUND(-PV(INDIRECT("'数据-取费表'!h"&amp;$G$1),J51,(C39-C13*C76),0),0)</f>
        <v>10232</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37.56</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37.56</v>
      </c>
      <c r="K53" s="3706" t="s">
        <v>837</v>
      </c>
      <c r="L53" s="3707"/>
      <c r="O53" s="1409" t="s">
        <v>409</v>
      </c>
      <c r="P53" s="1410" t="s">
        <v>838</v>
      </c>
      <c r="Q53" s="1411">
        <f ca="1">Q47+Q48</f>
        <v>24918</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6.9000000000000006E-2</v>
      </c>
      <c r="K55" s="1436" t="s">
        <v>841</v>
      </c>
      <c r="L55" s="1437"/>
      <c r="O55" s="1402" t="s">
        <v>811</v>
      </c>
      <c r="P55" s="1403" t="s">
        <v>812</v>
      </c>
      <c r="Q55" s="1404" t="s">
        <v>813</v>
      </c>
      <c r="R55" s="1404" t="s">
        <v>814</v>
      </c>
    </row>
    <row r="56" spans="1:18" s="1375" customFormat="1" ht="25.5" thickTop="1" thickBot="1">
      <c r="A56" s="948">
        <v>2</v>
      </c>
      <c r="B56" s="949" t="s">
        <v>704</v>
      </c>
      <c r="C56" s="226">
        <f ca="1">C13</f>
        <v>9270</v>
      </c>
      <c r="D56" s="1438"/>
      <c r="E56" s="1439"/>
      <c r="F56" s="1431"/>
      <c r="I56" s="1440" t="s">
        <v>842</v>
      </c>
      <c r="J56" s="1441" t="s">
        <v>3427</v>
      </c>
      <c r="K56" s="1412" t="s">
        <v>843</v>
      </c>
      <c r="L56" s="1415" t="str">
        <f ca="1">IF(L48&lt;J51,"——",L48-J53)</f>
        <v>——</v>
      </c>
      <c r="O56" s="1409" t="s">
        <v>403</v>
      </c>
      <c r="P56" s="1410" t="s">
        <v>817</v>
      </c>
      <c r="Q56" s="1411">
        <f ca="1">C40+J29</f>
        <v>24630</v>
      </c>
      <c r="R56" s="1411" t="s">
        <v>818</v>
      </c>
    </row>
    <row r="57" spans="1:18" s="1375" customFormat="1" ht="24.75" thickBot="1">
      <c r="A57" s="1442"/>
      <c r="B57" s="941" t="s">
        <v>767</v>
      </c>
      <c r="C57" s="232">
        <f ca="1">C29</f>
        <v>10906</v>
      </c>
      <c r="D57" s="1443"/>
      <c r="E57" s="1444"/>
      <c r="F57" s="1445"/>
      <c r="I57" s="1446" t="s">
        <v>844</v>
      </c>
      <c r="J57" s="1447">
        <f ca="1">IF(OR(M47="住宅",J51&lt;L48,J56="是"),"——",J51-L48)</f>
        <v>3.4399999999999977</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66</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2</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4362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288</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2.3199999999999998</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24630</v>
      </c>
      <c r="R62" s="1411" t="s">
        <v>410</v>
      </c>
    </row>
    <row r="63" spans="1:18" s="1375" customFormat="1" ht="13.5" thickBot="1">
      <c r="A63" s="320"/>
      <c r="B63" s="947"/>
      <c r="C63" s="26"/>
      <c r="D63" s="957"/>
      <c r="E63" s="941" t="s">
        <v>788</v>
      </c>
      <c r="F63" s="297">
        <f t="shared" ca="1" si="0"/>
        <v>15458.2</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54.53</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9.27</v>
      </c>
      <c r="D65" s="955" t="s">
        <v>743</v>
      </c>
      <c r="E65" s="941" t="s">
        <v>744</v>
      </c>
      <c r="F65" s="324">
        <f t="shared" ca="1" si="0"/>
        <v>1E-3</v>
      </c>
      <c r="I65" s="1453" t="s">
        <v>867</v>
      </c>
      <c r="J65" s="1454">
        <v>40</v>
      </c>
      <c r="K65" s="1454">
        <v>30</v>
      </c>
      <c r="L65" s="1454">
        <v>50</v>
      </c>
      <c r="M65" s="1456">
        <v>0.02</v>
      </c>
      <c r="O65" s="1409" t="s">
        <v>403</v>
      </c>
      <c r="P65" s="1410" t="s">
        <v>868</v>
      </c>
      <c r="Q65" s="1411">
        <f ca="1">C40+J29</f>
        <v>24630</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-66</v>
      </c>
      <c r="D67" s="954" t="s">
        <v>753</v>
      </c>
      <c r="E67" s="959"/>
      <c r="F67" s="960"/>
      <c r="O67" s="1419" t="s">
        <v>405</v>
      </c>
      <c r="P67" s="1410" t="s">
        <v>850</v>
      </c>
      <c r="Q67" s="1457">
        <f ca="1">L51</f>
        <v>10232</v>
      </c>
      <c r="R67" s="1411" t="s">
        <v>870</v>
      </c>
    </row>
    <row r="68" spans="1:18" s="1375" customFormat="1" ht="16.5" thickBot="1">
      <c r="A68" s="938" t="s">
        <v>395</v>
      </c>
      <c r="B68" s="939" t="s">
        <v>774</v>
      </c>
      <c r="C68" s="295">
        <f ca="1">ROUND(C67*(1-((1+F70)/(1+F68))^F69)/(F68-F70),0)</f>
        <v>-1039</v>
      </c>
      <c r="D68" s="956" t="s">
        <v>758</v>
      </c>
      <c r="E68" s="941" t="s">
        <v>759</v>
      </c>
      <c r="F68" s="306">
        <f ca="1">F40</f>
        <v>5.5E-2</v>
      </c>
      <c r="O68" s="1419" t="s">
        <v>406</v>
      </c>
      <c r="P68" s="1458" t="s">
        <v>871</v>
      </c>
      <c r="Q68" s="1411">
        <f ca="1">ROUND(Q69-Q70*Q71,0)</f>
        <v>551</v>
      </c>
      <c r="R68" s="1411" t="s">
        <v>414</v>
      </c>
    </row>
    <row r="69" spans="1:18" s="1375" customFormat="1" ht="13.5" thickBot="1">
      <c r="A69" s="942"/>
      <c r="B69" s="943"/>
      <c r="C69" s="300"/>
      <c r="D69" s="961" t="s">
        <v>762</v>
      </c>
      <c r="E69" s="941" t="s">
        <v>763</v>
      </c>
      <c r="F69" s="327">
        <f ca="1">F41</f>
        <v>37.56</v>
      </c>
      <c r="O69" s="1419" t="s">
        <v>411</v>
      </c>
      <c r="P69" s="1458" t="s">
        <v>872</v>
      </c>
      <c r="Q69" s="1411">
        <f ca="1">C39</f>
        <v>1200</v>
      </c>
      <c r="R69" s="1411" t="s">
        <v>818</v>
      </c>
    </row>
    <row r="70" spans="1:18" s="1375" customFormat="1" ht="13.5" thickBot="1">
      <c r="A70" s="945"/>
      <c r="B70" s="946"/>
      <c r="C70" s="304"/>
      <c r="D70" s="957"/>
      <c r="E70" s="941" t="s">
        <v>766</v>
      </c>
      <c r="F70" s="1045"/>
      <c r="O70" s="1419" t="s">
        <v>412</v>
      </c>
      <c r="P70" s="1458" t="s">
        <v>873</v>
      </c>
      <c r="Q70" s="1411">
        <f ca="1">C13</f>
        <v>9270</v>
      </c>
      <c r="R70" s="1411" t="s">
        <v>818</v>
      </c>
    </row>
    <row r="71" spans="1:18" s="1375" customFormat="1" ht="13.5" thickBot="1">
      <c r="A71" s="962" t="s">
        <v>396</v>
      </c>
      <c r="B71" s="963" t="s">
        <v>776</v>
      </c>
      <c r="C71" s="330">
        <f ca="1">ROUND(C68*10000/F71,0)</f>
        <v>-447</v>
      </c>
      <c r="D71" s="964" t="s">
        <v>777</v>
      </c>
      <c r="E71" s="965" t="s">
        <v>778</v>
      </c>
      <c r="F71" s="333">
        <f ca="1">F43</f>
        <v>23228.35</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649</v>
      </c>
      <c r="D75" s="1375"/>
      <c r="E75" s="1375"/>
      <c r="F75" s="1375"/>
      <c r="K75" s="1393"/>
      <c r="L75" s="1375"/>
      <c r="O75" s="1409" t="s">
        <v>409</v>
      </c>
      <c r="P75" s="1410" t="s">
        <v>838</v>
      </c>
      <c r="Q75" s="1411">
        <f ca="1">Q65+Q66</f>
        <v>24630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0.45899999999999996</v>
      </c>
    </row>
    <row r="80" spans="1:18">
      <c r="B80" s="334" t="s">
        <v>800</v>
      </c>
      <c r="C80" s="268">
        <f ca="1">ROUND(C75/C39,3)</f>
        <v>0.54100000000000004</v>
      </c>
    </row>
    <row r="81" spans="2:3">
      <c r="B81" s="264" t="s">
        <v>801</v>
      </c>
      <c r="C81" s="232"/>
    </row>
    <row r="82" spans="2:3">
      <c r="B82" s="267" t="s">
        <v>802</v>
      </c>
      <c r="C82" s="269">
        <f ca="1">1-C83</f>
        <v>0.624</v>
      </c>
    </row>
    <row r="83" spans="2:3">
      <c r="B83" s="267" t="s">
        <v>803</v>
      </c>
      <c r="C83" s="268">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9" sqref="F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37.56</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24916.753799999999</v>
      </c>
      <c r="C2" s="1378" t="s">
        <v>879</v>
      </c>
      <c r="D2" s="1462">
        <f ca="1">C40+J29+L46</f>
        <v>249167538</v>
      </c>
      <c r="E2" s="1379" t="s">
        <v>880</v>
      </c>
      <c r="F2" s="1380"/>
      <c r="G2" s="2695"/>
      <c r="H2" s="2684"/>
      <c r="I2" s="2684"/>
      <c r="J2" s="2684"/>
      <c r="K2" s="2685"/>
      <c r="L2" s="2684"/>
      <c r="M2" s="2684"/>
    </row>
    <row r="3" spans="1:37" ht="18" customHeight="1" thickBot="1">
      <c r="A3" s="1381" t="s">
        <v>881</v>
      </c>
      <c r="B3" s="1382">
        <f ca="1">IF(ISERROR(D2/F43),0,ROUND(D2/F43,0))</f>
        <v>10727</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15280102</v>
      </c>
      <c r="D5" s="1355" t="s">
        <v>889</v>
      </c>
      <c r="E5" s="1062"/>
      <c r="F5" s="1063"/>
      <c r="G5" s="1375"/>
      <c r="H5" s="293">
        <v>1</v>
      </c>
      <c r="I5" s="294" t="s">
        <v>888</v>
      </c>
      <c r="J5" s="1061">
        <f ca="1">J6+J10+J12</f>
        <v>0</v>
      </c>
      <c r="K5" s="1355" t="s">
        <v>889</v>
      </c>
      <c r="L5" s="1062"/>
      <c r="M5" s="1063"/>
    </row>
    <row r="6" spans="1:37" ht="18" customHeight="1">
      <c r="A6" s="1060" t="s">
        <v>398</v>
      </c>
      <c r="B6" s="3708" t="s">
        <v>694</v>
      </c>
      <c r="C6" s="1065">
        <f ca="1">ROUND(F6*F8*F7*(1-F9),0)</f>
        <v>15261026</v>
      </c>
      <c r="D6" s="149" t="s">
        <v>2105</v>
      </c>
      <c r="E6" s="296" t="s">
        <v>696</v>
      </c>
      <c r="F6" s="297">
        <f ca="1">INDIRECT("'数据-取费表'!u"&amp;$G$1)</f>
        <v>2</v>
      </c>
      <c r="G6" s="1375"/>
      <c r="H6" s="1060" t="s">
        <v>398</v>
      </c>
      <c r="I6" s="3708" t="s">
        <v>694</v>
      </c>
      <c r="J6" s="295">
        <f ca="1">ROUND(M6*M8*M7*(1-M9),0)</f>
        <v>0</v>
      </c>
      <c r="K6" s="1367" t="s">
        <v>2106</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23228.35</v>
      </c>
      <c r="G7" s="1375"/>
      <c r="H7" s="298"/>
      <c r="I7" s="3709"/>
      <c r="J7" s="300"/>
      <c r="K7" s="301"/>
      <c r="L7" s="296" t="s">
        <v>697</v>
      </c>
      <c r="M7" s="297">
        <f ca="1">F7</f>
        <v>23228.35</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19076</v>
      </c>
      <c r="D10" s="1357" t="s">
        <v>2115</v>
      </c>
      <c r="E10" s="307" t="s">
        <v>701</v>
      </c>
      <c r="F10" s="1107" t="s">
        <v>3424</v>
      </c>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92689886</v>
      </c>
      <c r="D13" s="1072" t="s">
        <v>705</v>
      </c>
      <c r="E13" s="1072" t="s">
        <v>706</v>
      </c>
      <c r="F13" s="1073">
        <f ca="1">INDIRECT("'数据-取费表'!y"&amp;$G$1)</f>
        <v>0.85</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81299225</v>
      </c>
      <c r="D14" s="1336" t="s">
        <v>708</v>
      </c>
      <c r="E14" s="1333"/>
      <c r="F14" s="313"/>
      <c r="G14" s="1375"/>
      <c r="H14" s="973" t="s">
        <v>398</v>
      </c>
      <c r="I14" s="296" t="s">
        <v>709</v>
      </c>
      <c r="J14" s="21">
        <f ca="1">C29</f>
        <v>109046925</v>
      </c>
      <c r="K14" s="12"/>
      <c r="L14" s="798"/>
      <c r="M14" s="799"/>
    </row>
    <row r="15" spans="1:37" s="1388" customFormat="1" ht="18" customHeight="1" thickBot="1">
      <c r="A15" s="973" t="s">
        <v>399</v>
      </c>
      <c r="B15" s="296" t="s">
        <v>710</v>
      </c>
      <c r="C15" s="21">
        <f ca="1">ROUND(C14*F15,0)</f>
        <v>2438977</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568422</v>
      </c>
      <c r="K16" s="1078" t="s">
        <v>715</v>
      </c>
      <c r="L16" s="1079"/>
      <c r="M16" s="1063"/>
    </row>
    <row r="17" spans="1:37" s="1388" customFormat="1" ht="18" customHeight="1">
      <c r="A17" s="973" t="s">
        <v>681</v>
      </c>
      <c r="B17" s="296" t="s">
        <v>716</v>
      </c>
      <c r="C17" s="21">
        <f ca="1">ROUND(F17*(F43+INDIRECT("'数据-取费表'!S"&amp;$G$1)),0)</f>
        <v>4645670</v>
      </c>
      <c r="D17" s="296" t="s">
        <v>717</v>
      </c>
      <c r="E17" s="296" t="s">
        <v>718</v>
      </c>
      <c r="F17" s="23">
        <f>'数据-取费表'!B35</f>
        <v>200</v>
      </c>
      <c r="G17" s="1387"/>
      <c r="H17" s="973" t="s">
        <v>398</v>
      </c>
      <c r="I17" s="296" t="s">
        <v>719</v>
      </c>
      <c r="J17" s="2307">
        <f ca="1">ROUND(IF(AND(项目基本情况!B11="自然人",项目基本情况!B10="北京市"),J6*M17/(1+'数据-取费表'!C42),J18+J19+J20),0)</f>
        <v>23187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1219488</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89603360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1792067</v>
      </c>
      <c r="D20" s="317" t="s">
        <v>729</v>
      </c>
      <c r="E20" s="296" t="s">
        <v>712</v>
      </c>
      <c r="F20" s="316">
        <f>'数据-取费表'!B37</f>
        <v>0.02</v>
      </c>
      <c r="G20" s="1387"/>
      <c r="H20" s="973" t="s">
        <v>680</v>
      </c>
      <c r="I20" s="149" t="s">
        <v>730</v>
      </c>
      <c r="J20" s="22">
        <f ca="1">ROUND(M20*M21,0)</f>
        <v>23187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15458.2</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545235</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1576571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-568422</v>
      </c>
      <c r="K25" s="1086" t="s">
        <v>753</v>
      </c>
      <c r="L25" s="1087"/>
      <c r="M25" s="1088"/>
    </row>
    <row r="26" spans="1:37" ht="18" customHeight="1">
      <c r="A26" s="973" t="s">
        <v>397</v>
      </c>
      <c r="B26" s="296" t="s">
        <v>754</v>
      </c>
      <c r="C26" s="21">
        <f ca="1">ROUND((C19+C20)*F26,0)</f>
        <v>9139543</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109046925</v>
      </c>
      <c r="D29" s="1083"/>
      <c r="E29" s="1081"/>
      <c r="F29" s="1084"/>
      <c r="G29" s="1387"/>
      <c r="H29" s="328" t="s">
        <v>396</v>
      </c>
      <c r="I29" s="329" t="s">
        <v>768</v>
      </c>
      <c r="J29" s="330">
        <f ca="1">ROUND(J26/(1+F40)^F41,0)</f>
        <v>0</v>
      </c>
      <c r="K29" s="331" t="s">
        <v>769</v>
      </c>
      <c r="L29" s="332"/>
      <c r="M29" s="333">
        <f ca="1">INDIRECT("'数据-取费表'!k"&amp;$G$1)</f>
        <v>23228.35</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3281017</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2566691</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799387</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1744117</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23187</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15458.2</v>
      </c>
      <c r="G35" s="1375"/>
      <c r="H35" s="2686"/>
      <c r="I35" s="1389"/>
      <c r="J35" s="1390"/>
      <c r="K35" s="2690"/>
      <c r="L35" s="2689"/>
      <c r="M35" s="2689"/>
    </row>
    <row r="36" spans="1:18" ht="18" customHeight="1">
      <c r="A36" s="1093" t="s">
        <v>402</v>
      </c>
      <c r="B36" s="296" t="s">
        <v>738</v>
      </c>
      <c r="C36" s="21">
        <f ca="1">ROUND(C29*F36,0)</f>
        <v>545235</v>
      </c>
      <c r="D36" s="1335" t="s">
        <v>771</v>
      </c>
      <c r="E36" s="296" t="s">
        <v>712</v>
      </c>
      <c r="F36" s="322">
        <f ca="1">INDIRECT("'数据-取费表'!Ak"&amp;$G$1)</f>
        <v>5.0000000000000001E-3</v>
      </c>
      <c r="G36" s="1375"/>
      <c r="H36" s="2689"/>
      <c r="I36" s="1389"/>
      <c r="J36" s="1390"/>
      <c r="K36" s="2535"/>
      <c r="L36" s="2689"/>
      <c r="M36" s="2689"/>
    </row>
    <row r="37" spans="1:18" ht="18" customHeight="1">
      <c r="A37" s="973" t="s">
        <v>437</v>
      </c>
      <c r="B37" s="296" t="s">
        <v>742</v>
      </c>
      <c r="C37" s="21">
        <f ca="1">ROUND(C13*F37,0)</f>
        <v>92690</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ROUND(C5*F38,0)</f>
        <v>76401</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11999085</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246283696</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37.56</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ROUND(C40/F43,0)</f>
        <v>10603</v>
      </c>
      <c r="D43" s="331" t="s">
        <v>777</v>
      </c>
      <c r="E43" s="332" t="s">
        <v>778</v>
      </c>
      <c r="F43" s="333">
        <f ca="1">INDIRECT("'数据-取费表'!k"&amp;$G$1)</f>
        <v>23228.35</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f ca="1">ROUND((C68-C40)/10000,4)</f>
        <v>-25669.493699999999</v>
      </c>
      <c r="D45" s="3421" t="s">
        <v>3356</v>
      </c>
      <c r="E45" s="1391"/>
      <c r="F45" s="1391"/>
      <c r="O45" s="1394" t="s">
        <v>808</v>
      </c>
      <c r="P45" s="1452"/>
      <c r="Q45" s="1452"/>
      <c r="R45" s="1452"/>
    </row>
    <row r="46" spans="1:18" s="1375" customFormat="1" ht="13.5" thickBot="1">
      <c r="A46" s="1395" t="s">
        <v>809</v>
      </c>
      <c r="C46" s="1396">
        <f ca="1">ROUND(C45,0)</f>
        <v>-25669</v>
      </c>
      <c r="D46" s="1397" t="str">
        <f>C2</f>
        <v>万元</v>
      </c>
      <c r="I46" s="1398" t="s">
        <v>810</v>
      </c>
      <c r="J46" s="1399"/>
      <c r="K46" s="1400"/>
      <c r="L46" s="1401">
        <f ca="1">IF(M47="住宅",0,IF(L48&gt;J51,L60,J60))</f>
        <v>2883842</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3425</v>
      </c>
      <c r="K47" s="1407" t="s">
        <v>816</v>
      </c>
      <c r="L47" s="1408">
        <f ca="1">INDIRECT("'数据-取费表'!d"&amp;$G$1)</f>
        <v>50</v>
      </c>
      <c r="M47" s="1371" t="str">
        <f>IF(ISNUMBER(FIND("住宅",C1)),"住宅","非住宅")</f>
        <v>非住宅</v>
      </c>
      <c r="O47" s="1409" t="s">
        <v>403</v>
      </c>
      <c r="P47" s="1410" t="s">
        <v>817</v>
      </c>
      <c r="Q47" s="1411">
        <f ca="1">C40+J29</f>
        <v>246283696</v>
      </c>
      <c r="R47" s="1411" t="s">
        <v>818</v>
      </c>
    </row>
    <row r="48" spans="1:18" s="1375" customFormat="1" ht="28.5" thickBot="1">
      <c r="A48" s="1101" t="s">
        <v>438</v>
      </c>
      <c r="B48" s="294" t="s">
        <v>692</v>
      </c>
      <c r="C48" s="1350">
        <f ca="1">C49+C53+C55</f>
        <v>0</v>
      </c>
      <c r="D48" s="1103"/>
      <c r="E48" s="1104"/>
      <c r="F48" s="953"/>
      <c r="G48" s="713"/>
      <c r="H48" s="714"/>
      <c r="I48" s="1412" t="s">
        <v>819</v>
      </c>
      <c r="J48" s="1413" t="s">
        <v>3507</v>
      </c>
      <c r="K48" s="1414" t="s">
        <v>820</v>
      </c>
      <c r="L48" s="1415">
        <f ca="1">INDIRECT("'数据-取费表'!f"&amp;$G$1)</f>
        <v>37.56</v>
      </c>
      <c r="O48" s="1409" t="s">
        <v>404</v>
      </c>
      <c r="P48" s="1410" t="s">
        <v>821</v>
      </c>
      <c r="Q48" s="1411">
        <f ca="1">J60</f>
        <v>2883842</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3496">
        <v>2006</v>
      </c>
      <c r="K49" s="1414" t="s">
        <v>824</v>
      </c>
      <c r="L49" s="1418"/>
      <c r="O49" s="1419" t="s">
        <v>405</v>
      </c>
      <c r="P49" s="1410" t="s">
        <v>825</v>
      </c>
      <c r="Q49" s="1411">
        <f ca="1">C29</f>
        <v>109046925</v>
      </c>
      <c r="R49" s="1411" t="s">
        <v>818</v>
      </c>
    </row>
    <row r="50" spans="1:18" s="1375" customFormat="1" ht="13.5" thickBot="1">
      <c r="A50" s="967"/>
      <c r="B50" s="970"/>
      <c r="C50" s="971"/>
      <c r="D50" s="944"/>
      <c r="E50" s="1047" t="s">
        <v>697</v>
      </c>
      <c r="F50" s="1048">
        <f ca="1">F7</f>
        <v>23228.35</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42</v>
      </c>
      <c r="K51" s="1425" t="s">
        <v>830</v>
      </c>
      <c r="L51" s="1426">
        <f ca="1">ROUND(-PV(INDIRECT("'数据-取费表'!h"&amp;$G$1),J51,(C39-C13*C76),0),0)</f>
        <v>103181607</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37.56</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37.56</v>
      </c>
      <c r="K53" s="3706" t="s">
        <v>837</v>
      </c>
      <c r="L53" s="3707"/>
      <c r="O53" s="1409" t="s">
        <v>409</v>
      </c>
      <c r="P53" s="1410" t="s">
        <v>838</v>
      </c>
      <c r="Q53" s="1411">
        <f ca="1">Q47+Q48</f>
        <v>249167538</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7.3999999999999996E-2</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92689886</v>
      </c>
      <c r="D56" s="1438"/>
      <c r="E56" s="1439"/>
      <c r="F56" s="1431"/>
      <c r="I56" s="1440" t="s">
        <v>842</v>
      </c>
      <c r="J56" s="1441"/>
      <c r="K56" s="1412" t="s">
        <v>843</v>
      </c>
      <c r="L56" s="1415" t="str">
        <f ca="1">IF(L48&lt;J51,"——",L48-J51)</f>
        <v>——</v>
      </c>
      <c r="O56" s="1409" t="s">
        <v>403</v>
      </c>
      <c r="P56" s="1410" t="s">
        <v>817</v>
      </c>
      <c r="Q56" s="1411">
        <f ca="1">C40+J29</f>
        <v>246283696</v>
      </c>
      <c r="R56" s="1411" t="s">
        <v>818</v>
      </c>
    </row>
    <row r="57" spans="1:18" s="1375" customFormat="1" ht="24.75" thickBot="1">
      <c r="A57" s="1442"/>
      <c r="B57" s="941" t="s">
        <v>767</v>
      </c>
      <c r="C57" s="232">
        <f ca="1">C29</f>
        <v>109046925</v>
      </c>
      <c r="D57" s="1443"/>
      <c r="E57" s="1444"/>
      <c r="F57" s="1445"/>
      <c r="I57" s="1446" t="s">
        <v>844</v>
      </c>
      <c r="J57" s="1447">
        <f ca="1">IF(OR(M47="住宅",J51&lt;L48,J56="是"),"——",J51-L48)</f>
        <v>4.4399999999999977</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661112</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23187</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43618770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f ca="1">IF(OR(M47="住宅",J51&lt;L48,J56="是"),"0",ROUND(J59/(1+J52)^J53,0))</f>
        <v>2883842</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23187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246283696</v>
      </c>
      <c r="R62" s="1411" t="s">
        <v>410</v>
      </c>
    </row>
    <row r="63" spans="1:18" s="1375" customFormat="1" ht="13.5" thickBot="1">
      <c r="A63" s="320"/>
      <c r="B63" s="947"/>
      <c r="C63" s="26"/>
      <c r="D63" s="957"/>
      <c r="E63" s="941" t="s">
        <v>788</v>
      </c>
      <c r="F63" s="297">
        <f t="shared" ca="1" si="0"/>
        <v>15458.2</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545235</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92690</v>
      </c>
      <c r="D65" s="955" t="s">
        <v>743</v>
      </c>
      <c r="E65" s="941" t="s">
        <v>744</v>
      </c>
      <c r="F65" s="324">
        <f t="shared" ca="1" si="0"/>
        <v>1E-3</v>
      </c>
      <c r="I65" s="1453" t="s">
        <v>867</v>
      </c>
      <c r="J65" s="1454">
        <v>40</v>
      </c>
      <c r="K65" s="1454">
        <v>30</v>
      </c>
      <c r="L65" s="1454">
        <v>50</v>
      </c>
      <c r="M65" s="1456">
        <v>0.02</v>
      </c>
      <c r="O65" s="1409" t="s">
        <v>403</v>
      </c>
      <c r="P65" s="1410" t="s">
        <v>868</v>
      </c>
      <c r="Q65" s="1411">
        <f ca="1">C40+J29</f>
        <v>246283696</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-661112</v>
      </c>
      <c r="D67" s="954" t="s">
        <v>753</v>
      </c>
      <c r="E67" s="959"/>
      <c r="F67" s="960"/>
      <c r="O67" s="1419" t="s">
        <v>405</v>
      </c>
      <c r="P67" s="1410" t="s">
        <v>850</v>
      </c>
      <c r="Q67" s="1457">
        <f ca="1">L51</f>
        <v>103181607</v>
      </c>
      <c r="R67" s="1411" t="s">
        <v>870</v>
      </c>
    </row>
    <row r="68" spans="1:18" s="1375" customFormat="1" ht="16.5" thickBot="1">
      <c r="A68" s="938" t="s">
        <v>395</v>
      </c>
      <c r="B68" s="939" t="s">
        <v>774</v>
      </c>
      <c r="C68" s="295">
        <f ca="1">ROUND(C67*(1-((1+F70)/(1+F68))^F69)/(F68-F70),0)</f>
        <v>-10411241</v>
      </c>
      <c r="D68" s="956" t="s">
        <v>758</v>
      </c>
      <c r="E68" s="941" t="s">
        <v>759</v>
      </c>
      <c r="F68" s="306">
        <f ca="1">F40</f>
        <v>5.5E-2</v>
      </c>
      <c r="O68" s="1419" t="s">
        <v>406</v>
      </c>
      <c r="P68" s="1458" t="s">
        <v>871</v>
      </c>
      <c r="Q68" s="1411">
        <f ca="1">ROUND(Q69-Q70*Q71,0)</f>
        <v>5510793</v>
      </c>
      <c r="R68" s="1411" t="s">
        <v>414</v>
      </c>
    </row>
    <row r="69" spans="1:18" s="1375" customFormat="1" ht="13.5" thickBot="1">
      <c r="A69" s="942"/>
      <c r="B69" s="943"/>
      <c r="C69" s="300"/>
      <c r="D69" s="961" t="s">
        <v>762</v>
      </c>
      <c r="E69" s="941" t="s">
        <v>763</v>
      </c>
      <c r="F69" s="327">
        <f ca="1">F41</f>
        <v>37.56</v>
      </c>
      <c r="O69" s="1419" t="s">
        <v>411</v>
      </c>
      <c r="P69" s="1458" t="s">
        <v>872</v>
      </c>
      <c r="Q69" s="1411">
        <f ca="1">C39</f>
        <v>11999085</v>
      </c>
      <c r="R69" s="1411" t="s">
        <v>818</v>
      </c>
    </row>
    <row r="70" spans="1:18" s="1375" customFormat="1" ht="13.5" thickBot="1">
      <c r="A70" s="945"/>
      <c r="B70" s="946"/>
      <c r="C70" s="304"/>
      <c r="D70" s="957"/>
      <c r="E70" s="941" t="s">
        <v>766</v>
      </c>
      <c r="F70" s="1045"/>
      <c r="O70" s="1419" t="s">
        <v>412</v>
      </c>
      <c r="P70" s="1458" t="s">
        <v>873</v>
      </c>
      <c r="Q70" s="1411">
        <f ca="1">C13</f>
        <v>92689886</v>
      </c>
      <c r="R70" s="1411" t="s">
        <v>818</v>
      </c>
    </row>
    <row r="71" spans="1:18" s="1375" customFormat="1" ht="13.5" thickBot="1">
      <c r="A71" s="962" t="s">
        <v>396</v>
      </c>
      <c r="B71" s="963" t="s">
        <v>776</v>
      </c>
      <c r="C71" s="330">
        <f ca="1">ROUND(C68/F71,0)</f>
        <v>-448</v>
      </c>
      <c r="D71" s="964" t="s">
        <v>777</v>
      </c>
      <c r="E71" s="965" t="s">
        <v>778</v>
      </c>
      <c r="F71" s="333">
        <f ca="1">F43</f>
        <v>23228.35</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6488292</v>
      </c>
      <c r="D75" s="1375"/>
      <c r="E75" s="1375"/>
      <c r="F75" s="1375"/>
      <c r="K75" s="1393"/>
      <c r="L75" s="1375"/>
      <c r="O75" s="1409" t="s">
        <v>409</v>
      </c>
      <c r="P75" s="1410" t="s">
        <v>838</v>
      </c>
      <c r="Q75" s="1411">
        <f ca="1">Q65+Q66</f>
        <v>246283696</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0.45899999999999996</v>
      </c>
    </row>
    <row r="80" spans="1:18">
      <c r="B80" s="334" t="s">
        <v>800</v>
      </c>
      <c r="C80" s="268">
        <f ca="1">ROUND(C75/C39,3)</f>
        <v>0.54100000000000004</v>
      </c>
    </row>
    <row r="81" spans="2:3">
      <c r="B81" s="264" t="s">
        <v>801</v>
      </c>
      <c r="C81" s="232"/>
    </row>
    <row r="82" spans="2:3">
      <c r="B82" s="267" t="s">
        <v>802</v>
      </c>
      <c r="C82" s="269">
        <f ca="1">1-C83</f>
        <v>0.624</v>
      </c>
    </row>
    <row r="83" spans="2:3">
      <c r="B83" s="267" t="s">
        <v>803</v>
      </c>
      <c r="C83" s="268">
        <f ca="1">ROUND(C13/C40,3)</f>
        <v>0.376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717" t="s">
        <v>2320</v>
      </c>
      <c r="K2" s="3718"/>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719" t="s">
        <v>2330</v>
      </c>
      <c r="K3" s="3720"/>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719" t="s">
        <v>2332</v>
      </c>
      <c r="K4" s="3720"/>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725" t="s">
        <v>2336</v>
      </c>
      <c r="B6" s="3726"/>
      <c r="C6" s="3727"/>
      <c r="D6" s="2859"/>
      <c r="E6" s="2860"/>
      <c r="F6" s="2861"/>
      <c r="G6" s="2862"/>
      <c r="H6" s="2837"/>
      <c r="I6" s="2838"/>
      <c r="J6" s="3711">
        <v>1</v>
      </c>
      <c r="K6" s="3712"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711"/>
      <c r="K7" s="3713"/>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28" t="s">
        <v>2350</v>
      </c>
      <c r="C8" s="3729"/>
      <c r="D8" s="2878" t="s">
        <v>2351</v>
      </c>
      <c r="E8" s="2879" t="s">
        <v>2352</v>
      </c>
      <c r="F8" s="2880" t="s">
        <v>2353</v>
      </c>
      <c r="G8" s="2881"/>
      <c r="H8" s="2837"/>
      <c r="I8" s="2838"/>
      <c r="J8" s="3711"/>
      <c r="K8" s="3713"/>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28" t="s">
        <v>2356</v>
      </c>
      <c r="C9" s="3729"/>
      <c r="D9" s="2878">
        <f>ROUND(D6*E9,0)</f>
        <v>0</v>
      </c>
      <c r="E9" s="2882"/>
      <c r="F9" s="2883" t="s">
        <v>2357</v>
      </c>
      <c r="G9" s="2862"/>
      <c r="H9" s="2837"/>
      <c r="I9" s="2838"/>
      <c r="J9" s="3711"/>
      <c r="K9" s="3713"/>
      <c r="L9" s="2872" t="s">
        <v>2358</v>
      </c>
      <c r="M9" s="2873"/>
      <c r="N9" s="2849"/>
      <c r="O9" s="2874"/>
      <c r="P9" s="2874"/>
      <c r="Q9" s="2875">
        <v>365</v>
      </c>
      <c r="R9" s="2876">
        <f t="shared" si="0"/>
        <v>0</v>
      </c>
      <c r="S9" s="2830"/>
      <c r="T9" s="2830"/>
      <c r="U9" s="2830"/>
      <c r="V9" s="2838"/>
    </row>
    <row r="10" spans="1:22" s="2842" customFormat="1" ht="13.15" customHeight="1">
      <c r="A10" s="2877">
        <v>2</v>
      </c>
      <c r="B10" s="3728" t="s">
        <v>2359</v>
      </c>
      <c r="C10" s="3729"/>
      <c r="D10" s="2878">
        <f>ROUND(D6*E10,0)</f>
        <v>0</v>
      </c>
      <c r="E10" s="2882"/>
      <c r="F10" s="2883" t="s">
        <v>2360</v>
      </c>
      <c r="G10" s="2862"/>
      <c r="H10" s="2837"/>
      <c r="I10" s="2838"/>
      <c r="J10" s="3711"/>
      <c r="K10" s="3713"/>
      <c r="L10" s="2872" t="s">
        <v>2361</v>
      </c>
      <c r="M10" s="2873"/>
      <c r="N10" s="2849"/>
      <c r="O10" s="2874"/>
      <c r="P10" s="2874"/>
      <c r="Q10" s="2875">
        <v>365</v>
      </c>
      <c r="R10" s="2876">
        <f t="shared" si="0"/>
        <v>0</v>
      </c>
      <c r="S10" s="2830"/>
      <c r="T10" s="2830"/>
      <c r="U10" s="2830"/>
      <c r="V10" s="2838"/>
    </row>
    <row r="11" spans="1:22" s="2842" customFormat="1" ht="13.15" customHeight="1">
      <c r="A11" s="2877">
        <v>3</v>
      </c>
      <c r="B11" s="3728" t="s">
        <v>2362</v>
      </c>
      <c r="C11" s="3729"/>
      <c r="D11" s="2878">
        <f>D12+D14+D15+D16</f>
        <v>0</v>
      </c>
      <c r="E11" s="2884" t="e">
        <f>D11/D6</f>
        <v>#DIV/0!</v>
      </c>
      <c r="F11" s="2880"/>
      <c r="G11" s="2881"/>
      <c r="H11" s="2837"/>
      <c r="I11" s="2838"/>
      <c r="J11" s="3711"/>
      <c r="K11" s="3713"/>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721" t="s">
        <v>2365</v>
      </c>
      <c r="C12" s="3722"/>
      <c r="D12" s="2886">
        <f>ROUND(D13*1.2%*(1-30%),0)</f>
        <v>0</v>
      </c>
      <c r="E12" s="2887">
        <v>1.2E-2</v>
      </c>
      <c r="F12" s="2880" t="s">
        <v>2366</v>
      </c>
      <c r="G12" s="2881"/>
      <c r="H12" s="2837"/>
      <c r="I12" s="2838"/>
      <c r="J12" s="3711"/>
      <c r="K12" s="3713"/>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711"/>
      <c r="K13" s="3713"/>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721" t="s">
        <v>2371</v>
      </c>
      <c r="C14" s="3722"/>
      <c r="D14" s="2886">
        <f>ROUND(E14*B5/10000,0)</f>
        <v>0</v>
      </c>
      <c r="E14" s="2875"/>
      <c r="F14" s="2880" t="s">
        <v>2372</v>
      </c>
      <c r="G14" s="2881"/>
      <c r="H14" s="2837"/>
      <c r="I14" s="2838"/>
      <c r="J14" s="3711"/>
      <c r="K14" s="3714"/>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721" t="s">
        <v>2375</v>
      </c>
      <c r="C15" s="3722"/>
      <c r="D15" s="2886">
        <f>ROUND(D6*E15,0)</f>
        <v>0</v>
      </c>
      <c r="E15" s="2887">
        <v>5.5E-2</v>
      </c>
      <c r="F15" s="2880" t="s">
        <v>2376</v>
      </c>
      <c r="G15" s="2862"/>
      <c r="H15" s="2837"/>
      <c r="I15" s="2838"/>
      <c r="J15" s="3711">
        <v>2</v>
      </c>
      <c r="K15" s="3712"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721" t="s">
        <v>2384</v>
      </c>
      <c r="C16" s="3722"/>
      <c r="D16" s="2897">
        <f>D6*E16</f>
        <v>0</v>
      </c>
      <c r="E16" s="2898"/>
      <c r="F16" s="2883" t="s">
        <v>2385</v>
      </c>
      <c r="G16" s="2862"/>
      <c r="H16" s="2837"/>
      <c r="I16" s="2838"/>
      <c r="J16" s="3711"/>
      <c r="K16" s="3713"/>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723" t="s">
        <v>2387</v>
      </c>
      <c r="C17" s="3724"/>
      <c r="D17" s="2900">
        <f>ROUND(D6*E17,0)</f>
        <v>0</v>
      </c>
      <c r="E17" s="2901"/>
      <c r="F17" s="2902" t="s">
        <v>2388</v>
      </c>
      <c r="G17" s="2862"/>
      <c r="H17" s="2837"/>
      <c r="I17" s="2838"/>
      <c r="J17" s="3711"/>
      <c r="K17" s="3713"/>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711"/>
      <c r="K18" s="3713"/>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711"/>
      <c r="K19" s="3714"/>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11">
        <v>3</v>
      </c>
      <c r="K20" s="3712"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711"/>
      <c r="K21" s="3713"/>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711"/>
      <c r="K22" s="3713"/>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711"/>
      <c r="K23" s="3713"/>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711"/>
      <c r="K24" s="3714"/>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15">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1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717" t="s">
        <v>2320</v>
      </c>
      <c r="K32" s="3718"/>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719" t="s">
        <v>2330</v>
      </c>
      <c r="K33" s="3720"/>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719" t="s">
        <v>2332</v>
      </c>
      <c r="K34" s="372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711">
        <v>1</v>
      </c>
      <c r="K36" s="3712"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711"/>
      <c r="K37" s="3713"/>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11"/>
      <c r="K38" s="3713"/>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711"/>
      <c r="K39" s="3713"/>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711"/>
      <c r="K40" s="3714"/>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15">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1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24918</v>
      </c>
      <c r="C2" s="1863" t="s">
        <v>1650</v>
      </c>
      <c r="D2" s="1864" t="s">
        <v>1651</v>
      </c>
      <c r="E2" s="2598">
        <f>SUM(E6:E13)</f>
        <v>23228.35</v>
      </c>
      <c r="F2" s="2696"/>
      <c r="G2" s="1480"/>
      <c r="H2" s="1480"/>
      <c r="I2" s="1480"/>
      <c r="J2" s="1480"/>
      <c r="K2" s="1480"/>
      <c r="L2" s="1480"/>
      <c r="M2" s="1480"/>
      <c r="N2" s="1480"/>
      <c r="O2" s="1480"/>
      <c r="P2" s="1480"/>
      <c r="Q2" s="1480"/>
      <c r="R2" s="1480"/>
      <c r="S2" s="1480"/>
    </row>
    <row r="3" spans="1:22" ht="15.75">
      <c r="A3" s="1861" t="s">
        <v>686</v>
      </c>
      <c r="B3" s="2592">
        <f ca="1">ROUND(B2*10000/E2,0)</f>
        <v>10727</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30" t="s">
        <v>1653</v>
      </c>
      <c r="C5" s="3731"/>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24918</v>
      </c>
      <c r="C6" s="1863" t="s">
        <v>1650</v>
      </c>
      <c r="D6" s="2698"/>
      <c r="E6" s="2597">
        <f>IF(OR(A6=0,F6="否"),0,'数据-取费表'!K6+'数据-取费表'!S6)</f>
        <v>23228.35</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23228.35</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50" t="s">
        <v>1666</v>
      </c>
      <c r="D4" s="3751"/>
      <c r="E4" s="3752" t="s">
        <v>1667</v>
      </c>
      <c r="F4" s="3753"/>
      <c r="G4" s="3750" t="s">
        <v>1668</v>
      </c>
      <c r="H4" s="3751"/>
      <c r="I4" s="3750" t="s">
        <v>1669</v>
      </c>
      <c r="J4" s="3751"/>
      <c r="K4" s="1880" t="s">
        <v>1670</v>
      </c>
      <c r="L4" s="2704"/>
      <c r="M4" s="2705"/>
      <c r="N4" s="2705"/>
      <c r="O4" s="2705"/>
      <c r="P4" s="3754" t="s">
        <v>1671</v>
      </c>
      <c r="Q4" s="3755"/>
      <c r="R4" s="3760" t="s">
        <v>1667</v>
      </c>
      <c r="S4" s="3761"/>
      <c r="T4" s="3760" t="s">
        <v>1668</v>
      </c>
      <c r="U4" s="3761"/>
      <c r="V4" s="3766" t="s">
        <v>1669</v>
      </c>
      <c r="W4" s="3766"/>
      <c r="X4" s="1346"/>
      <c r="Y4" s="3760" t="s">
        <v>1671</v>
      </c>
      <c r="Z4" s="3761"/>
      <c r="AA4" s="3747" t="s">
        <v>1667</v>
      </c>
      <c r="AB4" s="3747" t="s">
        <v>1668</v>
      </c>
      <c r="AC4" s="3747" t="s">
        <v>1669</v>
      </c>
    </row>
    <row r="5" spans="1:29" ht="15">
      <c r="A5" s="352"/>
      <c r="B5" s="353"/>
      <c r="C5" s="3769" t="s">
        <v>1672</v>
      </c>
      <c r="D5" s="3770"/>
      <c r="E5" s="3776" t="s">
        <v>1673</v>
      </c>
      <c r="F5" s="3777"/>
      <c r="G5" s="3769" t="s">
        <v>1674</v>
      </c>
      <c r="H5" s="3770"/>
      <c r="I5" s="3769" t="s">
        <v>1675</v>
      </c>
      <c r="J5" s="3770"/>
      <c r="K5" s="1881"/>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1881"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45398</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71" t="s">
        <v>1679</v>
      </c>
      <c r="Q7" s="3773"/>
      <c r="R7" s="692" t="s">
        <v>20</v>
      </c>
      <c r="S7" s="693">
        <f t="shared" ref="S7:S15" si="0">F7</f>
        <v>0</v>
      </c>
      <c r="T7" s="692" t="s">
        <v>20</v>
      </c>
      <c r="U7" s="693">
        <f t="shared" ref="U7:U15" si="1">H7</f>
        <v>0</v>
      </c>
      <c r="V7" s="692" t="s">
        <v>20</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71" t="s">
        <v>1682</v>
      </c>
      <c r="Q8" s="3772"/>
      <c r="R8" s="692" t="s">
        <v>20</v>
      </c>
      <c r="S8" s="693">
        <f t="shared" si="0"/>
        <v>100</v>
      </c>
      <c r="T8" s="692" t="s">
        <v>20</v>
      </c>
      <c r="U8" s="693">
        <f t="shared" si="1"/>
        <v>100</v>
      </c>
      <c r="V8" s="692" t="s">
        <v>20</v>
      </c>
      <c r="W8" s="693">
        <f t="shared" si="2"/>
        <v>100</v>
      </c>
      <c r="X8" s="694"/>
      <c r="Y8" s="3771" t="s">
        <v>1682</v>
      </c>
      <c r="Z8" s="3772"/>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46"/>
      <c r="Q11" s="1334" t="str">
        <f t="shared" si="6"/>
        <v>容积率</v>
      </c>
      <c r="R11" s="692" t="s">
        <v>18</v>
      </c>
      <c r="S11" s="693" t="e">
        <f t="shared" si="0"/>
        <v>#N/A</v>
      </c>
      <c r="T11" s="692" t="s">
        <v>18</v>
      </c>
      <c r="U11" s="693" t="e">
        <f t="shared" si="1"/>
        <v>#N/A</v>
      </c>
      <c r="V11" s="692" t="s">
        <v>18</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46"/>
      <c r="Q12" s="1334">
        <f t="shared" si="6"/>
        <v>111</v>
      </c>
      <c r="R12" s="692" t="s">
        <v>18</v>
      </c>
      <c r="S12" s="693">
        <f t="shared" si="0"/>
        <v>100</v>
      </c>
      <c r="T12" s="692" t="s">
        <v>18</v>
      </c>
      <c r="U12" s="693">
        <f t="shared" si="1"/>
        <v>100</v>
      </c>
      <c r="V12" s="692" t="s">
        <v>18</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46"/>
      <c r="Q13" s="1334">
        <f t="shared" si="6"/>
        <v>111</v>
      </c>
      <c r="R13" s="692" t="s">
        <v>18</v>
      </c>
      <c r="S13" s="693">
        <f t="shared" si="0"/>
        <v>100</v>
      </c>
      <c r="T13" s="692" t="s">
        <v>18</v>
      </c>
      <c r="U13" s="693">
        <f t="shared" si="1"/>
        <v>100</v>
      </c>
      <c r="V13" s="692" t="s">
        <v>18</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46"/>
      <c r="Q14" s="1334">
        <f t="shared" si="6"/>
        <v>111</v>
      </c>
      <c r="R14" s="692" t="s">
        <v>18</v>
      </c>
      <c r="S14" s="693">
        <f t="shared" si="0"/>
        <v>100</v>
      </c>
      <c r="T14" s="692" t="s">
        <v>18</v>
      </c>
      <c r="U14" s="693">
        <f t="shared" si="1"/>
        <v>100</v>
      </c>
      <c r="V14" s="692" t="s">
        <v>18</v>
      </c>
      <c r="W14" s="693">
        <f t="shared" si="2"/>
        <v>100</v>
      </c>
      <c r="X14" s="694"/>
      <c r="Y14" s="3587"/>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4" t="s">
        <v>1690</v>
      </c>
      <c r="Q15" s="1343" t="str">
        <f t="shared" si="6"/>
        <v>居住社区成熟度</v>
      </c>
      <c r="R15" s="696" t="s">
        <v>18</v>
      </c>
      <c r="S15" s="697">
        <f t="shared" si="0"/>
        <v>100</v>
      </c>
      <c r="T15" s="696" t="s">
        <v>18</v>
      </c>
      <c r="U15" s="697">
        <f t="shared" si="1"/>
        <v>100</v>
      </c>
      <c r="V15" s="696" t="s">
        <v>18</v>
      </c>
      <c r="W15" s="697">
        <f t="shared" si="2"/>
        <v>100</v>
      </c>
      <c r="X15" s="1346"/>
      <c r="Y15" s="3737"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5"/>
      <c r="Q16" s="1343"/>
      <c r="R16" s="696"/>
      <c r="S16" s="697"/>
      <c r="T16" s="696"/>
      <c r="U16" s="697"/>
      <c r="V16" s="696"/>
      <c r="W16" s="697"/>
      <c r="X16" s="1346"/>
      <c r="Y16" s="3738"/>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5"/>
      <c r="Q17" s="1343" t="str">
        <f>B17</f>
        <v>交通便捷度</v>
      </c>
      <c r="R17" s="696" t="s">
        <v>18</v>
      </c>
      <c r="S17" s="697">
        <f>F17</f>
        <v>100</v>
      </c>
      <c r="T17" s="696" t="s">
        <v>18</v>
      </c>
      <c r="U17" s="697">
        <f>H17</f>
        <v>100</v>
      </c>
      <c r="V17" s="696" t="s">
        <v>18</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5"/>
      <c r="Q19" s="1343" t="str">
        <f>B19</f>
        <v>公共配套设施</v>
      </c>
      <c r="R19" s="696" t="s">
        <v>18</v>
      </c>
      <c r="S19" s="697">
        <f>F19</f>
        <v>100</v>
      </c>
      <c r="T19" s="696" t="s">
        <v>18</v>
      </c>
      <c r="U19" s="697">
        <f>H19</f>
        <v>100</v>
      </c>
      <c r="V19" s="696" t="s">
        <v>18</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5"/>
      <c r="Q22" s="1343"/>
      <c r="R22" s="696"/>
      <c r="S22" s="697"/>
      <c r="T22" s="696"/>
      <c r="U22" s="697"/>
      <c r="V22" s="696"/>
      <c r="W22" s="697"/>
      <c r="X22" s="1346"/>
      <c r="Y22" s="3738"/>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5"/>
      <c r="Q23" s="1343" t="str">
        <f>B23</f>
        <v>自然及人文环境</v>
      </c>
      <c r="R23" s="696" t="s">
        <v>18</v>
      </c>
      <c r="S23" s="697">
        <f>F23</f>
        <v>100</v>
      </c>
      <c r="T23" s="696" t="s">
        <v>18</v>
      </c>
      <c r="U23" s="697">
        <f>H23</f>
        <v>100</v>
      </c>
      <c r="V23" s="696" t="s">
        <v>18</v>
      </c>
      <c r="W23" s="697">
        <f>J23</f>
        <v>100</v>
      </c>
      <c r="X23" s="1346"/>
      <c r="Y23" s="3738"/>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8"/>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5"/>
      <c r="Q26" s="1343" t="str">
        <f t="shared" si="11"/>
        <v>朝向</v>
      </c>
      <c r="R26" s="696" t="s">
        <v>18</v>
      </c>
      <c r="S26" s="697">
        <f t="shared" si="12"/>
        <v>100</v>
      </c>
      <c r="T26" s="696" t="s">
        <v>18</v>
      </c>
      <c r="U26" s="697">
        <f t="shared" si="13"/>
        <v>100</v>
      </c>
      <c r="V26" s="696" t="s">
        <v>18</v>
      </c>
      <c r="W26" s="697">
        <f t="shared" si="14"/>
        <v>100</v>
      </c>
      <c r="X26" s="1346"/>
      <c r="Y26" s="3738"/>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5"/>
      <c r="Q27" s="1334">
        <f t="shared" si="11"/>
        <v>111</v>
      </c>
      <c r="R27" s="692" t="s">
        <v>18</v>
      </c>
      <c r="S27" s="693">
        <f t="shared" si="12"/>
        <v>100</v>
      </c>
      <c r="T27" s="692" t="s">
        <v>18</v>
      </c>
      <c r="U27" s="693">
        <f t="shared" si="13"/>
        <v>100</v>
      </c>
      <c r="V27" s="692" t="s">
        <v>18</v>
      </c>
      <c r="W27" s="693">
        <f t="shared" si="14"/>
        <v>100</v>
      </c>
      <c r="X27" s="694"/>
      <c r="Y27" s="3738"/>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5"/>
      <c r="Q28" s="1343">
        <f t="shared" si="11"/>
        <v>111</v>
      </c>
      <c r="R28" s="696" t="s">
        <v>18</v>
      </c>
      <c r="S28" s="697">
        <f t="shared" si="12"/>
        <v>100</v>
      </c>
      <c r="T28" s="696" t="s">
        <v>18</v>
      </c>
      <c r="U28" s="697">
        <f t="shared" si="13"/>
        <v>100</v>
      </c>
      <c r="V28" s="696" t="s">
        <v>18</v>
      </c>
      <c r="W28" s="697">
        <f t="shared" si="14"/>
        <v>100</v>
      </c>
      <c r="X28" s="1346"/>
      <c r="Y28" s="3738"/>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5"/>
      <c r="Q29" s="1343">
        <f t="shared" si="11"/>
        <v>111</v>
      </c>
      <c r="R29" s="696" t="s">
        <v>18</v>
      </c>
      <c r="S29" s="697">
        <f t="shared" si="12"/>
        <v>100</v>
      </c>
      <c r="T29" s="696" t="s">
        <v>18</v>
      </c>
      <c r="U29" s="697">
        <f t="shared" si="13"/>
        <v>100</v>
      </c>
      <c r="V29" s="696" t="s">
        <v>18</v>
      </c>
      <c r="W29" s="697">
        <f t="shared" si="14"/>
        <v>100</v>
      </c>
      <c r="X29" s="1346"/>
      <c r="Y29" s="3738"/>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5"/>
      <c r="Q30" s="1343">
        <f t="shared" si="11"/>
        <v>111</v>
      </c>
      <c r="R30" s="696" t="s">
        <v>18</v>
      </c>
      <c r="S30" s="697">
        <f t="shared" si="12"/>
        <v>100</v>
      </c>
      <c r="T30" s="696" t="s">
        <v>18</v>
      </c>
      <c r="U30" s="697">
        <f t="shared" si="13"/>
        <v>100</v>
      </c>
      <c r="V30" s="696" t="s">
        <v>18</v>
      </c>
      <c r="W30" s="697">
        <f t="shared" si="14"/>
        <v>100</v>
      </c>
      <c r="X30" s="1346"/>
      <c r="Y30" s="3738"/>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5"/>
      <c r="Q31" s="1343">
        <f t="shared" si="11"/>
        <v>111</v>
      </c>
      <c r="R31" s="696" t="s">
        <v>18</v>
      </c>
      <c r="S31" s="697">
        <f t="shared" si="12"/>
        <v>100</v>
      </c>
      <c r="T31" s="696" t="s">
        <v>18</v>
      </c>
      <c r="U31" s="697">
        <f t="shared" si="13"/>
        <v>100</v>
      </c>
      <c r="V31" s="696" t="s">
        <v>18</v>
      </c>
      <c r="W31" s="697">
        <f t="shared" si="14"/>
        <v>100</v>
      </c>
      <c r="X31" s="1346"/>
      <c r="Y31" s="3738"/>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39" t="s">
        <v>1695</v>
      </c>
      <c r="Q32" s="1343" t="str">
        <f t="shared" si="11"/>
        <v>建筑类型</v>
      </c>
      <c r="R32" s="696" t="s">
        <v>18</v>
      </c>
      <c r="S32" s="697">
        <f t="shared" si="12"/>
        <v>100</v>
      </c>
      <c r="T32" s="696" t="s">
        <v>18</v>
      </c>
      <c r="U32" s="697">
        <f t="shared" si="13"/>
        <v>100</v>
      </c>
      <c r="V32" s="696" t="s">
        <v>18</v>
      </c>
      <c r="W32" s="697">
        <f t="shared" si="14"/>
        <v>100</v>
      </c>
      <c r="X32" s="1346"/>
      <c r="Y32" s="3742"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0"/>
      <c r="Q33" s="698" t="str">
        <f t="shared" si="11"/>
        <v>项目建筑规模</v>
      </c>
      <c r="R33" s="699" t="s">
        <v>18</v>
      </c>
      <c r="S33" s="700" t="e">
        <f t="shared" si="12"/>
        <v>#N/A</v>
      </c>
      <c r="T33" s="699" t="s">
        <v>18</v>
      </c>
      <c r="U33" s="700" t="e">
        <f t="shared" si="13"/>
        <v>#N/A</v>
      </c>
      <c r="V33" s="699" t="s">
        <v>18</v>
      </c>
      <c r="W33" s="700" t="e">
        <f t="shared" si="14"/>
        <v>#N/A</v>
      </c>
      <c r="X33" s="701"/>
      <c r="Y33" s="3742"/>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0"/>
      <c r="Q34" s="1343" t="str">
        <f t="shared" si="11"/>
        <v>建筑结构</v>
      </c>
      <c r="R34" s="696" t="s">
        <v>18</v>
      </c>
      <c r="S34" s="697">
        <f t="shared" si="12"/>
        <v>100</v>
      </c>
      <c r="T34" s="696" t="s">
        <v>18</v>
      </c>
      <c r="U34" s="697">
        <f t="shared" si="13"/>
        <v>100</v>
      </c>
      <c r="V34" s="696" t="s">
        <v>18</v>
      </c>
      <c r="W34" s="697">
        <f t="shared" si="14"/>
        <v>100</v>
      </c>
      <c r="X34" s="1346"/>
      <c r="Y34" s="3742"/>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0"/>
      <c r="Q35" s="1343" t="str">
        <f t="shared" si="11"/>
        <v>建筑品质</v>
      </c>
      <c r="R35" s="696" t="s">
        <v>18</v>
      </c>
      <c r="S35" s="697">
        <f t="shared" si="12"/>
        <v>100</v>
      </c>
      <c r="T35" s="696" t="s">
        <v>18</v>
      </c>
      <c r="U35" s="697">
        <f t="shared" si="13"/>
        <v>100</v>
      </c>
      <c r="V35" s="696" t="s">
        <v>18</v>
      </c>
      <c r="W35" s="697">
        <f t="shared" si="14"/>
        <v>100</v>
      </c>
      <c r="X35" s="1346"/>
      <c r="Y35" s="3742"/>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0"/>
      <c r="Q36" s="1343" t="str">
        <f t="shared" si="11"/>
        <v>公共部分装修</v>
      </c>
      <c r="R36" s="696" t="s">
        <v>18</v>
      </c>
      <c r="S36" s="697">
        <f t="shared" si="12"/>
        <v>100</v>
      </c>
      <c r="T36" s="696" t="s">
        <v>18</v>
      </c>
      <c r="U36" s="697">
        <f t="shared" si="13"/>
        <v>100</v>
      </c>
      <c r="V36" s="696" t="s">
        <v>18</v>
      </c>
      <c r="W36" s="697">
        <f t="shared" si="14"/>
        <v>100</v>
      </c>
      <c r="X36" s="1346"/>
      <c r="Y36" s="3742"/>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0"/>
      <c r="Q37" s="1334" t="str">
        <f t="shared" si="11"/>
        <v>成新度</v>
      </c>
      <c r="R37" s="692" t="s">
        <v>18</v>
      </c>
      <c r="S37" s="693" t="e">
        <f t="shared" si="12"/>
        <v>#N/A</v>
      </c>
      <c r="T37" s="692" t="s">
        <v>18</v>
      </c>
      <c r="U37" s="693" t="e">
        <f t="shared" si="13"/>
        <v>#N/A</v>
      </c>
      <c r="V37" s="692" t="s">
        <v>18</v>
      </c>
      <c r="W37" s="693" t="e">
        <f t="shared" si="14"/>
        <v>#N/A</v>
      </c>
      <c r="X37" s="694"/>
      <c r="Y37" s="3742"/>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0" t="s">
        <v>1695</v>
      </c>
      <c r="Q38" s="1343" t="str">
        <f t="shared" si="11"/>
        <v>物业管理</v>
      </c>
      <c r="R38" s="696" t="s">
        <v>18</v>
      </c>
      <c r="S38" s="697">
        <f t="shared" si="12"/>
        <v>100</v>
      </c>
      <c r="T38" s="696" t="s">
        <v>18</v>
      </c>
      <c r="U38" s="697">
        <f t="shared" si="13"/>
        <v>100</v>
      </c>
      <c r="V38" s="696" t="s">
        <v>18</v>
      </c>
      <c r="W38" s="697">
        <f t="shared" si="14"/>
        <v>100</v>
      </c>
      <c r="X38" s="1346"/>
      <c r="Y38" s="3742"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0"/>
      <c r="Q39" s="1343" t="str">
        <f t="shared" si="11"/>
        <v>市政基础设施</v>
      </c>
      <c r="R39" s="696" t="s">
        <v>18</v>
      </c>
      <c r="S39" s="697">
        <f t="shared" si="12"/>
        <v>100</v>
      </c>
      <c r="T39" s="696" t="s">
        <v>18</v>
      </c>
      <c r="U39" s="697">
        <f t="shared" si="13"/>
        <v>100</v>
      </c>
      <c r="V39" s="696" t="s">
        <v>18</v>
      </c>
      <c r="W39" s="697">
        <f t="shared" si="14"/>
        <v>100</v>
      </c>
      <c r="X39" s="1346"/>
      <c r="Y39" s="3742"/>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0"/>
      <c r="Q40" s="1343" t="str">
        <f t="shared" si="11"/>
        <v>房型</v>
      </c>
      <c r="R40" s="696" t="s">
        <v>18</v>
      </c>
      <c r="S40" s="697">
        <f t="shared" si="12"/>
        <v>100</v>
      </c>
      <c r="T40" s="696" t="s">
        <v>18</v>
      </c>
      <c r="U40" s="697">
        <f t="shared" si="13"/>
        <v>100</v>
      </c>
      <c r="V40" s="696" t="s">
        <v>18</v>
      </c>
      <c r="W40" s="697">
        <f t="shared" si="14"/>
        <v>100</v>
      </c>
      <c r="X40" s="1346"/>
      <c r="Y40" s="3742"/>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0"/>
      <c r="Q41" s="698" t="str">
        <f t="shared" si="11"/>
        <v>单套/主力户型建筑面积</v>
      </c>
      <c r="R41" s="699" t="s">
        <v>18</v>
      </c>
      <c r="S41" s="700">
        <f t="shared" si="12"/>
        <v>100</v>
      </c>
      <c r="T41" s="699" t="s">
        <v>18</v>
      </c>
      <c r="U41" s="700">
        <f t="shared" si="13"/>
        <v>100</v>
      </c>
      <c r="V41" s="699" t="s">
        <v>18</v>
      </c>
      <c r="W41" s="700">
        <f t="shared" si="14"/>
        <v>100</v>
      </c>
      <c r="X41" s="701"/>
      <c r="Y41" s="3742"/>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0"/>
      <c r="Q42" s="1343" t="str">
        <f t="shared" si="11"/>
        <v>内部装修</v>
      </c>
      <c r="R42" s="696" t="s">
        <v>18</v>
      </c>
      <c r="S42" s="697">
        <f t="shared" si="12"/>
        <v>100</v>
      </c>
      <c r="T42" s="696" t="s">
        <v>18</v>
      </c>
      <c r="U42" s="697">
        <f t="shared" si="13"/>
        <v>100</v>
      </c>
      <c r="V42" s="696" t="s">
        <v>18</v>
      </c>
      <c r="W42" s="697">
        <f t="shared" si="14"/>
        <v>100</v>
      </c>
      <c r="X42" s="1346"/>
      <c r="Y42" s="3742"/>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0"/>
      <c r="Q43" s="1343" t="str">
        <f t="shared" si="11"/>
        <v>内部装修维护情况</v>
      </c>
      <c r="R43" s="696" t="s">
        <v>18</v>
      </c>
      <c r="S43" s="697">
        <f t="shared" si="12"/>
        <v>100</v>
      </c>
      <c r="T43" s="696" t="s">
        <v>18</v>
      </c>
      <c r="U43" s="697">
        <f t="shared" si="13"/>
        <v>100</v>
      </c>
      <c r="V43" s="696" t="s">
        <v>18</v>
      </c>
      <c r="W43" s="697">
        <f t="shared" si="14"/>
        <v>100</v>
      </c>
      <c r="X43" s="1346"/>
      <c r="Y43" s="374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0"/>
      <c r="Q44" s="1334">
        <f t="shared" si="11"/>
        <v>111</v>
      </c>
      <c r="R44" s="692" t="s">
        <v>18</v>
      </c>
      <c r="S44" s="693">
        <f t="shared" si="12"/>
        <v>100</v>
      </c>
      <c r="T44" s="692" t="s">
        <v>18</v>
      </c>
      <c r="U44" s="693">
        <f t="shared" si="13"/>
        <v>100</v>
      </c>
      <c r="V44" s="692" t="s">
        <v>18</v>
      </c>
      <c r="W44" s="693">
        <f t="shared" si="14"/>
        <v>100</v>
      </c>
      <c r="X44" s="694"/>
      <c r="Y44" s="374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0"/>
      <c r="Q45" s="1343">
        <f t="shared" si="11"/>
        <v>111</v>
      </c>
      <c r="R45" s="696" t="s">
        <v>18</v>
      </c>
      <c r="S45" s="697">
        <f t="shared" si="12"/>
        <v>100</v>
      </c>
      <c r="T45" s="696" t="s">
        <v>18</v>
      </c>
      <c r="U45" s="697">
        <f t="shared" si="13"/>
        <v>100</v>
      </c>
      <c r="V45" s="696" t="s">
        <v>18</v>
      </c>
      <c r="W45" s="697">
        <f t="shared" si="14"/>
        <v>100</v>
      </c>
      <c r="X45" s="1346"/>
      <c r="Y45" s="374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1"/>
      <c r="Q46" s="1343">
        <f t="shared" si="11"/>
        <v>111</v>
      </c>
      <c r="R46" s="696" t="s">
        <v>17</v>
      </c>
      <c r="S46" s="697">
        <f t="shared" si="12"/>
        <v>100</v>
      </c>
      <c r="T46" s="696" t="s">
        <v>17</v>
      </c>
      <c r="U46" s="697">
        <f t="shared" si="13"/>
        <v>100</v>
      </c>
      <c r="V46" s="696" t="s">
        <v>17</v>
      </c>
      <c r="W46" s="697">
        <f t="shared" si="14"/>
        <v>100</v>
      </c>
      <c r="X46" s="1346"/>
      <c r="Y46" s="3743"/>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35" t="str">
        <f>A47</f>
        <v>成交单价（元/平方米）</v>
      </c>
      <c r="Q47" s="3735"/>
      <c r="R47" s="3736">
        <f>E47</f>
        <v>0</v>
      </c>
      <c r="S47" s="3736"/>
      <c r="T47" s="3736">
        <f>G47</f>
        <v>0</v>
      </c>
      <c r="U47" s="3736"/>
      <c r="V47" s="3736">
        <f>I47</f>
        <v>0</v>
      </c>
      <c r="W47" s="3736"/>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2024-4</v>
      </c>
      <c r="D58" s="1176">
        <f>EDATE(C58,-1)</f>
        <v>45352</v>
      </c>
      <c r="E58" s="1176">
        <f>EDATE(D58,-1)</f>
        <v>45323</v>
      </c>
      <c r="F58" s="1176">
        <f t="shared" ref="F58:O58" si="19">EDATE(E58,-1)</f>
        <v>45292</v>
      </c>
      <c r="G58" s="1176">
        <f t="shared" si="19"/>
        <v>45261</v>
      </c>
      <c r="H58" s="1176">
        <f t="shared" si="19"/>
        <v>45231</v>
      </c>
      <c r="I58" s="1176">
        <f t="shared" si="19"/>
        <v>45200</v>
      </c>
      <c r="J58" s="1176">
        <f t="shared" si="19"/>
        <v>45170</v>
      </c>
      <c r="K58" s="1176">
        <f t="shared" si="19"/>
        <v>45139</v>
      </c>
      <c r="L58" s="1176">
        <f t="shared" si="19"/>
        <v>45108</v>
      </c>
      <c r="M58" s="1176">
        <f t="shared" si="19"/>
        <v>45078</v>
      </c>
      <c r="N58" s="1176">
        <f t="shared" si="19"/>
        <v>45047</v>
      </c>
      <c r="O58" s="1176">
        <f t="shared" si="19"/>
        <v>45017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受贵公司委托，我公司对北京市经济技术开发区兴海二街5好远1号楼等房地产抵押价值进行了预评估。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估价对象为北京市经济技术开发区兴海二街5好远1号楼等房地产，为所有。根据《国有土地使用证》[]，估价对象（分摊）出让国有建设用地使用权面积为15458.2平方米，建筑面积为23228.35平方米。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兴海二街5好远1号楼等房地产,为开发建设的，该项目尚在开发建设中。根据《国有土地使用证》[]，估价对象（分摊）出让国有建设用地使用权面积为15458.2平方米，规划建筑面积为23228.35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经济技术开发区兴海二街5好远1号楼等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2024年4月16日（评估专业人员实地查勘之日）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23228.35</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66"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66"/>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66"/>
      <c r="AC6" s="3749"/>
    </row>
    <row r="7" spans="1:29" s="108" customFormat="1" ht="15.75" thickBot="1">
      <c r="A7" s="356" t="s">
        <v>1678</v>
      </c>
      <c r="B7" s="357"/>
      <c r="C7" s="358">
        <f>'数据-取费表'!B2</f>
        <v>45398</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46"/>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4" t="s">
        <v>1690</v>
      </c>
      <c r="Q15" s="1343" t="str">
        <f t="shared" si="6"/>
        <v>商业繁华度</v>
      </c>
      <c r="R15" s="696" t="s">
        <v>14</v>
      </c>
      <c r="S15" s="697">
        <f t="shared" si="0"/>
        <v>100</v>
      </c>
      <c r="T15" s="696" t="s">
        <v>14</v>
      </c>
      <c r="U15" s="697">
        <f t="shared" si="1"/>
        <v>100</v>
      </c>
      <c r="V15" s="696" t="s">
        <v>14</v>
      </c>
      <c r="W15" s="697">
        <f t="shared" si="2"/>
        <v>100</v>
      </c>
      <c r="X15" s="1346"/>
      <c r="Y15" s="3737"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5"/>
      <c r="Q22" s="1343"/>
      <c r="R22" s="696"/>
      <c r="S22" s="697"/>
      <c r="T22" s="696"/>
      <c r="U22" s="697"/>
      <c r="V22" s="696"/>
      <c r="W22" s="697"/>
      <c r="X22" s="1346"/>
      <c r="Y22" s="3738"/>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5"/>
      <c r="Q23" s="1343" t="str">
        <f>B23</f>
        <v>自然及人文环境</v>
      </c>
      <c r="R23" s="696" t="s">
        <v>14</v>
      </c>
      <c r="S23" s="697">
        <f>F23</f>
        <v>100</v>
      </c>
      <c r="T23" s="696" t="s">
        <v>14</v>
      </c>
      <c r="U23" s="697">
        <f>H23</f>
        <v>100</v>
      </c>
      <c r="V23" s="696" t="s">
        <v>14</v>
      </c>
      <c r="W23" s="697">
        <f>J23</f>
        <v>100</v>
      </c>
      <c r="X23" s="1346"/>
      <c r="Y23" s="3738"/>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5"/>
      <c r="Q25" s="1343" t="str">
        <f t="shared" ref="Q25:Q46" si="11">B25</f>
        <v>临街状况</v>
      </c>
      <c r="R25" s="696" t="s">
        <v>14</v>
      </c>
      <c r="S25" s="697">
        <f>F25</f>
        <v>100</v>
      </c>
      <c r="T25" s="696" t="s">
        <v>14</v>
      </c>
      <c r="U25" s="697">
        <f>H25</f>
        <v>100</v>
      </c>
      <c r="V25" s="696" t="s">
        <v>14</v>
      </c>
      <c r="W25" s="697">
        <f>J25</f>
        <v>100</v>
      </c>
      <c r="X25" s="1346"/>
      <c r="Y25" s="3738"/>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5"/>
      <c r="Q26" s="1343" t="str">
        <f t="shared" si="11"/>
        <v>平面位置/可视性</v>
      </c>
      <c r="R26" s="696" t="s">
        <v>14</v>
      </c>
      <c r="S26" s="697">
        <f>F26</f>
        <v>100</v>
      </c>
      <c r="T26" s="696" t="s">
        <v>14</v>
      </c>
      <c r="U26" s="697">
        <f>H26</f>
        <v>100</v>
      </c>
      <c r="V26" s="696" t="s">
        <v>14</v>
      </c>
      <c r="W26" s="697">
        <f>J26</f>
        <v>100</v>
      </c>
      <c r="X26" s="1346"/>
      <c r="Y26" s="3738"/>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5"/>
      <c r="Q27" s="1334" t="str">
        <f t="shared" si="11"/>
        <v>人流量</v>
      </c>
      <c r="R27" s="692" t="s">
        <v>14</v>
      </c>
      <c r="S27" s="693">
        <f>F27</f>
        <v>100</v>
      </c>
      <c r="T27" s="692" t="s">
        <v>14</v>
      </c>
      <c r="U27" s="693">
        <f>H27</f>
        <v>100</v>
      </c>
      <c r="V27" s="692" t="s">
        <v>14</v>
      </c>
      <c r="W27" s="693">
        <f>J27</f>
        <v>100</v>
      </c>
      <c r="X27" s="694"/>
      <c r="Y27" s="3738"/>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8"/>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5"/>
      <c r="Q29" s="1343">
        <f t="shared" si="11"/>
        <v>111</v>
      </c>
      <c r="R29" s="696" t="s">
        <v>14</v>
      </c>
      <c r="S29" s="697">
        <f t="shared" si="12"/>
        <v>100</v>
      </c>
      <c r="T29" s="696" t="s">
        <v>14</v>
      </c>
      <c r="U29" s="697">
        <f t="shared" si="13"/>
        <v>100</v>
      </c>
      <c r="V29" s="696" t="s">
        <v>14</v>
      </c>
      <c r="W29" s="697">
        <f t="shared" si="14"/>
        <v>100</v>
      </c>
      <c r="X29" s="1346"/>
      <c r="Y29" s="3738"/>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39" t="s">
        <v>1695</v>
      </c>
      <c r="Q32" s="1343" t="str">
        <f t="shared" si="11"/>
        <v>商业类型</v>
      </c>
      <c r="R32" s="696" t="s">
        <v>14</v>
      </c>
      <c r="S32" s="697">
        <f t="shared" si="12"/>
        <v>100</v>
      </c>
      <c r="T32" s="696" t="s">
        <v>14</v>
      </c>
      <c r="U32" s="697">
        <f t="shared" si="13"/>
        <v>100</v>
      </c>
      <c r="V32" s="696" t="s">
        <v>14</v>
      </c>
      <c r="W32" s="697">
        <f t="shared" si="14"/>
        <v>100</v>
      </c>
      <c r="X32" s="1346"/>
      <c r="Y32" s="3742"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0"/>
      <c r="Q33" s="698" t="str">
        <f t="shared" si="11"/>
        <v>项目建筑规模</v>
      </c>
      <c r="R33" s="699" t="s">
        <v>14</v>
      </c>
      <c r="S33" s="700" t="e">
        <f t="shared" si="12"/>
        <v>#N/A</v>
      </c>
      <c r="T33" s="699" t="s">
        <v>14</v>
      </c>
      <c r="U33" s="700" t="e">
        <f t="shared" si="13"/>
        <v>#N/A</v>
      </c>
      <c r="V33" s="699" t="s">
        <v>14</v>
      </c>
      <c r="W33" s="700" t="e">
        <f t="shared" si="14"/>
        <v>#N/A</v>
      </c>
      <c r="X33" s="701"/>
      <c r="Y33" s="3742"/>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0"/>
      <c r="Q34" s="1343" t="str">
        <f t="shared" si="11"/>
        <v>建筑结构</v>
      </c>
      <c r="R34" s="696" t="s">
        <v>14</v>
      </c>
      <c r="S34" s="697">
        <f t="shared" si="12"/>
        <v>100</v>
      </c>
      <c r="T34" s="696" t="s">
        <v>14</v>
      </c>
      <c r="U34" s="697">
        <f t="shared" si="13"/>
        <v>100</v>
      </c>
      <c r="V34" s="696" t="s">
        <v>14</v>
      </c>
      <c r="W34" s="697">
        <f t="shared" si="14"/>
        <v>100</v>
      </c>
      <c r="X34" s="1346"/>
      <c r="Y34" s="3742"/>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0"/>
      <c r="Q35" s="1343" t="str">
        <f t="shared" si="11"/>
        <v>公共部分装修</v>
      </c>
      <c r="R35" s="696" t="s">
        <v>14</v>
      </c>
      <c r="S35" s="697">
        <f t="shared" si="12"/>
        <v>100</v>
      </c>
      <c r="T35" s="696" t="s">
        <v>14</v>
      </c>
      <c r="U35" s="697">
        <f t="shared" si="13"/>
        <v>100</v>
      </c>
      <c r="V35" s="696" t="s">
        <v>14</v>
      </c>
      <c r="W35" s="697">
        <f t="shared" si="14"/>
        <v>100</v>
      </c>
      <c r="X35" s="1346"/>
      <c r="Y35" s="3742"/>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0"/>
      <c r="Q36" s="1343" t="str">
        <f t="shared" si="11"/>
        <v>成新度</v>
      </c>
      <c r="R36" s="696" t="s">
        <v>14</v>
      </c>
      <c r="S36" s="697" t="e">
        <f t="shared" si="12"/>
        <v>#N/A</v>
      </c>
      <c r="T36" s="696" t="s">
        <v>14</v>
      </c>
      <c r="U36" s="697" t="e">
        <f t="shared" si="13"/>
        <v>#N/A</v>
      </c>
      <c r="V36" s="696" t="s">
        <v>14</v>
      </c>
      <c r="W36" s="697" t="e">
        <f t="shared" si="14"/>
        <v>#N/A</v>
      </c>
      <c r="X36" s="1346"/>
      <c r="Y36" s="3742"/>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0"/>
      <c r="Q37" s="1334" t="str">
        <f t="shared" si="11"/>
        <v>市政基础设施</v>
      </c>
      <c r="R37" s="692" t="s">
        <v>14</v>
      </c>
      <c r="S37" s="693">
        <f t="shared" si="12"/>
        <v>100</v>
      </c>
      <c r="T37" s="692" t="s">
        <v>14</v>
      </c>
      <c r="U37" s="693">
        <f t="shared" si="13"/>
        <v>100</v>
      </c>
      <c r="V37" s="692" t="s">
        <v>14</v>
      </c>
      <c r="W37" s="693">
        <f t="shared" si="14"/>
        <v>100</v>
      </c>
      <c r="X37" s="694"/>
      <c r="Y37" s="3742"/>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0" t="s">
        <v>1695</v>
      </c>
      <c r="Q38" s="1343" t="str">
        <f t="shared" si="11"/>
        <v>业态</v>
      </c>
      <c r="R38" s="696" t="s">
        <v>14</v>
      </c>
      <c r="S38" s="697">
        <f t="shared" si="12"/>
        <v>100</v>
      </c>
      <c r="T38" s="696" t="s">
        <v>14</v>
      </c>
      <c r="U38" s="697">
        <f t="shared" si="13"/>
        <v>100</v>
      </c>
      <c r="V38" s="696" t="s">
        <v>14</v>
      </c>
      <c r="W38" s="697">
        <f t="shared" si="14"/>
        <v>100</v>
      </c>
      <c r="X38" s="1346"/>
      <c r="Y38" s="3742"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0"/>
      <c r="Q39" s="1343" t="str">
        <f t="shared" si="11"/>
        <v>层高</v>
      </c>
      <c r="R39" s="696" t="s">
        <v>14</v>
      </c>
      <c r="S39" s="697">
        <f t="shared" si="12"/>
        <v>100</v>
      </c>
      <c r="T39" s="696" t="s">
        <v>14</v>
      </c>
      <c r="U39" s="697">
        <f t="shared" si="13"/>
        <v>100</v>
      </c>
      <c r="V39" s="696" t="s">
        <v>14</v>
      </c>
      <c r="W39" s="697">
        <f t="shared" si="14"/>
        <v>100</v>
      </c>
      <c r="X39" s="1346"/>
      <c r="Y39" s="3742"/>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0"/>
      <c r="Q40" s="1343" t="str">
        <f t="shared" si="11"/>
        <v>单套建筑面积</v>
      </c>
      <c r="R40" s="696" t="s">
        <v>14</v>
      </c>
      <c r="S40" s="697">
        <f t="shared" si="12"/>
        <v>100</v>
      </c>
      <c r="T40" s="696" t="s">
        <v>14</v>
      </c>
      <c r="U40" s="697">
        <f t="shared" si="13"/>
        <v>100</v>
      </c>
      <c r="V40" s="696" t="s">
        <v>14</v>
      </c>
      <c r="W40" s="697">
        <f t="shared" si="14"/>
        <v>100</v>
      </c>
      <c r="X40" s="1346"/>
      <c r="Y40" s="3742"/>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0"/>
      <c r="Q41" s="698" t="str">
        <f t="shared" si="11"/>
        <v>进深比</v>
      </c>
      <c r="R41" s="699" t="s">
        <v>14</v>
      </c>
      <c r="S41" s="700">
        <f t="shared" si="12"/>
        <v>100</v>
      </c>
      <c r="T41" s="699" t="s">
        <v>14</v>
      </c>
      <c r="U41" s="700">
        <f t="shared" si="13"/>
        <v>100</v>
      </c>
      <c r="V41" s="699" t="s">
        <v>14</v>
      </c>
      <c r="W41" s="700">
        <f t="shared" si="14"/>
        <v>100</v>
      </c>
      <c r="X41" s="701"/>
      <c r="Y41" s="3742"/>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0"/>
      <c r="Q42" s="1343" t="str">
        <f t="shared" si="11"/>
        <v>内部装修</v>
      </c>
      <c r="R42" s="696" t="s">
        <v>14</v>
      </c>
      <c r="S42" s="697">
        <f t="shared" si="12"/>
        <v>100</v>
      </c>
      <c r="T42" s="696" t="s">
        <v>14</v>
      </c>
      <c r="U42" s="697">
        <f t="shared" si="13"/>
        <v>100</v>
      </c>
      <c r="V42" s="696" t="s">
        <v>14</v>
      </c>
      <c r="W42" s="697">
        <f t="shared" si="14"/>
        <v>100</v>
      </c>
      <c r="X42" s="1346"/>
      <c r="Y42" s="3742"/>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0"/>
      <c r="Q43" s="1343" t="str">
        <f t="shared" si="11"/>
        <v>内部装修维护情况</v>
      </c>
      <c r="R43" s="696" t="s">
        <v>14</v>
      </c>
      <c r="S43" s="697">
        <f t="shared" si="12"/>
        <v>100</v>
      </c>
      <c r="T43" s="696" t="s">
        <v>14</v>
      </c>
      <c r="U43" s="697">
        <f t="shared" si="13"/>
        <v>100</v>
      </c>
      <c r="V43" s="696" t="s">
        <v>14</v>
      </c>
      <c r="W43" s="697">
        <f t="shared" si="14"/>
        <v>100</v>
      </c>
      <c r="X43" s="1346"/>
      <c r="Y43" s="374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0"/>
      <c r="Q44" s="1334">
        <f t="shared" si="11"/>
        <v>111</v>
      </c>
      <c r="R44" s="692" t="s">
        <v>14</v>
      </c>
      <c r="S44" s="693">
        <f t="shared" si="12"/>
        <v>100</v>
      </c>
      <c r="T44" s="692" t="s">
        <v>14</v>
      </c>
      <c r="U44" s="693">
        <f t="shared" si="13"/>
        <v>100</v>
      </c>
      <c r="V44" s="692" t="s">
        <v>14</v>
      </c>
      <c r="W44" s="693">
        <f t="shared" si="14"/>
        <v>100</v>
      </c>
      <c r="X44" s="694"/>
      <c r="Y44" s="374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0"/>
      <c r="Q45" s="1343">
        <f t="shared" si="11"/>
        <v>111</v>
      </c>
      <c r="R45" s="696" t="s">
        <v>14</v>
      </c>
      <c r="S45" s="697">
        <f t="shared" si="12"/>
        <v>100</v>
      </c>
      <c r="T45" s="696" t="s">
        <v>14</v>
      </c>
      <c r="U45" s="697">
        <f t="shared" si="13"/>
        <v>100</v>
      </c>
      <c r="V45" s="696" t="s">
        <v>14</v>
      </c>
      <c r="W45" s="697">
        <f t="shared" si="14"/>
        <v>100</v>
      </c>
      <c r="X45" s="1346"/>
      <c r="Y45" s="374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1"/>
      <c r="Q46" s="1343">
        <f t="shared" si="11"/>
        <v>111</v>
      </c>
      <c r="R46" s="696" t="s">
        <v>14</v>
      </c>
      <c r="S46" s="697">
        <f t="shared" si="12"/>
        <v>100</v>
      </c>
      <c r="T46" s="696" t="s">
        <v>14</v>
      </c>
      <c r="U46" s="697">
        <f t="shared" si="13"/>
        <v>100</v>
      </c>
      <c r="V46" s="696" t="s">
        <v>14</v>
      </c>
      <c r="W46" s="697">
        <f t="shared" si="14"/>
        <v>100</v>
      </c>
      <c r="X46" s="1346"/>
      <c r="Y46" s="3743"/>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35" t="str">
        <f>A47</f>
        <v>成交单价（元/平方米）</v>
      </c>
      <c r="Q47" s="3735"/>
      <c r="R47" s="3766">
        <f>E47</f>
        <v>0</v>
      </c>
      <c r="S47" s="3766"/>
      <c r="T47" s="3766">
        <f>G47</f>
        <v>0</v>
      </c>
      <c r="U47" s="3766"/>
      <c r="V47" s="3766">
        <f>I47</f>
        <v>0</v>
      </c>
      <c r="W47" s="3766"/>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2024-4</v>
      </c>
      <c r="D58" s="1176">
        <f>EDATE(C58,-1)</f>
        <v>45352</v>
      </c>
      <c r="E58" s="1176">
        <f t="shared" ref="E58:N58" si="16">EDATE(D58,-1)</f>
        <v>45323</v>
      </c>
      <c r="F58" s="1176">
        <f t="shared" si="16"/>
        <v>45292</v>
      </c>
      <c r="G58" s="1176">
        <f t="shared" si="16"/>
        <v>45261</v>
      </c>
      <c r="H58" s="1176">
        <f t="shared" si="16"/>
        <v>45231</v>
      </c>
      <c r="I58" s="1176">
        <f t="shared" si="16"/>
        <v>45200</v>
      </c>
      <c r="J58" s="1176">
        <f t="shared" si="16"/>
        <v>45170</v>
      </c>
      <c r="K58" s="1176">
        <f t="shared" si="16"/>
        <v>45139</v>
      </c>
      <c r="L58" s="1176">
        <f t="shared" si="16"/>
        <v>45108</v>
      </c>
      <c r="M58" s="1176">
        <f t="shared" si="16"/>
        <v>45078</v>
      </c>
      <c r="N58" s="1176">
        <f t="shared" si="16"/>
        <v>45047</v>
      </c>
      <c r="O58" s="1176">
        <f>EDATE(N58,-1)</f>
        <v>45017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23228.35</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84" t="s">
        <v>1774</v>
      </c>
      <c r="Q4" s="3785"/>
      <c r="R4" s="3788" t="s">
        <v>1770</v>
      </c>
      <c r="S4" s="3789"/>
      <c r="T4" s="3788" t="s">
        <v>1771</v>
      </c>
      <c r="U4" s="3789"/>
      <c r="V4" s="3790" t="s">
        <v>1772</v>
      </c>
      <c r="W4" s="3790"/>
      <c r="X4" s="1949"/>
      <c r="Y4" s="3788" t="s">
        <v>1774</v>
      </c>
      <c r="Z4" s="3789"/>
      <c r="AA4" s="3792" t="s">
        <v>1770</v>
      </c>
      <c r="AB4" s="3792" t="s">
        <v>1771</v>
      </c>
      <c r="AC4" s="3781" t="s">
        <v>1772</v>
      </c>
    </row>
    <row r="5" spans="1:29" ht="15">
      <c r="A5" s="352"/>
      <c r="B5" s="353"/>
      <c r="C5" s="3769" t="s">
        <v>1672</v>
      </c>
      <c r="D5" s="3770"/>
      <c r="E5" s="3776" t="s">
        <v>1673</v>
      </c>
      <c r="F5" s="3777"/>
      <c r="G5" s="3769" t="s">
        <v>1674</v>
      </c>
      <c r="H5" s="3770"/>
      <c r="I5" s="3769" t="s">
        <v>1675</v>
      </c>
      <c r="J5" s="3770"/>
      <c r="K5" s="553"/>
      <c r="L5" s="2704"/>
      <c r="M5" s="2705"/>
      <c r="N5" s="2705"/>
      <c r="O5" s="2705"/>
      <c r="P5" s="3786"/>
      <c r="Q5" s="3757"/>
      <c r="R5" s="3762"/>
      <c r="S5" s="3763"/>
      <c r="T5" s="3762"/>
      <c r="U5" s="3763"/>
      <c r="V5" s="3766"/>
      <c r="W5" s="3766"/>
      <c r="X5" s="1346"/>
      <c r="Y5" s="3762"/>
      <c r="Z5" s="3763"/>
      <c r="AA5" s="3748"/>
      <c r="AB5" s="3748"/>
      <c r="AC5" s="3782"/>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87"/>
      <c r="Q6" s="3759"/>
      <c r="R6" s="3762"/>
      <c r="S6" s="3763"/>
      <c r="T6" s="3764"/>
      <c r="U6" s="3765"/>
      <c r="V6" s="3766"/>
      <c r="W6" s="3766"/>
      <c r="X6" s="1346"/>
      <c r="Y6" s="3764"/>
      <c r="Z6" s="3765"/>
      <c r="AA6" s="3749"/>
      <c r="AB6" s="3749"/>
      <c r="AC6" s="3783"/>
    </row>
    <row r="7" spans="1:29" s="108" customFormat="1" ht="15.75" thickBot="1">
      <c r="A7" s="356" t="s">
        <v>1678</v>
      </c>
      <c r="B7" s="357"/>
      <c r="C7" s="358">
        <f>'数据-取费表'!B2</f>
        <v>45398</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9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91" t="s">
        <v>1682</v>
      </c>
      <c r="Q8" s="3772"/>
      <c r="R8" s="692" t="s">
        <v>14</v>
      </c>
      <c r="S8" s="693">
        <f t="shared" si="0"/>
        <v>100</v>
      </c>
      <c r="T8" s="692" t="s">
        <v>14</v>
      </c>
      <c r="U8" s="693">
        <f t="shared" si="1"/>
        <v>100</v>
      </c>
      <c r="V8" s="692" t="s">
        <v>14</v>
      </c>
      <c r="W8" s="693">
        <f t="shared" si="2"/>
        <v>100</v>
      </c>
      <c r="X8" s="694"/>
      <c r="Y8" s="3771" t="s">
        <v>1682</v>
      </c>
      <c r="Z8" s="3772"/>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46"/>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4" t="s">
        <v>1690</v>
      </c>
      <c r="Q15" s="1343" t="str">
        <f t="shared" si="6"/>
        <v>办公集聚程度</v>
      </c>
      <c r="R15" s="696" t="s">
        <v>14</v>
      </c>
      <c r="S15" s="697">
        <f t="shared" si="0"/>
        <v>100</v>
      </c>
      <c r="T15" s="696" t="s">
        <v>14</v>
      </c>
      <c r="U15" s="697">
        <f t="shared" si="1"/>
        <v>100</v>
      </c>
      <c r="V15" s="696" t="s">
        <v>14</v>
      </c>
      <c r="W15" s="697">
        <f t="shared" si="2"/>
        <v>100</v>
      </c>
      <c r="X15" s="1346"/>
      <c r="Y15" s="3737"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5"/>
      <c r="Q22" s="1343"/>
      <c r="R22" s="696"/>
      <c r="S22" s="697"/>
      <c r="T22" s="696"/>
      <c r="U22" s="697"/>
      <c r="V22" s="696"/>
      <c r="W22" s="697"/>
      <c r="X22" s="1346"/>
      <c r="Y22" s="3738"/>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5"/>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5"/>
      <c r="Q25" s="1343" t="str">
        <f>B25</f>
        <v>毗邻道路的类型与等级</v>
      </c>
      <c r="R25" s="696" t="s">
        <v>14</v>
      </c>
      <c r="S25" s="697">
        <f>F25</f>
        <v>100</v>
      </c>
      <c r="T25" s="696" t="s">
        <v>14</v>
      </c>
      <c r="U25" s="697">
        <f>H25</f>
        <v>100</v>
      </c>
      <c r="V25" s="696" t="s">
        <v>14</v>
      </c>
      <c r="W25" s="697">
        <f>J25</f>
        <v>100</v>
      </c>
      <c r="X25" s="1346"/>
      <c r="Y25" s="3738"/>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5"/>
      <c r="Q26" s="1343"/>
      <c r="R26" s="696"/>
      <c r="S26" s="697"/>
      <c r="T26" s="696"/>
      <c r="U26" s="697"/>
      <c r="V26" s="696"/>
      <c r="W26" s="697"/>
      <c r="X26" s="1346"/>
      <c r="Y26" s="3738"/>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5"/>
      <c r="Q27" s="1343" t="str">
        <f t="shared" ref="Q27:Q47" si="11">B27</f>
        <v>楼层</v>
      </c>
      <c r="R27" s="696" t="s">
        <v>14</v>
      </c>
      <c r="S27" s="697">
        <f>F27</f>
        <v>100</v>
      </c>
      <c r="T27" s="696" t="s">
        <v>14</v>
      </c>
      <c r="U27" s="697">
        <f>H27</f>
        <v>100</v>
      </c>
      <c r="V27" s="696" t="s">
        <v>14</v>
      </c>
      <c r="W27" s="697">
        <f>J27</f>
        <v>100</v>
      </c>
      <c r="X27" s="1346"/>
      <c r="Y27" s="3738"/>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5"/>
      <c r="Q28" s="1334" t="str">
        <f t="shared" si="11"/>
        <v>朝向</v>
      </c>
      <c r="R28" s="692" t="s">
        <v>14</v>
      </c>
      <c r="S28" s="693">
        <f>F28</f>
        <v>100</v>
      </c>
      <c r="T28" s="692" t="s">
        <v>14</v>
      </c>
      <c r="U28" s="693">
        <f>H28</f>
        <v>100</v>
      </c>
      <c r="V28" s="692" t="s">
        <v>14</v>
      </c>
      <c r="W28" s="693">
        <f>J28</f>
        <v>100</v>
      </c>
      <c r="X28" s="694"/>
      <c r="Y28" s="3738"/>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5"/>
      <c r="Q29" s="1343">
        <f t="shared" si="11"/>
        <v>111</v>
      </c>
      <c r="R29" s="696" t="s">
        <v>14</v>
      </c>
      <c r="S29" s="697">
        <f t="shared" ref="S29:S47" si="12">F29</f>
        <v>100</v>
      </c>
      <c r="T29" s="696" t="s">
        <v>14</v>
      </c>
      <c r="U29" s="697">
        <f t="shared" ref="U29:U47" si="13">H29</f>
        <v>100</v>
      </c>
      <c r="V29" s="696" t="s">
        <v>14</v>
      </c>
      <c r="W29" s="697">
        <f t="shared" ref="W29:W47" si="14">J29</f>
        <v>100</v>
      </c>
      <c r="X29" s="1346"/>
      <c r="Y29" s="3738"/>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5"/>
      <c r="Q32" s="1343">
        <f t="shared" si="11"/>
        <v>111</v>
      </c>
      <c r="R32" s="696" t="s">
        <v>14</v>
      </c>
      <c r="S32" s="697">
        <f t="shared" si="12"/>
        <v>100</v>
      </c>
      <c r="T32" s="696" t="s">
        <v>14</v>
      </c>
      <c r="U32" s="697">
        <f t="shared" si="13"/>
        <v>100</v>
      </c>
      <c r="V32" s="696" t="s">
        <v>14</v>
      </c>
      <c r="W32" s="697">
        <f t="shared" si="14"/>
        <v>100</v>
      </c>
      <c r="X32" s="1346"/>
      <c r="Y32" s="3738"/>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39" t="s">
        <v>1695</v>
      </c>
      <c r="Q33" s="1343" t="str">
        <f t="shared" si="11"/>
        <v>建筑类型</v>
      </c>
      <c r="R33" s="696" t="s">
        <v>14</v>
      </c>
      <c r="S33" s="697">
        <f t="shared" si="12"/>
        <v>100</v>
      </c>
      <c r="T33" s="696" t="s">
        <v>14</v>
      </c>
      <c r="U33" s="697">
        <f t="shared" si="13"/>
        <v>100</v>
      </c>
      <c r="V33" s="696" t="s">
        <v>14</v>
      </c>
      <c r="W33" s="697">
        <f t="shared" si="14"/>
        <v>100</v>
      </c>
      <c r="X33" s="1346"/>
      <c r="Y33" s="3742"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0"/>
      <c r="Q34" s="698" t="str">
        <f t="shared" si="11"/>
        <v>项目建筑规模</v>
      </c>
      <c r="R34" s="699" t="s">
        <v>14</v>
      </c>
      <c r="S34" s="700" t="e">
        <f t="shared" si="12"/>
        <v>#N/A</v>
      </c>
      <c r="T34" s="699" t="s">
        <v>14</v>
      </c>
      <c r="U34" s="700" t="e">
        <f t="shared" si="13"/>
        <v>#N/A</v>
      </c>
      <c r="V34" s="699" t="s">
        <v>14</v>
      </c>
      <c r="W34" s="700" t="e">
        <f t="shared" si="14"/>
        <v>#N/A</v>
      </c>
      <c r="X34" s="701"/>
      <c r="Y34" s="3742"/>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0"/>
      <c r="Q35" s="1343" t="str">
        <f t="shared" si="11"/>
        <v>建筑结构</v>
      </c>
      <c r="R35" s="696" t="s">
        <v>14</v>
      </c>
      <c r="S35" s="697">
        <f t="shared" si="12"/>
        <v>100</v>
      </c>
      <c r="T35" s="696" t="s">
        <v>14</v>
      </c>
      <c r="U35" s="697">
        <f t="shared" si="13"/>
        <v>100</v>
      </c>
      <c r="V35" s="696" t="s">
        <v>14</v>
      </c>
      <c r="W35" s="697">
        <f t="shared" si="14"/>
        <v>100</v>
      </c>
      <c r="X35" s="1346"/>
      <c r="Y35" s="3742"/>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0"/>
      <c r="Q36" s="1343" t="str">
        <f t="shared" si="11"/>
        <v>公共部分装修</v>
      </c>
      <c r="R36" s="696" t="s">
        <v>14</v>
      </c>
      <c r="S36" s="697">
        <f t="shared" si="12"/>
        <v>100</v>
      </c>
      <c r="T36" s="696" t="s">
        <v>14</v>
      </c>
      <c r="U36" s="697">
        <f t="shared" si="13"/>
        <v>100</v>
      </c>
      <c r="V36" s="696" t="s">
        <v>14</v>
      </c>
      <c r="W36" s="697">
        <f t="shared" si="14"/>
        <v>100</v>
      </c>
      <c r="X36" s="1346"/>
      <c r="Y36" s="3742"/>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0"/>
      <c r="Q37" s="1343" t="str">
        <f t="shared" si="11"/>
        <v>成新度</v>
      </c>
      <c r="R37" s="696" t="s">
        <v>14</v>
      </c>
      <c r="S37" s="697" t="e">
        <f t="shared" si="12"/>
        <v>#N/A</v>
      </c>
      <c r="T37" s="696" t="s">
        <v>14</v>
      </c>
      <c r="U37" s="697" t="e">
        <f t="shared" si="13"/>
        <v>#N/A</v>
      </c>
      <c r="V37" s="696" t="s">
        <v>14</v>
      </c>
      <c r="W37" s="697" t="e">
        <f t="shared" si="14"/>
        <v>#N/A</v>
      </c>
      <c r="X37" s="1346"/>
      <c r="Y37" s="3742"/>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0"/>
      <c r="Q38" s="1334" t="str">
        <f t="shared" si="11"/>
        <v>写字楼等级</v>
      </c>
      <c r="R38" s="692" t="s">
        <v>14</v>
      </c>
      <c r="S38" s="693">
        <f t="shared" si="12"/>
        <v>100</v>
      </c>
      <c r="T38" s="692" t="s">
        <v>14</v>
      </c>
      <c r="U38" s="693">
        <f t="shared" si="13"/>
        <v>100</v>
      </c>
      <c r="V38" s="692" t="s">
        <v>14</v>
      </c>
      <c r="W38" s="693">
        <f t="shared" si="14"/>
        <v>100</v>
      </c>
      <c r="X38" s="694"/>
      <c r="Y38" s="3742"/>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0" t="s">
        <v>1695</v>
      </c>
      <c r="Q39" s="1343" t="str">
        <f t="shared" si="11"/>
        <v>物业管理</v>
      </c>
      <c r="R39" s="696" t="s">
        <v>14</v>
      </c>
      <c r="S39" s="697">
        <f t="shared" si="12"/>
        <v>100</v>
      </c>
      <c r="T39" s="696" t="s">
        <v>14</v>
      </c>
      <c r="U39" s="697">
        <f t="shared" si="13"/>
        <v>100</v>
      </c>
      <c r="V39" s="696" t="s">
        <v>14</v>
      </c>
      <c r="W39" s="697">
        <f t="shared" si="14"/>
        <v>100</v>
      </c>
      <c r="X39" s="1346"/>
      <c r="Y39" s="3742"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0"/>
      <c r="Q40" s="1343" t="str">
        <f t="shared" si="11"/>
        <v>市政基础设施</v>
      </c>
      <c r="R40" s="696" t="s">
        <v>14</v>
      </c>
      <c r="S40" s="697">
        <f t="shared" si="12"/>
        <v>100</v>
      </c>
      <c r="T40" s="696" t="s">
        <v>14</v>
      </c>
      <c r="U40" s="697">
        <f t="shared" si="13"/>
        <v>100</v>
      </c>
      <c r="V40" s="696" t="s">
        <v>14</v>
      </c>
      <c r="W40" s="697">
        <f t="shared" si="14"/>
        <v>100</v>
      </c>
      <c r="X40" s="1346"/>
      <c r="Y40" s="3742"/>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0"/>
      <c r="Q41" s="1343" t="str">
        <f t="shared" si="11"/>
        <v>层高</v>
      </c>
      <c r="R41" s="696" t="s">
        <v>14</v>
      </c>
      <c r="S41" s="697">
        <f t="shared" si="12"/>
        <v>100</v>
      </c>
      <c r="T41" s="696" t="s">
        <v>14</v>
      </c>
      <c r="U41" s="697">
        <f t="shared" si="13"/>
        <v>100</v>
      </c>
      <c r="V41" s="696" t="s">
        <v>14</v>
      </c>
      <c r="W41" s="697">
        <f t="shared" si="14"/>
        <v>100</v>
      </c>
      <c r="X41" s="1346"/>
      <c r="Y41" s="3742"/>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0"/>
      <c r="Q42" s="698" t="str">
        <f t="shared" si="11"/>
        <v>单套建筑面积</v>
      </c>
      <c r="R42" s="699" t="s">
        <v>14</v>
      </c>
      <c r="S42" s="700">
        <f t="shared" si="12"/>
        <v>100</v>
      </c>
      <c r="T42" s="699" t="s">
        <v>14</v>
      </c>
      <c r="U42" s="700">
        <f t="shared" si="13"/>
        <v>100</v>
      </c>
      <c r="V42" s="699" t="s">
        <v>14</v>
      </c>
      <c r="W42" s="700">
        <f t="shared" si="14"/>
        <v>100</v>
      </c>
      <c r="X42" s="701"/>
      <c r="Y42" s="3742"/>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0"/>
      <c r="Q43" s="1343" t="str">
        <f t="shared" si="11"/>
        <v>内部装修</v>
      </c>
      <c r="R43" s="696" t="s">
        <v>14</v>
      </c>
      <c r="S43" s="697">
        <f t="shared" si="12"/>
        <v>100</v>
      </c>
      <c r="T43" s="696" t="s">
        <v>14</v>
      </c>
      <c r="U43" s="697">
        <f t="shared" si="13"/>
        <v>100</v>
      </c>
      <c r="V43" s="696" t="s">
        <v>14</v>
      </c>
      <c r="W43" s="697">
        <f t="shared" si="14"/>
        <v>100</v>
      </c>
      <c r="X43" s="1346"/>
      <c r="Y43" s="3742"/>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0"/>
      <c r="Q44" s="1343" t="str">
        <f t="shared" si="11"/>
        <v>内部装修维护情况</v>
      </c>
      <c r="R44" s="696" t="s">
        <v>14</v>
      </c>
      <c r="S44" s="697">
        <f t="shared" si="12"/>
        <v>100</v>
      </c>
      <c r="T44" s="696" t="s">
        <v>14</v>
      </c>
      <c r="U44" s="697">
        <f t="shared" si="13"/>
        <v>100</v>
      </c>
      <c r="V44" s="696" t="s">
        <v>14</v>
      </c>
      <c r="W44" s="697">
        <f t="shared" si="14"/>
        <v>100</v>
      </c>
      <c r="X44" s="1346"/>
      <c r="Y44" s="374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0"/>
      <c r="Q45" s="1334">
        <f t="shared" si="11"/>
        <v>111</v>
      </c>
      <c r="R45" s="692" t="s">
        <v>14</v>
      </c>
      <c r="S45" s="693">
        <f t="shared" si="12"/>
        <v>100</v>
      </c>
      <c r="T45" s="692" t="s">
        <v>14</v>
      </c>
      <c r="U45" s="693">
        <f t="shared" si="13"/>
        <v>100</v>
      </c>
      <c r="V45" s="692" t="s">
        <v>14</v>
      </c>
      <c r="W45" s="693">
        <f t="shared" si="14"/>
        <v>100</v>
      </c>
      <c r="X45" s="694"/>
      <c r="Y45" s="374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0"/>
      <c r="Q46" s="1343">
        <f t="shared" si="11"/>
        <v>111</v>
      </c>
      <c r="R46" s="696" t="s">
        <v>14</v>
      </c>
      <c r="S46" s="697">
        <f t="shared" si="12"/>
        <v>100</v>
      </c>
      <c r="T46" s="696" t="s">
        <v>14</v>
      </c>
      <c r="U46" s="697">
        <f t="shared" si="13"/>
        <v>100</v>
      </c>
      <c r="V46" s="696" t="s">
        <v>14</v>
      </c>
      <c r="W46" s="697">
        <f t="shared" si="14"/>
        <v>100</v>
      </c>
      <c r="X46" s="1346"/>
      <c r="Y46" s="374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1"/>
      <c r="Q47" s="1343">
        <f t="shared" si="11"/>
        <v>111</v>
      </c>
      <c r="R47" s="696" t="s">
        <v>14</v>
      </c>
      <c r="S47" s="697">
        <f t="shared" si="12"/>
        <v>100</v>
      </c>
      <c r="T47" s="696" t="s">
        <v>14</v>
      </c>
      <c r="U47" s="697">
        <f t="shared" si="13"/>
        <v>100</v>
      </c>
      <c r="V47" s="696" t="s">
        <v>14</v>
      </c>
      <c r="W47" s="697">
        <f t="shared" si="14"/>
        <v>100</v>
      </c>
      <c r="X47" s="1346"/>
      <c r="Y47" s="3743"/>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46" t="str">
        <f>A48</f>
        <v>成交单价（元/平方米）</v>
      </c>
      <c r="Q48" s="3735"/>
      <c r="R48" s="3736">
        <f>E48</f>
        <v>0</v>
      </c>
      <c r="S48" s="3736"/>
      <c r="T48" s="3736">
        <f>G48</f>
        <v>0</v>
      </c>
      <c r="U48" s="3736"/>
      <c r="V48" s="3736">
        <f>I48</f>
        <v>0</v>
      </c>
      <c r="W48" s="3736"/>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2024-4</v>
      </c>
      <c r="D59" s="1176">
        <f>EDATE(C59,-1)</f>
        <v>45352</v>
      </c>
      <c r="E59" s="1176">
        <f>EDATE(D59,-1)</f>
        <v>45323</v>
      </c>
      <c r="F59" s="1176">
        <f t="shared" ref="F59:O59" si="16">EDATE(E59,-1)</f>
        <v>45292</v>
      </c>
      <c r="G59" s="1176">
        <f t="shared" si="16"/>
        <v>45261</v>
      </c>
      <c r="H59" s="1176">
        <f t="shared" si="16"/>
        <v>45231</v>
      </c>
      <c r="I59" s="1176">
        <f t="shared" si="16"/>
        <v>45200</v>
      </c>
      <c r="J59" s="1176">
        <f t="shared" si="16"/>
        <v>45170</v>
      </c>
      <c r="K59" s="1176">
        <f t="shared" si="16"/>
        <v>45139</v>
      </c>
      <c r="L59" s="1176">
        <f t="shared" si="16"/>
        <v>45108</v>
      </c>
      <c r="M59" s="1176">
        <f t="shared" si="16"/>
        <v>45078</v>
      </c>
      <c r="N59" s="1176">
        <f t="shared" si="16"/>
        <v>45047</v>
      </c>
      <c r="O59" s="1176">
        <f t="shared" si="16"/>
        <v>45017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23228.35</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904"/>
      <c r="M4" s="905"/>
      <c r="N4" s="905"/>
      <c r="O4" s="9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904"/>
      <c r="M5" s="905"/>
      <c r="N5" s="905"/>
      <c r="O5" s="9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904"/>
      <c r="M6" s="905"/>
      <c r="N6" s="905"/>
      <c r="O6" s="9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45398</v>
      </c>
      <c r="D7" s="359">
        <v>100</v>
      </c>
      <c r="E7" s="360"/>
      <c r="F7" s="361">
        <f>SUMIF(52:52,YEAR(E7)&amp;"-"&amp;MONTH(E7),53:53)</f>
        <v>0</v>
      </c>
      <c r="G7" s="360"/>
      <c r="H7" s="359">
        <f>SUMIF(52:52,YEAR(G7)&amp;"-"&amp;MONTH(G7),53:53)</f>
        <v>0</v>
      </c>
      <c r="I7" s="360"/>
      <c r="J7" s="359">
        <f>SUMIF(52:52,YEAR(I7)&amp;"-"&amp;MONTH(I7),53:53)</f>
        <v>0</v>
      </c>
      <c r="K7" s="554"/>
      <c r="L7" s="906"/>
      <c r="M7" s="907"/>
      <c r="N7" s="907"/>
      <c r="O7" s="9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71" t="s">
        <v>1682</v>
      </c>
      <c r="Q8" s="3772"/>
      <c r="R8" s="692" t="s">
        <v>14</v>
      </c>
      <c r="S8" s="693">
        <f t="shared" si="0"/>
        <v>100</v>
      </c>
      <c r="T8" s="692" t="s">
        <v>14</v>
      </c>
      <c r="U8" s="693">
        <f t="shared" si="1"/>
        <v>100</v>
      </c>
      <c r="V8" s="692" t="s">
        <v>14</v>
      </c>
      <c r="W8" s="693">
        <f t="shared" si="2"/>
        <v>100</v>
      </c>
      <c r="X8" s="694"/>
      <c r="Y8" s="3771" t="s">
        <v>1682</v>
      </c>
      <c r="Z8" s="3772"/>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5"/>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8"/>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8"/>
      <c r="Q18" s="1343"/>
      <c r="R18" s="696"/>
      <c r="S18" s="697"/>
      <c r="T18" s="696"/>
      <c r="U18" s="697"/>
      <c r="V18" s="696"/>
      <c r="W18" s="697"/>
      <c r="X18" s="1346"/>
      <c r="Y18" s="3738"/>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8"/>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8"/>
      <c r="Q20" s="1343"/>
      <c r="R20" s="696"/>
      <c r="S20" s="697"/>
      <c r="T20" s="696"/>
      <c r="U20" s="697"/>
      <c r="V20" s="696"/>
      <c r="W20" s="697"/>
      <c r="X20" s="1346"/>
      <c r="Y20" s="3738"/>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8"/>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8"/>
      <c r="Q22" s="1343"/>
      <c r="R22" s="696"/>
      <c r="S22" s="697"/>
      <c r="T22" s="696"/>
      <c r="U22" s="697"/>
      <c r="V22" s="696"/>
      <c r="W22" s="697"/>
      <c r="X22" s="1346"/>
      <c r="Y22" s="3738"/>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8"/>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8"/>
      <c r="Q24" s="1343"/>
      <c r="R24" s="696"/>
      <c r="S24" s="697"/>
      <c r="T24" s="696"/>
      <c r="U24" s="697"/>
      <c r="V24" s="696"/>
      <c r="W24" s="697"/>
      <c r="X24" s="1346"/>
      <c r="Y24" s="3738"/>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8"/>
      <c r="Q25" s="1343">
        <f>B25</f>
        <v>111</v>
      </c>
      <c r="R25" s="696" t="s">
        <v>14</v>
      </c>
      <c r="S25" s="697">
        <f>F25</f>
        <v>100</v>
      </c>
      <c r="T25" s="696" t="s">
        <v>14</v>
      </c>
      <c r="U25" s="697">
        <f>H25</f>
        <v>100</v>
      </c>
      <c r="V25" s="696" t="s">
        <v>14</v>
      </c>
      <c r="W25" s="697">
        <f>J25</f>
        <v>100</v>
      </c>
      <c r="X25" s="1346"/>
      <c r="Y25" s="3738"/>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8"/>
      <c r="Q26" s="1343">
        <f t="shared" ref="Q26:Q40" si="11">B26</f>
        <v>111</v>
      </c>
      <c r="R26" s="696" t="s">
        <v>14</v>
      </c>
      <c r="S26" s="697">
        <f>F26</f>
        <v>100</v>
      </c>
      <c r="T26" s="696" t="s">
        <v>14</v>
      </c>
      <c r="U26" s="697">
        <f>H26</f>
        <v>100</v>
      </c>
      <c r="V26" s="696" t="s">
        <v>14</v>
      </c>
      <c r="W26" s="697">
        <f>J26</f>
        <v>100</v>
      </c>
      <c r="X26" s="1346"/>
      <c r="Y26" s="3738"/>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8"/>
      <c r="Q27" s="1334">
        <f t="shared" si="11"/>
        <v>111</v>
      </c>
      <c r="R27" s="692" t="s">
        <v>14</v>
      </c>
      <c r="S27" s="693">
        <f>F27</f>
        <v>100</v>
      </c>
      <c r="T27" s="692" t="s">
        <v>14</v>
      </c>
      <c r="U27" s="693">
        <f>H27</f>
        <v>100</v>
      </c>
      <c r="V27" s="692" t="s">
        <v>14</v>
      </c>
      <c r="W27" s="693">
        <f>J27</f>
        <v>100</v>
      </c>
      <c r="X27" s="694"/>
      <c r="Y27" s="3738"/>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8"/>
      <c r="Q28" s="1343">
        <f t="shared" si="11"/>
        <v>111</v>
      </c>
      <c r="R28" s="696" t="s">
        <v>14</v>
      </c>
      <c r="S28" s="697">
        <f t="shared" ref="S28:S40" si="12">F28</f>
        <v>100</v>
      </c>
      <c r="T28" s="696" t="s">
        <v>14</v>
      </c>
      <c r="U28" s="697">
        <f t="shared" ref="U28:U40" si="13">H28</f>
        <v>100</v>
      </c>
      <c r="V28" s="696" t="s">
        <v>14</v>
      </c>
      <c r="W28" s="697">
        <f t="shared" ref="W28:W40" si="14">J28</f>
        <v>100</v>
      </c>
      <c r="X28" s="1346"/>
      <c r="Y28" s="3738"/>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93" t="s">
        <v>1695</v>
      </c>
      <c r="Q29" s="1343" t="str">
        <f t="shared" si="11"/>
        <v>建筑类型</v>
      </c>
      <c r="R29" s="696" t="s">
        <v>14</v>
      </c>
      <c r="S29" s="697">
        <f t="shared" si="12"/>
        <v>100</v>
      </c>
      <c r="T29" s="696" t="s">
        <v>14</v>
      </c>
      <c r="U29" s="697">
        <f t="shared" si="13"/>
        <v>100</v>
      </c>
      <c r="V29" s="696" t="s">
        <v>14</v>
      </c>
      <c r="W29" s="697">
        <f t="shared" si="14"/>
        <v>100</v>
      </c>
      <c r="X29" s="1346"/>
      <c r="Y29" s="3742"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42"/>
      <c r="Q30" s="698" t="str">
        <f t="shared" si="11"/>
        <v>项目建筑规模</v>
      </c>
      <c r="R30" s="699" t="s">
        <v>14</v>
      </c>
      <c r="S30" s="700" t="e">
        <f t="shared" si="12"/>
        <v>#N/A</v>
      </c>
      <c r="T30" s="699" t="s">
        <v>14</v>
      </c>
      <c r="U30" s="700" t="e">
        <f t="shared" si="13"/>
        <v>#N/A</v>
      </c>
      <c r="V30" s="699" t="s">
        <v>14</v>
      </c>
      <c r="W30" s="700" t="e">
        <f t="shared" si="14"/>
        <v>#N/A</v>
      </c>
      <c r="X30" s="701"/>
      <c r="Y30" s="3742"/>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42"/>
      <c r="Q31" s="1343" t="str">
        <f t="shared" si="11"/>
        <v>建筑结构</v>
      </c>
      <c r="R31" s="696" t="s">
        <v>14</v>
      </c>
      <c r="S31" s="697">
        <f t="shared" si="12"/>
        <v>100</v>
      </c>
      <c r="T31" s="696" t="s">
        <v>14</v>
      </c>
      <c r="U31" s="697">
        <f t="shared" si="13"/>
        <v>100</v>
      </c>
      <c r="V31" s="696" t="s">
        <v>14</v>
      </c>
      <c r="W31" s="697">
        <f t="shared" si="14"/>
        <v>100</v>
      </c>
      <c r="X31" s="1346"/>
      <c r="Y31" s="3742"/>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42"/>
      <c r="Q32" s="1343" t="str">
        <f t="shared" si="11"/>
        <v>公共部分装修</v>
      </c>
      <c r="R32" s="696" t="s">
        <v>14</v>
      </c>
      <c r="S32" s="697">
        <f t="shared" si="12"/>
        <v>100</v>
      </c>
      <c r="T32" s="696" t="s">
        <v>14</v>
      </c>
      <c r="U32" s="697">
        <f t="shared" si="13"/>
        <v>100</v>
      </c>
      <c r="V32" s="696" t="s">
        <v>14</v>
      </c>
      <c r="W32" s="697">
        <f t="shared" si="14"/>
        <v>100</v>
      </c>
      <c r="X32" s="1346"/>
      <c r="Y32" s="3742"/>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42"/>
      <c r="Q33" s="1343" t="str">
        <f t="shared" si="11"/>
        <v>成新度</v>
      </c>
      <c r="R33" s="696" t="s">
        <v>14</v>
      </c>
      <c r="S33" s="697" t="e">
        <f t="shared" si="12"/>
        <v>#N/A</v>
      </c>
      <c r="T33" s="696" t="s">
        <v>14</v>
      </c>
      <c r="U33" s="697" t="e">
        <f t="shared" si="13"/>
        <v>#N/A</v>
      </c>
      <c r="V33" s="696" t="s">
        <v>14</v>
      </c>
      <c r="W33" s="697" t="e">
        <f t="shared" si="14"/>
        <v>#N/A</v>
      </c>
      <c r="X33" s="1346"/>
      <c r="Y33" s="3742"/>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42"/>
      <c r="Q34" s="1334" t="str">
        <f t="shared" si="11"/>
        <v>物业管理</v>
      </c>
      <c r="R34" s="692" t="s">
        <v>14</v>
      </c>
      <c r="S34" s="693">
        <f t="shared" si="12"/>
        <v>100</v>
      </c>
      <c r="T34" s="692" t="s">
        <v>14</v>
      </c>
      <c r="U34" s="693">
        <f t="shared" si="13"/>
        <v>100</v>
      </c>
      <c r="V34" s="692" t="s">
        <v>14</v>
      </c>
      <c r="W34" s="693">
        <f t="shared" si="14"/>
        <v>100</v>
      </c>
      <c r="X34" s="694"/>
      <c r="Y34" s="3742"/>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42" t="s">
        <v>1695</v>
      </c>
      <c r="Q35" s="1343" t="str">
        <f t="shared" si="11"/>
        <v>市政基础设施</v>
      </c>
      <c r="R35" s="696" t="s">
        <v>14</v>
      </c>
      <c r="S35" s="697">
        <f t="shared" si="12"/>
        <v>100</v>
      </c>
      <c r="T35" s="696" t="s">
        <v>14</v>
      </c>
      <c r="U35" s="697">
        <f t="shared" si="13"/>
        <v>100</v>
      </c>
      <c r="V35" s="696" t="s">
        <v>14</v>
      </c>
      <c r="W35" s="697">
        <f t="shared" si="14"/>
        <v>100</v>
      </c>
      <c r="X35" s="1346"/>
      <c r="Y35" s="3742"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42"/>
      <c r="Q36" s="1343" t="str">
        <f t="shared" si="11"/>
        <v>内部装修</v>
      </c>
      <c r="R36" s="696" t="s">
        <v>14</v>
      </c>
      <c r="S36" s="697">
        <f t="shared" si="12"/>
        <v>100</v>
      </c>
      <c r="T36" s="696" t="s">
        <v>14</v>
      </c>
      <c r="U36" s="697">
        <f t="shared" si="13"/>
        <v>100</v>
      </c>
      <c r="V36" s="696" t="s">
        <v>14</v>
      </c>
      <c r="W36" s="697">
        <f t="shared" si="14"/>
        <v>100</v>
      </c>
      <c r="X36" s="1346"/>
      <c r="Y36" s="3742"/>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42"/>
      <c r="Q37" s="1343" t="str">
        <f t="shared" si="11"/>
        <v>内部装修状况</v>
      </c>
      <c r="R37" s="696" t="s">
        <v>14</v>
      </c>
      <c r="S37" s="697">
        <f t="shared" si="12"/>
        <v>100</v>
      </c>
      <c r="T37" s="696" t="s">
        <v>14</v>
      </c>
      <c r="U37" s="697">
        <f t="shared" si="13"/>
        <v>100</v>
      </c>
      <c r="V37" s="696" t="s">
        <v>14</v>
      </c>
      <c r="W37" s="697">
        <f t="shared" si="14"/>
        <v>100</v>
      </c>
      <c r="X37" s="1346"/>
      <c r="Y37" s="374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42"/>
      <c r="Q38" s="698">
        <f t="shared" si="11"/>
        <v>111</v>
      </c>
      <c r="R38" s="699" t="s">
        <v>14</v>
      </c>
      <c r="S38" s="700">
        <f t="shared" si="12"/>
        <v>100</v>
      </c>
      <c r="T38" s="699" t="s">
        <v>14</v>
      </c>
      <c r="U38" s="700">
        <f t="shared" si="13"/>
        <v>100</v>
      </c>
      <c r="V38" s="699" t="s">
        <v>14</v>
      </c>
      <c r="W38" s="700">
        <f t="shared" si="14"/>
        <v>100</v>
      </c>
      <c r="X38" s="701"/>
      <c r="Y38" s="374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42"/>
      <c r="Q39" s="1343">
        <f t="shared" si="11"/>
        <v>111</v>
      </c>
      <c r="R39" s="696" t="s">
        <v>14</v>
      </c>
      <c r="S39" s="697">
        <f t="shared" si="12"/>
        <v>100</v>
      </c>
      <c r="T39" s="696" t="s">
        <v>14</v>
      </c>
      <c r="U39" s="697">
        <f t="shared" si="13"/>
        <v>100</v>
      </c>
      <c r="V39" s="696" t="s">
        <v>14</v>
      </c>
      <c r="W39" s="697">
        <f t="shared" si="14"/>
        <v>100</v>
      </c>
      <c r="X39" s="1346"/>
      <c r="Y39" s="374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3"/>
      <c r="Q40" s="1343">
        <f t="shared" si="11"/>
        <v>111</v>
      </c>
      <c r="R40" s="696" t="s">
        <v>14</v>
      </c>
      <c r="S40" s="697">
        <f t="shared" si="12"/>
        <v>100</v>
      </c>
      <c r="T40" s="696" t="s">
        <v>14</v>
      </c>
      <c r="U40" s="697">
        <f t="shared" si="13"/>
        <v>100</v>
      </c>
      <c r="V40" s="696" t="s">
        <v>14</v>
      </c>
      <c r="W40" s="697">
        <f t="shared" si="14"/>
        <v>100</v>
      </c>
      <c r="X40" s="1346"/>
      <c r="Y40" s="3743"/>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35" t="str">
        <f>A41</f>
        <v>成交单价（元/平方米）</v>
      </c>
      <c r="Q41" s="3735"/>
      <c r="R41" s="3736">
        <f>E41</f>
        <v>0</v>
      </c>
      <c r="S41" s="3736"/>
      <c r="T41" s="3736">
        <f>G41</f>
        <v>0</v>
      </c>
      <c r="U41" s="3736"/>
      <c r="V41" s="3736">
        <f>I41</f>
        <v>0</v>
      </c>
      <c r="W41" s="3736"/>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2024-4</v>
      </c>
      <c r="D52" s="1176">
        <f>EDATE(C52,-1)</f>
        <v>45352</v>
      </c>
      <c r="E52" s="1176">
        <f t="shared" ref="E52:O52" si="16">EDATE(D52,-1)</f>
        <v>45323</v>
      </c>
      <c r="F52" s="1176">
        <f t="shared" si="16"/>
        <v>45292</v>
      </c>
      <c r="G52" s="1176">
        <f t="shared" si="16"/>
        <v>45261</v>
      </c>
      <c r="H52" s="1176">
        <f t="shared" si="16"/>
        <v>45231</v>
      </c>
      <c r="I52" s="1176">
        <f t="shared" si="16"/>
        <v>45200</v>
      </c>
      <c r="J52" s="1176">
        <f t="shared" si="16"/>
        <v>45170</v>
      </c>
      <c r="K52" s="1176">
        <f t="shared" si="16"/>
        <v>45139</v>
      </c>
      <c r="L52" s="1176">
        <f t="shared" si="16"/>
        <v>45108</v>
      </c>
      <c r="M52" s="1176">
        <f t="shared" si="16"/>
        <v>45078</v>
      </c>
      <c r="N52" s="1176">
        <f t="shared" si="16"/>
        <v>45047</v>
      </c>
      <c r="O52" s="1176">
        <f t="shared" si="16"/>
        <v>45017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45398</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38"/>
      <c r="Q15" s="1343"/>
      <c r="R15" s="696"/>
      <c r="S15" s="697"/>
      <c r="T15" s="696"/>
      <c r="U15" s="697"/>
      <c r="V15" s="696"/>
      <c r="W15" s="697"/>
      <c r="X15" s="1346"/>
      <c r="Y15" s="3738"/>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38"/>
      <c r="Q17" s="1343"/>
      <c r="R17" s="696"/>
      <c r="S17" s="697"/>
      <c r="T17" s="696"/>
      <c r="U17" s="697"/>
      <c r="V17" s="696"/>
      <c r="W17" s="697"/>
      <c r="X17" s="1346"/>
      <c r="Y17" s="3738"/>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38"/>
      <c r="Q19" s="1343"/>
      <c r="R19" s="696"/>
      <c r="S19" s="697"/>
      <c r="T19" s="696"/>
      <c r="U19" s="697"/>
      <c r="V19" s="696"/>
      <c r="W19" s="697"/>
      <c r="X19" s="1346"/>
      <c r="Y19" s="3738"/>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38"/>
      <c r="Q21" s="1343"/>
      <c r="R21" s="696"/>
      <c r="S21" s="697"/>
      <c r="T21" s="696"/>
      <c r="U21" s="697"/>
      <c r="V21" s="696"/>
      <c r="W21" s="697"/>
      <c r="X21" s="1346"/>
      <c r="Y21" s="3738"/>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38"/>
      <c r="Q24" s="1343">
        <f t="shared" ref="Q24:Q36"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93"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42"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42"/>
      <c r="Q27" s="698" t="str">
        <f t="shared" si="11"/>
        <v>项目停车位配比</v>
      </c>
      <c r="R27" s="699" t="s">
        <v>14</v>
      </c>
      <c r="S27" s="700">
        <f t="shared" si="12"/>
        <v>100</v>
      </c>
      <c r="T27" s="699" t="s">
        <v>14</v>
      </c>
      <c r="U27" s="700">
        <f t="shared" si="13"/>
        <v>100</v>
      </c>
      <c r="V27" s="699" t="s">
        <v>14</v>
      </c>
      <c r="W27" s="700">
        <f t="shared" si="14"/>
        <v>100</v>
      </c>
      <c r="X27" s="701"/>
      <c r="Y27" s="3742"/>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42"/>
      <c r="Q28" s="1343" t="str">
        <f t="shared" si="11"/>
        <v>公共部分装修</v>
      </c>
      <c r="R28" s="696" t="s">
        <v>14</v>
      </c>
      <c r="S28" s="697">
        <f t="shared" si="12"/>
        <v>100</v>
      </c>
      <c r="T28" s="696" t="s">
        <v>14</v>
      </c>
      <c r="U28" s="697">
        <f t="shared" si="13"/>
        <v>100</v>
      </c>
      <c r="V28" s="696" t="s">
        <v>14</v>
      </c>
      <c r="W28" s="697">
        <f t="shared" si="14"/>
        <v>100</v>
      </c>
      <c r="X28" s="1346"/>
      <c r="Y28" s="3742"/>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42"/>
      <c r="Q29" s="1343" t="str">
        <f t="shared" si="11"/>
        <v>成新率</v>
      </c>
      <c r="R29" s="696" t="s">
        <v>14</v>
      </c>
      <c r="S29" s="697" t="e">
        <f t="shared" si="12"/>
        <v>#N/A</v>
      </c>
      <c r="T29" s="696" t="s">
        <v>14</v>
      </c>
      <c r="U29" s="697" t="e">
        <f t="shared" si="13"/>
        <v>#N/A</v>
      </c>
      <c r="V29" s="696" t="s">
        <v>14</v>
      </c>
      <c r="W29" s="697" t="e">
        <f t="shared" si="14"/>
        <v>#N/A</v>
      </c>
      <c r="X29" s="1346"/>
      <c r="Y29" s="3742"/>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42"/>
      <c r="Q30" s="1343" t="str">
        <f t="shared" si="11"/>
        <v>物业等级</v>
      </c>
      <c r="R30" s="696" t="s">
        <v>14</v>
      </c>
      <c r="S30" s="697">
        <f t="shared" si="12"/>
        <v>100</v>
      </c>
      <c r="T30" s="696" t="s">
        <v>14</v>
      </c>
      <c r="U30" s="697">
        <f t="shared" si="13"/>
        <v>100</v>
      </c>
      <c r="V30" s="696" t="s">
        <v>14</v>
      </c>
      <c r="W30" s="697">
        <f t="shared" si="14"/>
        <v>100</v>
      </c>
      <c r="X30" s="1346"/>
      <c r="Y30" s="3742"/>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42"/>
      <c r="Q31" s="1334" t="str">
        <f t="shared" si="11"/>
        <v>停车位面积</v>
      </c>
      <c r="R31" s="692" t="s">
        <v>14</v>
      </c>
      <c r="S31" s="693" t="e">
        <f t="shared" si="12"/>
        <v>#N/A</v>
      </c>
      <c r="T31" s="692" t="s">
        <v>14</v>
      </c>
      <c r="U31" s="693" t="e">
        <f t="shared" si="13"/>
        <v>#N/A</v>
      </c>
      <c r="V31" s="692" t="s">
        <v>14</v>
      </c>
      <c r="W31" s="693" t="e">
        <f t="shared" si="14"/>
        <v>#N/A</v>
      </c>
      <c r="X31" s="694"/>
      <c r="Y31" s="3742"/>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42" t="s">
        <v>1695</v>
      </c>
      <c r="Q32" s="1343" t="str">
        <f t="shared" si="11"/>
        <v>车位类型</v>
      </c>
      <c r="R32" s="696" t="s">
        <v>14</v>
      </c>
      <c r="S32" s="697">
        <f t="shared" si="12"/>
        <v>100</v>
      </c>
      <c r="T32" s="696" t="s">
        <v>14</v>
      </c>
      <c r="U32" s="697">
        <f t="shared" si="13"/>
        <v>100</v>
      </c>
      <c r="V32" s="696" t="s">
        <v>14</v>
      </c>
      <c r="W32" s="697">
        <f t="shared" si="14"/>
        <v>100</v>
      </c>
      <c r="X32" s="1346"/>
      <c r="Y32" s="3742"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42"/>
      <c r="Q33" s="1343" t="str">
        <f t="shared" si="11"/>
        <v>是否直接入户</v>
      </c>
      <c r="R33" s="696" t="s">
        <v>14</v>
      </c>
      <c r="S33" s="697">
        <f t="shared" si="12"/>
        <v>100</v>
      </c>
      <c r="T33" s="696" t="s">
        <v>14</v>
      </c>
      <c r="U33" s="697">
        <f t="shared" si="13"/>
        <v>100</v>
      </c>
      <c r="V33" s="696" t="s">
        <v>14</v>
      </c>
      <c r="W33" s="697">
        <f t="shared" si="14"/>
        <v>100</v>
      </c>
      <c r="X33" s="1346"/>
      <c r="Y33" s="374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42"/>
      <c r="Q35" s="698">
        <f t="shared" si="11"/>
        <v>111</v>
      </c>
      <c r="R35" s="699" t="s">
        <v>14</v>
      </c>
      <c r="S35" s="700">
        <f t="shared" si="12"/>
        <v>100</v>
      </c>
      <c r="T35" s="699" t="s">
        <v>14</v>
      </c>
      <c r="U35" s="700">
        <f t="shared" si="13"/>
        <v>100</v>
      </c>
      <c r="V35" s="699" t="s">
        <v>14</v>
      </c>
      <c r="W35" s="700">
        <f t="shared" si="14"/>
        <v>100</v>
      </c>
      <c r="X35" s="701"/>
      <c r="Y35" s="374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42"/>
      <c r="Q36" s="1343">
        <f t="shared" si="11"/>
        <v>111</v>
      </c>
      <c r="R36" s="696" t="s">
        <v>14</v>
      </c>
      <c r="S36" s="697">
        <f t="shared" si="12"/>
        <v>100</v>
      </c>
      <c r="T36" s="696" t="s">
        <v>14</v>
      </c>
      <c r="U36" s="697">
        <f t="shared" si="13"/>
        <v>100</v>
      </c>
      <c r="V36" s="696" t="s">
        <v>14</v>
      </c>
      <c r="W36" s="697">
        <f t="shared" si="14"/>
        <v>100</v>
      </c>
      <c r="X36" s="1346"/>
      <c r="Y36" s="3742"/>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35" t="str">
        <f>A37</f>
        <v>成交单价</v>
      </c>
      <c r="Q37" s="3735"/>
      <c r="R37" s="3736">
        <f>E37</f>
        <v>0</v>
      </c>
      <c r="S37" s="3736"/>
      <c r="T37" s="3736">
        <f>G37</f>
        <v>0</v>
      </c>
      <c r="U37" s="3736"/>
      <c r="V37" s="3736">
        <f>I37</f>
        <v>0</v>
      </c>
      <c r="W37" s="3736"/>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32" t="str">
        <f>A39</f>
        <v>估价对象XX用房的比较价值（楼面单价，元/平方米）</v>
      </c>
      <c r="Q39" s="3733"/>
      <c r="R39" s="3794" t="e">
        <f>IF(F1="售价",ROUND(IF(D38="简单平均",AVERAGE(R38:W38),R38*F38+T38*H38+V38*J38),0),ROUND(IF(D38="简单平均",AVERAGE(R38:V38),R38*F38+T38*H38+V38*J38),1))</f>
        <v>#DIV/0!</v>
      </c>
      <c r="S39" s="3794"/>
      <c r="T39" s="3794"/>
      <c r="U39" s="3794"/>
      <c r="V39" s="3794"/>
      <c r="W39" s="3794"/>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2024-4</v>
      </c>
      <c r="D48" s="1176">
        <f>EDATE(C48,-1)</f>
        <v>45352</v>
      </c>
      <c r="E48" s="1176">
        <f t="shared" ref="E48:O48" si="16">EDATE(D48,-1)</f>
        <v>45323</v>
      </c>
      <c r="F48" s="1176">
        <f t="shared" si="16"/>
        <v>45292</v>
      </c>
      <c r="G48" s="1176">
        <f t="shared" si="16"/>
        <v>45261</v>
      </c>
      <c r="H48" s="1176">
        <f t="shared" si="16"/>
        <v>45231</v>
      </c>
      <c r="I48" s="1176">
        <f t="shared" si="16"/>
        <v>45200</v>
      </c>
      <c r="J48" s="1176">
        <f t="shared" si="16"/>
        <v>45170</v>
      </c>
      <c r="K48" s="1176">
        <f t="shared" si="16"/>
        <v>45139</v>
      </c>
      <c r="L48" s="1176">
        <f t="shared" si="16"/>
        <v>45108</v>
      </c>
      <c r="M48" s="1176">
        <f t="shared" si="16"/>
        <v>45078</v>
      </c>
      <c r="N48" s="1176">
        <f t="shared" si="16"/>
        <v>45047</v>
      </c>
      <c r="O48" s="1176">
        <f t="shared" si="16"/>
        <v>45017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45398</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38"/>
      <c r="Q15" s="1343"/>
      <c r="R15" s="696"/>
      <c r="S15" s="697"/>
      <c r="T15" s="696"/>
      <c r="U15" s="697"/>
      <c r="V15" s="696"/>
      <c r="W15" s="697"/>
      <c r="X15" s="1346"/>
      <c r="Y15" s="3738"/>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38"/>
      <c r="Q17" s="1343"/>
      <c r="R17" s="696"/>
      <c r="S17" s="697"/>
      <c r="T17" s="696"/>
      <c r="U17" s="697"/>
      <c r="V17" s="696"/>
      <c r="W17" s="697"/>
      <c r="X17" s="1346"/>
      <c r="Y17" s="3738"/>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38"/>
      <c r="Q19" s="1343"/>
      <c r="R19" s="696"/>
      <c r="S19" s="697"/>
      <c r="T19" s="696"/>
      <c r="U19" s="697"/>
      <c r="V19" s="696"/>
      <c r="W19" s="697"/>
      <c r="X19" s="1346"/>
      <c r="Y19" s="3738"/>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38"/>
      <c r="Q21" s="1343"/>
      <c r="R21" s="696"/>
      <c r="S21" s="697"/>
      <c r="T21" s="696"/>
      <c r="U21" s="697"/>
      <c r="V21" s="696"/>
      <c r="W21" s="697"/>
      <c r="X21" s="1346"/>
      <c r="Y21" s="3738"/>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38"/>
      <c r="Q24" s="1343">
        <f t="shared" ref="Q24:Q34"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93"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42"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42"/>
      <c r="Q27" s="698" t="str">
        <f t="shared" si="11"/>
        <v>成新率</v>
      </c>
      <c r="R27" s="699" t="s">
        <v>14</v>
      </c>
      <c r="S27" s="700" t="e">
        <f t="shared" si="12"/>
        <v>#N/A</v>
      </c>
      <c r="T27" s="699" t="s">
        <v>14</v>
      </c>
      <c r="U27" s="700" t="e">
        <f t="shared" si="13"/>
        <v>#N/A</v>
      </c>
      <c r="V27" s="699" t="s">
        <v>14</v>
      </c>
      <c r="W27" s="700" t="e">
        <f t="shared" si="14"/>
        <v>#N/A</v>
      </c>
      <c r="X27" s="701"/>
      <c r="Y27" s="3742"/>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42"/>
      <c r="Q28" s="1343" t="str">
        <f t="shared" si="11"/>
        <v>物业等级</v>
      </c>
      <c r="R28" s="696" t="s">
        <v>14</v>
      </c>
      <c r="S28" s="697">
        <f t="shared" si="12"/>
        <v>100</v>
      </c>
      <c r="T28" s="696" t="s">
        <v>14</v>
      </c>
      <c r="U28" s="697">
        <f t="shared" si="13"/>
        <v>100</v>
      </c>
      <c r="V28" s="696" t="s">
        <v>14</v>
      </c>
      <c r="W28" s="697">
        <f t="shared" si="14"/>
        <v>100</v>
      </c>
      <c r="X28" s="1346"/>
      <c r="Y28" s="3742"/>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42"/>
      <c r="Q29" s="1343" t="str">
        <f t="shared" si="11"/>
        <v>有无电梯</v>
      </c>
      <c r="R29" s="696" t="s">
        <v>14</v>
      </c>
      <c r="S29" s="697">
        <f t="shared" si="12"/>
        <v>100</v>
      </c>
      <c r="T29" s="696" t="s">
        <v>14</v>
      </c>
      <c r="U29" s="697">
        <f t="shared" si="13"/>
        <v>100</v>
      </c>
      <c r="V29" s="696" t="s">
        <v>14</v>
      </c>
      <c r="W29" s="697">
        <f t="shared" si="14"/>
        <v>100</v>
      </c>
      <c r="X29" s="1346"/>
      <c r="Y29" s="3742"/>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42"/>
      <c r="Q30" s="1343" t="str">
        <f t="shared" si="11"/>
        <v>建筑面积</v>
      </c>
      <c r="R30" s="696" t="s">
        <v>14</v>
      </c>
      <c r="S30" s="697" t="e">
        <f t="shared" si="12"/>
        <v>#N/A</v>
      </c>
      <c r="T30" s="696" t="s">
        <v>14</v>
      </c>
      <c r="U30" s="697" t="e">
        <f t="shared" si="13"/>
        <v>#N/A</v>
      </c>
      <c r="V30" s="696" t="s">
        <v>14</v>
      </c>
      <c r="W30" s="697" t="e">
        <f t="shared" si="14"/>
        <v>#N/A</v>
      </c>
      <c r="X30" s="1346"/>
      <c r="Y30" s="3742"/>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42"/>
      <c r="Q31" s="1334" t="str">
        <f t="shared" si="11"/>
        <v>是否封闭</v>
      </c>
      <c r="R31" s="692" t="s">
        <v>14</v>
      </c>
      <c r="S31" s="693">
        <f t="shared" si="12"/>
        <v>100</v>
      </c>
      <c r="T31" s="692" t="s">
        <v>14</v>
      </c>
      <c r="U31" s="693">
        <f t="shared" si="13"/>
        <v>100</v>
      </c>
      <c r="V31" s="692" t="s">
        <v>14</v>
      </c>
      <c r="W31" s="693">
        <f t="shared" si="14"/>
        <v>100</v>
      </c>
      <c r="X31" s="694"/>
      <c r="Y31" s="374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42" t="s">
        <v>1695</v>
      </c>
      <c r="Q32" s="1343">
        <f t="shared" si="11"/>
        <v>111</v>
      </c>
      <c r="R32" s="696" t="s">
        <v>14</v>
      </c>
      <c r="S32" s="697">
        <f t="shared" si="12"/>
        <v>100</v>
      </c>
      <c r="T32" s="696" t="s">
        <v>14</v>
      </c>
      <c r="U32" s="697">
        <f t="shared" si="13"/>
        <v>100</v>
      </c>
      <c r="V32" s="696" t="s">
        <v>14</v>
      </c>
      <c r="W32" s="697">
        <f t="shared" si="14"/>
        <v>100</v>
      </c>
      <c r="X32" s="1346"/>
      <c r="Y32" s="3742"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42"/>
      <c r="Q33" s="1343">
        <f t="shared" si="11"/>
        <v>111</v>
      </c>
      <c r="R33" s="696" t="s">
        <v>14</v>
      </c>
      <c r="S33" s="697">
        <f t="shared" si="12"/>
        <v>100</v>
      </c>
      <c r="T33" s="696" t="s">
        <v>14</v>
      </c>
      <c r="U33" s="697">
        <f t="shared" si="13"/>
        <v>100</v>
      </c>
      <c r="V33" s="696" t="s">
        <v>14</v>
      </c>
      <c r="W33" s="697">
        <f t="shared" si="14"/>
        <v>100</v>
      </c>
      <c r="X33" s="1346"/>
      <c r="Y33" s="374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35" t="str">
        <f>A35</f>
        <v>成交单价（元/平方米）</v>
      </c>
      <c r="Q35" s="3735"/>
      <c r="R35" s="3736">
        <f>E35</f>
        <v>0</v>
      </c>
      <c r="S35" s="3736"/>
      <c r="T35" s="3736">
        <f>G35</f>
        <v>0</v>
      </c>
      <c r="U35" s="3736"/>
      <c r="V35" s="3736">
        <f>I35</f>
        <v>0</v>
      </c>
      <c r="W35" s="3736"/>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32" t="str">
        <f>A37</f>
        <v>估价对象XX用房的比较价值（楼面单价，元/平方米）</v>
      </c>
      <c r="Q37" s="3733"/>
      <c r="R37" s="3794" t="e">
        <f>IF(F1="售价",ROUND(IF(D36="简单平均",AVERAGE(R36:W36),R36*F36+T36*H36+V36*J36),0),ROUND(IF(D36="简单平均",AVERAGE(R36:V36),R36*F36+T36*H36+V36*J36),1))</f>
        <v>#DIV/0!</v>
      </c>
      <c r="S37" s="3794"/>
      <c r="T37" s="3794"/>
      <c r="U37" s="3794"/>
      <c r="V37" s="3794"/>
      <c r="W37" s="3794"/>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2024-4</v>
      </c>
      <c r="D46" s="1176">
        <f>EDATE(C46,-1)</f>
        <v>45352</v>
      </c>
      <c r="E46" s="1176">
        <f t="shared" ref="E46:O46" si="16">EDATE(D46,-1)</f>
        <v>45323</v>
      </c>
      <c r="F46" s="1176">
        <f t="shared" si="16"/>
        <v>45292</v>
      </c>
      <c r="G46" s="1176">
        <f t="shared" si="16"/>
        <v>45261</v>
      </c>
      <c r="H46" s="1176">
        <f t="shared" si="16"/>
        <v>45231</v>
      </c>
      <c r="I46" s="1176">
        <f t="shared" si="16"/>
        <v>45200</v>
      </c>
      <c r="J46" s="1176">
        <f t="shared" si="16"/>
        <v>45170</v>
      </c>
      <c r="K46" s="1176">
        <f t="shared" si="16"/>
        <v>45139</v>
      </c>
      <c r="L46" s="1176">
        <f t="shared" si="16"/>
        <v>45108</v>
      </c>
      <c r="M46" s="1176">
        <f t="shared" si="16"/>
        <v>45078</v>
      </c>
      <c r="N46" s="1176">
        <f t="shared" si="16"/>
        <v>45047</v>
      </c>
      <c r="O46" s="1176">
        <f t="shared" si="16"/>
        <v>45017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30"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30"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30" s="108" customFormat="1" ht="15.75" thickBot="1">
      <c r="A7" s="356" t="s">
        <v>1678</v>
      </c>
      <c r="B7" s="357"/>
      <c r="C7" s="358">
        <f>'数据-取费表'!B2</f>
        <v>45398</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110</v>
      </c>
      <c r="G10" s="408"/>
      <c r="H10" s="121">
        <f>ROUND(100/'数据-取费表'!G16,0)</f>
        <v>110</v>
      </c>
      <c r="I10" s="408"/>
      <c r="J10" s="121">
        <f>ROUND(100/'数据-取费表'!G16,0)</f>
        <v>110</v>
      </c>
      <c r="K10" s="614"/>
      <c r="L10" s="2708"/>
      <c r="M10" s="2709"/>
      <c r="N10" s="2709"/>
      <c r="O10" s="2762"/>
      <c r="P10" s="3735"/>
      <c r="Q10" s="1334" t="str">
        <f t="shared" si="6"/>
        <v>土地使用年限（年）</v>
      </c>
      <c r="R10" s="692" t="s">
        <v>14</v>
      </c>
      <c r="S10" s="693">
        <f t="shared" si="0"/>
        <v>110</v>
      </c>
      <c r="T10" s="692" t="s">
        <v>14</v>
      </c>
      <c r="U10" s="693">
        <f t="shared" si="1"/>
        <v>110</v>
      </c>
      <c r="V10" s="692" t="s">
        <v>14</v>
      </c>
      <c r="W10" s="693">
        <f t="shared" si="2"/>
        <v>110</v>
      </c>
      <c r="X10" s="694"/>
      <c r="Y10" s="3587"/>
      <c r="Z10" s="52" t="str">
        <f t="shared" si="7"/>
        <v>土地使用年限（年）</v>
      </c>
      <c r="AA10" s="695">
        <f t="shared" si="3"/>
        <v>0.90909090909090906</v>
      </c>
      <c r="AB10" s="695">
        <f t="shared" si="4"/>
        <v>0.90909090909090906</v>
      </c>
      <c r="AC10" s="695">
        <f t="shared" si="5"/>
        <v>0.90909090909090906</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5"/>
      <c r="Q12" s="1334" t="str">
        <f t="shared" si="6"/>
        <v>配建</v>
      </c>
      <c r="R12" s="692" t="s">
        <v>14</v>
      </c>
      <c r="S12" s="693">
        <f t="shared" si="0"/>
        <v>100</v>
      </c>
      <c r="T12" s="692" t="s">
        <v>14</v>
      </c>
      <c r="U12" s="693">
        <f t="shared" si="1"/>
        <v>100</v>
      </c>
      <c r="V12" s="692" t="s">
        <v>14</v>
      </c>
      <c r="W12" s="693">
        <f t="shared" si="2"/>
        <v>100</v>
      </c>
      <c r="X12" s="694"/>
      <c r="Y12" s="3587"/>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37" t="s">
        <v>1690</v>
      </c>
      <c r="Q15" s="1343" t="str">
        <f t="shared" si="6"/>
        <v>居住社区成熟度</v>
      </c>
      <c r="R15" s="696" t="s">
        <v>14</v>
      </c>
      <c r="S15" s="697">
        <f t="shared" si="0"/>
        <v>100</v>
      </c>
      <c r="T15" s="696" t="s">
        <v>14</v>
      </c>
      <c r="U15" s="697">
        <f t="shared" si="1"/>
        <v>100</v>
      </c>
      <c r="V15" s="696" t="s">
        <v>14</v>
      </c>
      <c r="W15" s="697">
        <f t="shared" si="2"/>
        <v>100</v>
      </c>
      <c r="X15" s="1346"/>
      <c r="Y15" s="3737"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38"/>
      <c r="Q17" s="1343" t="str">
        <f>B17</f>
        <v>商业繁华度</v>
      </c>
      <c r="R17" s="696" t="s">
        <v>14</v>
      </c>
      <c r="S17" s="697">
        <f>F17</f>
        <v>100</v>
      </c>
      <c r="T17" s="696" t="s">
        <v>14</v>
      </c>
      <c r="U17" s="697">
        <f>H17</f>
        <v>100</v>
      </c>
      <c r="V17" s="696" t="s">
        <v>14</v>
      </c>
      <c r="W17" s="697">
        <f>J17</f>
        <v>100</v>
      </c>
      <c r="X17" s="1346"/>
      <c r="Y17" s="3738"/>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38"/>
      <c r="Q19" s="1343" t="str">
        <f>B19</f>
        <v>办公集聚程度</v>
      </c>
      <c r="R19" s="696" t="s">
        <v>14</v>
      </c>
      <c r="S19" s="697">
        <f>F19</f>
        <v>100</v>
      </c>
      <c r="T19" s="696" t="s">
        <v>14</v>
      </c>
      <c r="U19" s="697">
        <f>H19</f>
        <v>100</v>
      </c>
      <c r="V19" s="696" t="s">
        <v>14</v>
      </c>
      <c r="W19" s="697">
        <f>J19</f>
        <v>100</v>
      </c>
      <c r="X19" s="1346"/>
      <c r="Y19" s="3738"/>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38"/>
      <c r="Q20" s="1343"/>
      <c r="R20" s="696"/>
      <c r="S20" s="697"/>
      <c r="T20" s="696"/>
      <c r="U20" s="697"/>
      <c r="V20" s="696"/>
      <c r="W20" s="697"/>
      <c r="X20" s="1346"/>
      <c r="Y20" s="3738"/>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38"/>
      <c r="Q21" s="1343" t="str">
        <f>B21</f>
        <v>交通便捷度</v>
      </c>
      <c r="R21" s="696" t="s">
        <v>14</v>
      </c>
      <c r="S21" s="697">
        <f>F21</f>
        <v>100</v>
      </c>
      <c r="T21" s="696" t="s">
        <v>14</v>
      </c>
      <c r="U21" s="697">
        <f>H21</f>
        <v>100</v>
      </c>
      <c r="V21" s="696" t="s">
        <v>14</v>
      </c>
      <c r="W21" s="697">
        <f>J21</f>
        <v>100</v>
      </c>
      <c r="X21" s="1346"/>
      <c r="Y21" s="3738"/>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38"/>
      <c r="Q23" s="1343" t="str">
        <f t="shared" ref="Q23:Q37" si="8">B23</f>
        <v>区域土地利用方向</v>
      </c>
      <c r="R23" s="696" t="s">
        <v>14</v>
      </c>
      <c r="S23" s="697">
        <f>F23</f>
        <v>100</v>
      </c>
      <c r="T23" s="696" t="s">
        <v>14</v>
      </c>
      <c r="U23" s="697">
        <f>H23</f>
        <v>100</v>
      </c>
      <c r="V23" s="696" t="s">
        <v>14</v>
      </c>
      <c r="W23" s="697">
        <f>J23</f>
        <v>100</v>
      </c>
      <c r="X23" s="1346"/>
      <c r="Y23" s="3738"/>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38"/>
      <c r="Q24" s="1343"/>
      <c r="R24" s="696"/>
      <c r="S24" s="697"/>
      <c r="T24" s="696"/>
      <c r="U24" s="697"/>
      <c r="V24" s="696"/>
      <c r="W24" s="697"/>
      <c r="X24" s="1346"/>
      <c r="Y24" s="3738"/>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38"/>
      <c r="Q25" s="1343" t="str">
        <f t="shared" si="8"/>
        <v>自然及人文环境状况</v>
      </c>
      <c r="R25" s="696" t="s">
        <v>14</v>
      </c>
      <c r="S25" s="697">
        <f>F25</f>
        <v>100</v>
      </c>
      <c r="T25" s="696" t="s">
        <v>14</v>
      </c>
      <c r="U25" s="697">
        <f>H25</f>
        <v>100</v>
      </c>
      <c r="V25" s="696" t="s">
        <v>14</v>
      </c>
      <c r="W25" s="697">
        <f>J25</f>
        <v>100</v>
      </c>
      <c r="X25" s="1346"/>
      <c r="Y25" s="3738"/>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38"/>
      <c r="Q26" s="1343"/>
      <c r="R26" s="696"/>
      <c r="S26" s="697"/>
      <c r="T26" s="696"/>
      <c r="U26" s="697"/>
      <c r="V26" s="696"/>
      <c r="W26" s="697"/>
      <c r="X26" s="1346"/>
      <c r="Y26" s="3738"/>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38"/>
      <c r="Q27" s="1334" t="str">
        <f t="shared" si="8"/>
        <v>公共配套设施</v>
      </c>
      <c r="R27" s="692" t="s">
        <v>14</v>
      </c>
      <c r="S27" s="693">
        <f>F27</f>
        <v>100</v>
      </c>
      <c r="T27" s="692" t="s">
        <v>14</v>
      </c>
      <c r="U27" s="693">
        <f>H27</f>
        <v>100</v>
      </c>
      <c r="V27" s="692" t="s">
        <v>14</v>
      </c>
      <c r="W27" s="693">
        <f>J27</f>
        <v>100</v>
      </c>
      <c r="X27" s="694"/>
      <c r="Y27" s="3738"/>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38"/>
      <c r="Q28" s="1334"/>
      <c r="R28" s="692"/>
      <c r="S28" s="693"/>
      <c r="T28" s="692"/>
      <c r="U28" s="693"/>
      <c r="V28" s="692"/>
      <c r="W28" s="693"/>
      <c r="X28" s="694"/>
      <c r="Y28" s="3738"/>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38"/>
      <c r="Q29" s="1334" t="str">
        <f t="shared" ref="Q29" si="9">B29</f>
        <v>基础设施水平</v>
      </c>
      <c r="R29" s="692" t="s">
        <v>14</v>
      </c>
      <c r="S29" s="693">
        <f>F29</f>
        <v>100</v>
      </c>
      <c r="T29" s="692" t="s">
        <v>14</v>
      </c>
      <c r="U29" s="693">
        <f>H29</f>
        <v>100</v>
      </c>
      <c r="V29" s="692" t="s">
        <v>14</v>
      </c>
      <c r="W29" s="693">
        <f>J29</f>
        <v>100</v>
      </c>
      <c r="X29" s="694"/>
      <c r="Y29" s="3738"/>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38"/>
      <c r="Q30" s="1334"/>
      <c r="R30" s="692"/>
      <c r="S30" s="693"/>
      <c r="T30" s="692"/>
      <c r="U30" s="693"/>
      <c r="V30" s="692"/>
      <c r="W30" s="693"/>
      <c r="X30" s="694"/>
      <c r="Y30" s="3738"/>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38"/>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8"/>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38"/>
      <c r="Q32" s="1343" t="str">
        <f t="shared" si="8"/>
        <v>毗邻道路的类型与等级</v>
      </c>
      <c r="R32" s="696" t="s">
        <v>14</v>
      </c>
      <c r="S32" s="697">
        <f t="shared" si="10"/>
        <v>100</v>
      </c>
      <c r="T32" s="696" t="s">
        <v>14</v>
      </c>
      <c r="U32" s="697">
        <f t="shared" si="11"/>
        <v>100</v>
      </c>
      <c r="V32" s="696" t="s">
        <v>14</v>
      </c>
      <c r="W32" s="697">
        <f t="shared" si="12"/>
        <v>100</v>
      </c>
      <c r="X32" s="1346"/>
      <c r="Y32" s="3738"/>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38"/>
      <c r="Q33" s="1343"/>
      <c r="R33" s="696"/>
      <c r="S33" s="697"/>
      <c r="T33" s="696"/>
      <c r="U33" s="697"/>
      <c r="V33" s="696"/>
      <c r="W33" s="697"/>
      <c r="X33" s="1346"/>
      <c r="Y33" s="3738"/>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38"/>
      <c r="Q34" s="1343" t="str">
        <f t="shared" si="8"/>
        <v>土地级别</v>
      </c>
      <c r="R34" s="696" t="s">
        <v>14</v>
      </c>
      <c r="S34" s="697">
        <f t="shared" si="10"/>
        <v>100</v>
      </c>
      <c r="T34" s="696" t="s">
        <v>14</v>
      </c>
      <c r="U34" s="697">
        <f t="shared" si="11"/>
        <v>100</v>
      </c>
      <c r="V34" s="696" t="s">
        <v>14</v>
      </c>
      <c r="W34" s="697">
        <f t="shared" si="12"/>
        <v>100</v>
      </c>
      <c r="X34" s="1346"/>
      <c r="Y34" s="3738"/>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38"/>
      <c r="Q35" s="1343">
        <f t="shared" si="8"/>
        <v>111</v>
      </c>
      <c r="R35" s="696" t="s">
        <v>14</v>
      </c>
      <c r="S35" s="697">
        <f t="shared" si="10"/>
        <v>100</v>
      </c>
      <c r="T35" s="696" t="s">
        <v>14</v>
      </c>
      <c r="U35" s="697">
        <f t="shared" si="11"/>
        <v>100</v>
      </c>
      <c r="V35" s="696" t="s">
        <v>14</v>
      </c>
      <c r="W35" s="697">
        <f t="shared" si="12"/>
        <v>100</v>
      </c>
      <c r="X35" s="1346"/>
      <c r="Y35" s="3738"/>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93" t="s">
        <v>1695</v>
      </c>
      <c r="Q36" s="1343">
        <f t="shared" si="8"/>
        <v>111</v>
      </c>
      <c r="R36" s="696" t="s">
        <v>14</v>
      </c>
      <c r="S36" s="697">
        <f t="shared" si="10"/>
        <v>100</v>
      </c>
      <c r="T36" s="696" t="s">
        <v>14</v>
      </c>
      <c r="U36" s="697">
        <f t="shared" si="11"/>
        <v>100</v>
      </c>
      <c r="V36" s="696" t="s">
        <v>14</v>
      </c>
      <c r="W36" s="697">
        <f t="shared" si="12"/>
        <v>100</v>
      </c>
      <c r="X36" s="1346"/>
      <c r="Y36" s="3742"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42"/>
      <c r="Q37" s="1343">
        <f t="shared" si="8"/>
        <v>111</v>
      </c>
      <c r="R37" s="699" t="s">
        <v>14</v>
      </c>
      <c r="S37" s="700">
        <f t="shared" si="10"/>
        <v>100</v>
      </c>
      <c r="T37" s="699" t="s">
        <v>14</v>
      </c>
      <c r="U37" s="700">
        <f t="shared" si="11"/>
        <v>100</v>
      </c>
      <c r="V37" s="699" t="s">
        <v>14</v>
      </c>
      <c r="W37" s="700">
        <f t="shared" si="12"/>
        <v>100</v>
      </c>
      <c r="X37" s="701"/>
      <c r="Y37" s="3742"/>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42"/>
      <c r="Q38" s="1343" t="str">
        <f>B38</f>
        <v>宗地面积</v>
      </c>
      <c r="R38" s="696" t="s">
        <v>14</v>
      </c>
      <c r="S38" s="697" t="e">
        <f t="shared" si="10"/>
        <v>#N/A</v>
      </c>
      <c r="T38" s="696" t="s">
        <v>14</v>
      </c>
      <c r="U38" s="697" t="e">
        <f t="shared" si="11"/>
        <v>#N/A</v>
      </c>
      <c r="V38" s="696" t="s">
        <v>14</v>
      </c>
      <c r="W38" s="697" t="e">
        <f t="shared" si="12"/>
        <v>#N/A</v>
      </c>
      <c r="X38" s="1346"/>
      <c r="Y38" s="3742"/>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42"/>
      <c r="Q39" s="1343" t="str">
        <f t="shared" ref="Q39:Q45" si="14">B39</f>
        <v>宗地形状</v>
      </c>
      <c r="R39" s="696" t="s">
        <v>14</v>
      </c>
      <c r="S39" s="697">
        <f t="shared" si="10"/>
        <v>100</v>
      </c>
      <c r="T39" s="696" t="s">
        <v>14</v>
      </c>
      <c r="U39" s="697">
        <f t="shared" si="11"/>
        <v>100</v>
      </c>
      <c r="V39" s="696" t="s">
        <v>14</v>
      </c>
      <c r="W39" s="697">
        <f t="shared" si="12"/>
        <v>100</v>
      </c>
      <c r="X39" s="1346"/>
      <c r="Y39" s="3742"/>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42"/>
      <c r="Q40" s="1343" t="str">
        <f t="shared" si="14"/>
        <v>临街宽度及深度</v>
      </c>
      <c r="R40" s="696" t="s">
        <v>14</v>
      </c>
      <c r="S40" s="697">
        <f t="shared" si="10"/>
        <v>100</v>
      </c>
      <c r="T40" s="696" t="s">
        <v>14</v>
      </c>
      <c r="U40" s="697">
        <f t="shared" si="11"/>
        <v>100</v>
      </c>
      <c r="V40" s="696" t="s">
        <v>14</v>
      </c>
      <c r="W40" s="697">
        <f t="shared" si="12"/>
        <v>100</v>
      </c>
      <c r="X40" s="1346"/>
      <c r="Y40" s="3742"/>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42"/>
      <c r="Q41" s="1343" t="str">
        <f t="shared" si="14"/>
        <v>宗地开发程度</v>
      </c>
      <c r="R41" s="692" t="s">
        <v>14</v>
      </c>
      <c r="S41" s="693">
        <f t="shared" si="10"/>
        <v>100</v>
      </c>
      <c r="T41" s="692" t="s">
        <v>14</v>
      </c>
      <c r="U41" s="693">
        <f t="shared" si="11"/>
        <v>100</v>
      </c>
      <c r="V41" s="692" t="s">
        <v>14</v>
      </c>
      <c r="W41" s="693">
        <f t="shared" si="12"/>
        <v>100</v>
      </c>
      <c r="X41" s="694"/>
      <c r="Y41" s="3742"/>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42" t="s">
        <v>1695</v>
      </c>
      <c r="Q42" s="1343" t="str">
        <f t="shared" si="14"/>
        <v>工程地质条件</v>
      </c>
      <c r="R42" s="696" t="s">
        <v>14</v>
      </c>
      <c r="S42" s="697">
        <f t="shared" si="10"/>
        <v>100</v>
      </c>
      <c r="T42" s="696" t="s">
        <v>14</v>
      </c>
      <c r="U42" s="697">
        <f t="shared" si="11"/>
        <v>100</v>
      </c>
      <c r="V42" s="696" t="s">
        <v>14</v>
      </c>
      <c r="W42" s="697">
        <f t="shared" si="12"/>
        <v>100</v>
      </c>
      <c r="X42" s="1346"/>
      <c r="Y42" s="3742"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42"/>
      <c r="Q43" s="1343">
        <f t="shared" si="14"/>
        <v>111</v>
      </c>
      <c r="R43" s="696" t="s">
        <v>14</v>
      </c>
      <c r="S43" s="697">
        <f t="shared" si="10"/>
        <v>100</v>
      </c>
      <c r="T43" s="696" t="s">
        <v>14</v>
      </c>
      <c r="U43" s="697">
        <f t="shared" si="11"/>
        <v>100</v>
      </c>
      <c r="V43" s="696" t="s">
        <v>14</v>
      </c>
      <c r="W43" s="697">
        <f t="shared" si="12"/>
        <v>100</v>
      </c>
      <c r="X43" s="1346"/>
      <c r="Y43" s="374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42"/>
      <c r="Q44" s="1343">
        <f t="shared" si="14"/>
        <v>111</v>
      </c>
      <c r="R44" s="696" t="s">
        <v>14</v>
      </c>
      <c r="S44" s="697">
        <f t="shared" si="10"/>
        <v>100</v>
      </c>
      <c r="T44" s="696" t="s">
        <v>14</v>
      </c>
      <c r="U44" s="697">
        <f t="shared" si="11"/>
        <v>100</v>
      </c>
      <c r="V44" s="696" t="s">
        <v>14</v>
      </c>
      <c r="W44" s="697">
        <f t="shared" si="12"/>
        <v>100</v>
      </c>
      <c r="X44" s="1346"/>
      <c r="Y44" s="374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42"/>
      <c r="Q45" s="1343">
        <f t="shared" si="14"/>
        <v>111</v>
      </c>
      <c r="R45" s="699" t="s">
        <v>14</v>
      </c>
      <c r="S45" s="700">
        <f t="shared" si="10"/>
        <v>100</v>
      </c>
      <c r="T45" s="699" t="s">
        <v>14</v>
      </c>
      <c r="U45" s="700">
        <f t="shared" si="11"/>
        <v>100</v>
      </c>
      <c r="V45" s="699" t="s">
        <v>14</v>
      </c>
      <c r="W45" s="700">
        <f t="shared" si="12"/>
        <v>100</v>
      </c>
      <c r="X45" s="701"/>
      <c r="Y45" s="3742"/>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35" t="str">
        <f>A46</f>
        <v>成交单价</v>
      </c>
      <c r="Q46" s="3735"/>
      <c r="R46" s="3766">
        <f>E46</f>
        <v>0</v>
      </c>
      <c r="S46" s="3766"/>
      <c r="T46" s="3766">
        <f>G46</f>
        <v>0</v>
      </c>
      <c r="U46" s="3766"/>
      <c r="V46" s="3766">
        <f>I46</f>
        <v>0</v>
      </c>
      <c r="W46" s="3766"/>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35" t="str">
        <f>A47</f>
        <v>比较价值（元/平方米）</v>
      </c>
      <c r="Q47" s="3735"/>
      <c r="R47" s="3795" t="e">
        <f>ROUND(PRODUCT(R46,AA7:AA45),0)</f>
        <v>#DIV/0!</v>
      </c>
      <c r="S47" s="3795"/>
      <c r="T47" s="3795" t="e">
        <f>ROUND(PRODUCT(T46,AB7:AB45),0)</f>
        <v>#DIV/0!</v>
      </c>
      <c r="U47" s="3795"/>
      <c r="V47" s="3795" t="e">
        <f>ROUND(PRODUCT(V46,AC7:AC45),0)</f>
        <v>#DIV/0!</v>
      </c>
      <c r="W47" s="3795"/>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32" t="str">
        <f>A48</f>
        <v>估价对象XX用房的比较价值（楼面单价，元/平方米）</v>
      </c>
      <c r="Q48" s="3733"/>
      <c r="R48" s="3796" t="e">
        <f>ROUND(IF(D47="简单平均",AVERAGE(R47:W47),R47*F47+T47*H47+V47*J47),0)</f>
        <v>#DIV/0!</v>
      </c>
      <c r="S48" s="3796"/>
      <c r="T48" s="3796"/>
      <c r="U48" s="3796"/>
      <c r="V48" s="3796"/>
      <c r="W48" s="3796"/>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50" t="s">
        <v>1886</v>
      </c>
      <c r="H55" s="3797"/>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23228.35</v>
      </c>
      <c r="F56" s="877" t="e">
        <f t="shared" ref="F56:F64" si="15">ROUND(B56*E56/10000,0)</f>
        <v>#DIV/0!</v>
      </c>
      <c r="G56" s="3746"/>
      <c r="H56" s="3735"/>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23228.35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2024-4-1</v>
      </c>
      <c r="D67" s="683">
        <f>EDATE(C67,-3)</f>
        <v>45292</v>
      </c>
      <c r="E67" s="683">
        <f>EDATE(D67,-3)</f>
        <v>45200</v>
      </c>
      <c r="F67" s="683">
        <f t="shared" ref="F67:O67" si="18">EDATE(E67,-3)</f>
        <v>45108</v>
      </c>
      <c r="G67" s="683">
        <f t="shared" si="18"/>
        <v>45017</v>
      </c>
      <c r="H67" s="683">
        <f t="shared" si="18"/>
        <v>44927</v>
      </c>
      <c r="I67" s="683">
        <f t="shared" si="18"/>
        <v>44835</v>
      </c>
      <c r="J67" s="683">
        <f t="shared" si="18"/>
        <v>44743</v>
      </c>
      <c r="K67" s="683">
        <f t="shared" si="18"/>
        <v>44652</v>
      </c>
      <c r="L67" s="683">
        <f t="shared" si="18"/>
        <v>44562</v>
      </c>
      <c r="M67" s="683">
        <f t="shared" si="18"/>
        <v>44470</v>
      </c>
      <c r="N67" s="683">
        <f t="shared" si="18"/>
        <v>44378</v>
      </c>
      <c r="O67" s="683">
        <f t="shared" si="18"/>
        <v>44287</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2024-2</v>
      </c>
      <c r="D69" s="1173" t="str">
        <f>YEAR(D67)&amp;"-"&amp;ROUNDUP(MONTH(D67)/3,0)</f>
        <v>2024-1</v>
      </c>
      <c r="E69" s="1173" t="str">
        <f t="shared" ref="E69:O69" si="19">YEAR(E67)&amp;"-"&amp;ROUNDUP(MONTH(E67)/3,0)</f>
        <v>2023-4</v>
      </c>
      <c r="F69" s="1173" t="str">
        <f t="shared" si="19"/>
        <v>2023-3</v>
      </c>
      <c r="G69" s="1173" t="str">
        <f t="shared" si="19"/>
        <v>2023-2</v>
      </c>
      <c r="H69" s="1173" t="str">
        <f t="shared" si="19"/>
        <v>2023-1</v>
      </c>
      <c r="I69" s="1173" t="str">
        <f t="shared" si="19"/>
        <v>2022-4</v>
      </c>
      <c r="J69" s="1173" t="str">
        <f t="shared" si="19"/>
        <v>2022-3</v>
      </c>
      <c r="K69" s="1173" t="str">
        <f t="shared" si="19"/>
        <v>2022-2</v>
      </c>
      <c r="L69" s="1173" t="str">
        <f t="shared" si="19"/>
        <v>2022-1</v>
      </c>
      <c r="M69" s="1173" t="str">
        <f t="shared" si="19"/>
        <v>2021-4</v>
      </c>
      <c r="N69" s="1173" t="str">
        <f t="shared" si="19"/>
        <v>2021-3</v>
      </c>
      <c r="O69" s="1173" t="str">
        <f t="shared" si="19"/>
        <v>2021-2</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98" t="s">
        <v>1918</v>
      </c>
      <c r="D6" s="3799"/>
      <c r="E6" s="3800" t="s">
        <v>1918</v>
      </c>
      <c r="F6" s="3801"/>
      <c r="G6" s="3798" t="s">
        <v>1918</v>
      </c>
      <c r="H6" s="3799"/>
      <c r="I6" s="3798" t="s">
        <v>1918</v>
      </c>
      <c r="J6" s="3799"/>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45398</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110</v>
      </c>
      <c r="G10" s="377"/>
      <c r="H10" s="121">
        <f>ROUND(100/'数据-取费表'!G16,0)</f>
        <v>110</v>
      </c>
      <c r="I10" s="377"/>
      <c r="J10" s="121">
        <f>ROUND(100/'数据-取费表'!G16,0)</f>
        <v>110</v>
      </c>
      <c r="K10" s="614"/>
      <c r="L10" s="2708"/>
      <c r="M10" s="2709"/>
      <c r="N10" s="2709"/>
      <c r="O10" s="2762"/>
      <c r="P10" s="3735"/>
      <c r="Q10" s="1334" t="str">
        <f t="shared" si="6"/>
        <v>土地使用年限（年）</v>
      </c>
      <c r="R10" s="692" t="s">
        <v>14</v>
      </c>
      <c r="S10" s="693">
        <f t="shared" si="0"/>
        <v>110</v>
      </c>
      <c r="T10" s="692" t="s">
        <v>14</v>
      </c>
      <c r="U10" s="693">
        <f t="shared" si="1"/>
        <v>110</v>
      </c>
      <c r="V10" s="692" t="s">
        <v>14</v>
      </c>
      <c r="W10" s="693">
        <f t="shared" si="2"/>
        <v>110</v>
      </c>
      <c r="X10" s="694"/>
      <c r="Y10" s="3587"/>
      <c r="Z10" s="52" t="str">
        <f t="shared" si="7"/>
        <v>土地使用年限（年）</v>
      </c>
      <c r="AA10" s="695">
        <f t="shared" si="3"/>
        <v>0.90909090909090906</v>
      </c>
      <c r="AB10" s="695">
        <f t="shared" si="4"/>
        <v>0.90909090909090906</v>
      </c>
      <c r="AC10" s="695">
        <f t="shared" si="5"/>
        <v>0.90909090909090906</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38"/>
      <c r="Q19" s="1343" t="str">
        <f t="shared" ref="Q19:Q33" si="8">B19</f>
        <v>区域土地利用方向</v>
      </c>
      <c r="R19" s="696" t="s">
        <v>14</v>
      </c>
      <c r="S19" s="697">
        <f>F19</f>
        <v>100</v>
      </c>
      <c r="T19" s="696" t="s">
        <v>14</v>
      </c>
      <c r="U19" s="697">
        <f>H19</f>
        <v>100</v>
      </c>
      <c r="V19" s="696" t="s">
        <v>14</v>
      </c>
      <c r="W19" s="697">
        <f>J19</f>
        <v>100</v>
      </c>
      <c r="X19" s="1346"/>
      <c r="Y19" s="3738"/>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38"/>
      <c r="Q20" s="1343"/>
      <c r="R20" s="696"/>
      <c r="S20" s="697"/>
      <c r="T20" s="696"/>
      <c r="U20" s="697"/>
      <c r="V20" s="696"/>
      <c r="W20" s="697"/>
      <c r="X20" s="1346"/>
      <c r="Y20" s="3738"/>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38"/>
      <c r="Q21" s="1343" t="str">
        <f t="shared" si="8"/>
        <v>环境状况</v>
      </c>
      <c r="R21" s="696" t="s">
        <v>14</v>
      </c>
      <c r="S21" s="697">
        <f>F21</f>
        <v>100</v>
      </c>
      <c r="T21" s="696" t="s">
        <v>14</v>
      </c>
      <c r="U21" s="697">
        <f>H21</f>
        <v>100</v>
      </c>
      <c r="V21" s="696" t="s">
        <v>14</v>
      </c>
      <c r="W21" s="697">
        <f>J21</f>
        <v>100</v>
      </c>
      <c r="X21" s="1346"/>
      <c r="Y21" s="3738"/>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38"/>
      <c r="Q23" s="1334" t="str">
        <f t="shared" si="8"/>
        <v>公共配套设施</v>
      </c>
      <c r="R23" s="692" t="s">
        <v>14</v>
      </c>
      <c r="S23" s="693">
        <f>F23</f>
        <v>100</v>
      </c>
      <c r="T23" s="692" t="s">
        <v>14</v>
      </c>
      <c r="U23" s="693">
        <f>H23</f>
        <v>100</v>
      </c>
      <c r="V23" s="692" t="s">
        <v>14</v>
      </c>
      <c r="W23" s="693">
        <f>J23</f>
        <v>100</v>
      </c>
      <c r="X23" s="694"/>
      <c r="Y23" s="3738"/>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38"/>
      <c r="Q24" s="1334"/>
      <c r="R24" s="692"/>
      <c r="S24" s="693"/>
      <c r="T24" s="692"/>
      <c r="U24" s="693"/>
      <c r="V24" s="692"/>
      <c r="W24" s="693"/>
      <c r="X24" s="694"/>
      <c r="Y24" s="3738"/>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38"/>
      <c r="Q25" s="1334" t="str">
        <f t="shared" ref="Q25" si="9">B25</f>
        <v>基础设施水平</v>
      </c>
      <c r="R25" s="692" t="s">
        <v>14</v>
      </c>
      <c r="S25" s="693">
        <f>F25</f>
        <v>100</v>
      </c>
      <c r="T25" s="692" t="s">
        <v>14</v>
      </c>
      <c r="U25" s="693">
        <f>H25</f>
        <v>100</v>
      </c>
      <c r="V25" s="692" t="s">
        <v>14</v>
      </c>
      <c r="W25" s="693">
        <f>J25</f>
        <v>100</v>
      </c>
      <c r="X25" s="694"/>
      <c r="Y25" s="3738"/>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38"/>
      <c r="Q26" s="1334"/>
      <c r="R26" s="692"/>
      <c r="S26" s="693"/>
      <c r="T26" s="692"/>
      <c r="U26" s="693"/>
      <c r="V26" s="692"/>
      <c r="W26" s="693"/>
      <c r="X26" s="694"/>
      <c r="Y26" s="3738"/>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38"/>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8"/>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38"/>
      <c r="Q28" s="1343" t="str">
        <f t="shared" si="8"/>
        <v>毗邻道路的类型与等级</v>
      </c>
      <c r="R28" s="696" t="s">
        <v>14</v>
      </c>
      <c r="S28" s="697">
        <f t="shared" si="10"/>
        <v>100</v>
      </c>
      <c r="T28" s="696" t="s">
        <v>14</v>
      </c>
      <c r="U28" s="697">
        <f t="shared" si="11"/>
        <v>100</v>
      </c>
      <c r="V28" s="696" t="s">
        <v>14</v>
      </c>
      <c r="W28" s="697">
        <f t="shared" si="12"/>
        <v>100</v>
      </c>
      <c r="X28" s="1346"/>
      <c r="Y28" s="3738"/>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38"/>
      <c r="Q29" s="1343"/>
      <c r="R29" s="696"/>
      <c r="S29" s="697"/>
      <c r="T29" s="696"/>
      <c r="U29" s="697"/>
      <c r="V29" s="696"/>
      <c r="W29" s="697"/>
      <c r="X29" s="1346"/>
      <c r="Y29" s="3738"/>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38"/>
      <c r="Q30" s="1343" t="str">
        <f t="shared" si="8"/>
        <v>土地级别</v>
      </c>
      <c r="R30" s="696" t="s">
        <v>14</v>
      </c>
      <c r="S30" s="697">
        <f t="shared" si="10"/>
        <v>100</v>
      </c>
      <c r="T30" s="696" t="s">
        <v>14</v>
      </c>
      <c r="U30" s="697">
        <f t="shared" si="11"/>
        <v>100</v>
      </c>
      <c r="V30" s="696" t="s">
        <v>14</v>
      </c>
      <c r="W30" s="697">
        <f t="shared" si="12"/>
        <v>100</v>
      </c>
      <c r="X30" s="1346"/>
      <c r="Y30" s="3738"/>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38"/>
      <c r="Q31" s="1343">
        <f t="shared" si="8"/>
        <v>111</v>
      </c>
      <c r="R31" s="696" t="s">
        <v>14</v>
      </c>
      <c r="S31" s="697">
        <f t="shared" si="10"/>
        <v>100</v>
      </c>
      <c r="T31" s="696" t="s">
        <v>14</v>
      </c>
      <c r="U31" s="697">
        <f t="shared" si="11"/>
        <v>100</v>
      </c>
      <c r="V31" s="696" t="s">
        <v>14</v>
      </c>
      <c r="W31" s="697">
        <f t="shared" si="12"/>
        <v>100</v>
      </c>
      <c r="X31" s="1346"/>
      <c r="Y31" s="3738"/>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93" t="s">
        <v>1695</v>
      </c>
      <c r="Q32" s="1343">
        <f t="shared" si="8"/>
        <v>111</v>
      </c>
      <c r="R32" s="696" t="s">
        <v>14</v>
      </c>
      <c r="S32" s="697">
        <f t="shared" si="10"/>
        <v>100</v>
      </c>
      <c r="T32" s="696" t="s">
        <v>14</v>
      </c>
      <c r="U32" s="697">
        <f t="shared" si="11"/>
        <v>100</v>
      </c>
      <c r="V32" s="696" t="s">
        <v>14</v>
      </c>
      <c r="W32" s="697">
        <f t="shared" si="12"/>
        <v>100</v>
      </c>
      <c r="X32" s="1346"/>
      <c r="Y32" s="3742"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42"/>
      <c r="Q33" s="1343">
        <f t="shared" si="8"/>
        <v>111</v>
      </c>
      <c r="R33" s="699" t="s">
        <v>14</v>
      </c>
      <c r="S33" s="700">
        <f t="shared" si="10"/>
        <v>100</v>
      </c>
      <c r="T33" s="699" t="s">
        <v>14</v>
      </c>
      <c r="U33" s="700">
        <f t="shared" si="11"/>
        <v>100</v>
      </c>
      <c r="V33" s="699" t="s">
        <v>14</v>
      </c>
      <c r="W33" s="700">
        <f t="shared" si="12"/>
        <v>100</v>
      </c>
      <c r="X33" s="701"/>
      <c r="Y33" s="3742"/>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42"/>
      <c r="Q34" s="1343" t="str">
        <f>B34</f>
        <v>宗地面积</v>
      </c>
      <c r="R34" s="696" t="s">
        <v>14</v>
      </c>
      <c r="S34" s="697" t="e">
        <f t="shared" si="10"/>
        <v>#N/A</v>
      </c>
      <c r="T34" s="696" t="s">
        <v>14</v>
      </c>
      <c r="U34" s="697" t="e">
        <f t="shared" si="11"/>
        <v>#N/A</v>
      </c>
      <c r="V34" s="696" t="s">
        <v>14</v>
      </c>
      <c r="W34" s="697" t="e">
        <f t="shared" si="12"/>
        <v>#N/A</v>
      </c>
      <c r="X34" s="1346"/>
      <c r="Y34" s="3742"/>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42"/>
      <c r="Q35" s="1343" t="str">
        <f t="shared" ref="Q35:Q40" si="14">B35</f>
        <v>宗地形状</v>
      </c>
      <c r="R35" s="696" t="s">
        <v>14</v>
      </c>
      <c r="S35" s="697">
        <f t="shared" si="10"/>
        <v>100</v>
      </c>
      <c r="T35" s="696" t="s">
        <v>14</v>
      </c>
      <c r="U35" s="697">
        <f t="shared" si="11"/>
        <v>100</v>
      </c>
      <c r="V35" s="696" t="s">
        <v>14</v>
      </c>
      <c r="W35" s="697">
        <f t="shared" si="12"/>
        <v>100</v>
      </c>
      <c r="X35" s="1346"/>
      <c r="Y35" s="3742"/>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42"/>
      <c r="Q36" s="1343" t="str">
        <f t="shared" si="14"/>
        <v>宗地开发程度</v>
      </c>
      <c r="R36" s="692" t="s">
        <v>14</v>
      </c>
      <c r="S36" s="693">
        <f t="shared" si="10"/>
        <v>100</v>
      </c>
      <c r="T36" s="692" t="s">
        <v>14</v>
      </c>
      <c r="U36" s="693">
        <f t="shared" si="11"/>
        <v>100</v>
      </c>
      <c r="V36" s="692" t="s">
        <v>14</v>
      </c>
      <c r="W36" s="693">
        <f t="shared" si="12"/>
        <v>100</v>
      </c>
      <c r="X36" s="694"/>
      <c r="Y36" s="3742"/>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42" t="s">
        <v>1695</v>
      </c>
      <c r="Q37" s="1343" t="str">
        <f t="shared" si="14"/>
        <v>工程地质条件</v>
      </c>
      <c r="R37" s="696" t="s">
        <v>14</v>
      </c>
      <c r="S37" s="697">
        <f t="shared" si="10"/>
        <v>100</v>
      </c>
      <c r="T37" s="696" t="s">
        <v>14</v>
      </c>
      <c r="U37" s="697">
        <f t="shared" si="11"/>
        <v>100</v>
      </c>
      <c r="V37" s="696" t="s">
        <v>14</v>
      </c>
      <c r="W37" s="697">
        <f t="shared" si="12"/>
        <v>100</v>
      </c>
      <c r="X37" s="1346"/>
      <c r="Y37" s="3742"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42"/>
      <c r="Q38" s="1343">
        <f t="shared" si="14"/>
        <v>111</v>
      </c>
      <c r="R38" s="696" t="s">
        <v>14</v>
      </c>
      <c r="S38" s="697">
        <f t="shared" si="10"/>
        <v>100</v>
      </c>
      <c r="T38" s="696" t="s">
        <v>14</v>
      </c>
      <c r="U38" s="697">
        <f t="shared" si="11"/>
        <v>100</v>
      </c>
      <c r="V38" s="696" t="s">
        <v>14</v>
      </c>
      <c r="W38" s="697">
        <f t="shared" si="12"/>
        <v>100</v>
      </c>
      <c r="X38" s="1346"/>
      <c r="Y38" s="374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42"/>
      <c r="Q39" s="1343">
        <f t="shared" si="14"/>
        <v>111</v>
      </c>
      <c r="R39" s="696" t="s">
        <v>14</v>
      </c>
      <c r="S39" s="697">
        <f t="shared" si="10"/>
        <v>100</v>
      </c>
      <c r="T39" s="696" t="s">
        <v>14</v>
      </c>
      <c r="U39" s="697">
        <f t="shared" si="11"/>
        <v>100</v>
      </c>
      <c r="V39" s="696" t="s">
        <v>14</v>
      </c>
      <c r="W39" s="697">
        <f t="shared" si="12"/>
        <v>100</v>
      </c>
      <c r="X39" s="1346"/>
      <c r="Y39" s="374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42"/>
      <c r="Q40" s="1343">
        <f t="shared" si="14"/>
        <v>111</v>
      </c>
      <c r="R40" s="699" t="s">
        <v>14</v>
      </c>
      <c r="S40" s="700">
        <f t="shared" si="10"/>
        <v>100</v>
      </c>
      <c r="T40" s="699" t="s">
        <v>14</v>
      </c>
      <c r="U40" s="700">
        <f t="shared" si="11"/>
        <v>100</v>
      </c>
      <c r="V40" s="699" t="s">
        <v>14</v>
      </c>
      <c r="W40" s="700">
        <f t="shared" si="12"/>
        <v>100</v>
      </c>
      <c r="X40" s="701"/>
      <c r="Y40" s="3742"/>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35" t="str">
        <f>A41</f>
        <v>成交单价</v>
      </c>
      <c r="Q41" s="3735"/>
      <c r="R41" s="3766">
        <f>E41</f>
        <v>0</v>
      </c>
      <c r="S41" s="3766"/>
      <c r="T41" s="3766">
        <f>G41</f>
        <v>0</v>
      </c>
      <c r="U41" s="3766"/>
      <c r="V41" s="3766">
        <f>I41</f>
        <v>0</v>
      </c>
      <c r="W41" s="3766"/>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35" t="str">
        <f>A42</f>
        <v>比较价值（元/平方米）</v>
      </c>
      <c r="Q42" s="3735"/>
      <c r="R42" s="3795" t="e">
        <f>ROUND(PRODUCT(R41,AA7:AA40),0)</f>
        <v>#DIV/0!</v>
      </c>
      <c r="S42" s="3795"/>
      <c r="T42" s="3795" t="e">
        <f>ROUND(PRODUCT(T41,AB7:AB40),0)</f>
        <v>#DIV/0!</v>
      </c>
      <c r="U42" s="3795"/>
      <c r="V42" s="3795" t="e">
        <f>ROUND(PRODUCT(V41,AC7:AC40),0)</f>
        <v>#DIV/0!</v>
      </c>
      <c r="W42" s="3795"/>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32" t="str">
        <f>A43</f>
        <v>估价对象XX用房的比较价值（楼面单价，元/平方米）</v>
      </c>
      <c r="Q43" s="3733"/>
      <c r="R43" s="3796" t="e">
        <f>ROUND(IF(D42="简单平均",AVERAGE(R42:W42),R42*F42+T42*H42+V42*J42),0)</f>
        <v>#DIV/0!</v>
      </c>
      <c r="S43" s="3796"/>
      <c r="T43" s="3796"/>
      <c r="U43" s="3796"/>
      <c r="V43" s="3796"/>
      <c r="W43" s="3796"/>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50" t="s">
        <v>1886</v>
      </c>
      <c r="H50" s="3797"/>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23228.35</v>
      </c>
      <c r="F51" s="633" t="e">
        <f t="shared" ref="F51:F60" si="15">ROUND(B51*E51/10000,0)</f>
        <v>#DIV/0!</v>
      </c>
      <c r="G51" s="3746"/>
      <c r="H51" s="3735"/>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15458.2</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2024-4-1</v>
      </c>
      <c r="D63" s="683">
        <f>EDATE(C63,-3)</f>
        <v>45292</v>
      </c>
      <c r="E63" s="683">
        <f>EDATE(D63,-3)</f>
        <v>45200</v>
      </c>
      <c r="F63" s="683">
        <f t="shared" ref="F63:O63" si="18">EDATE(E63,-3)</f>
        <v>45108</v>
      </c>
      <c r="G63" s="683">
        <f t="shared" si="18"/>
        <v>45017</v>
      </c>
      <c r="H63" s="683">
        <f t="shared" si="18"/>
        <v>44927</v>
      </c>
      <c r="I63" s="683">
        <f t="shared" si="18"/>
        <v>44835</v>
      </c>
      <c r="J63" s="683">
        <f t="shared" si="18"/>
        <v>44743</v>
      </c>
      <c r="K63" s="683">
        <f t="shared" si="18"/>
        <v>44652</v>
      </c>
      <c r="L63" s="683">
        <f t="shared" si="18"/>
        <v>44562</v>
      </c>
      <c r="M63" s="683">
        <f t="shared" si="18"/>
        <v>44470</v>
      </c>
      <c r="N63" s="683">
        <f t="shared" si="18"/>
        <v>44378</v>
      </c>
      <c r="O63" s="683">
        <f t="shared" si="18"/>
        <v>44287</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2024-2</v>
      </c>
      <c r="D65" s="1173" t="str">
        <f t="shared" ref="D65:O65" si="19">YEAR(D63)&amp;"-"&amp;ROUNDUP(MONTH(D63)/3,0)</f>
        <v>2024-1</v>
      </c>
      <c r="E65" s="1173" t="str">
        <f t="shared" si="19"/>
        <v>2023-4</v>
      </c>
      <c r="F65" s="1173" t="str">
        <f t="shared" si="19"/>
        <v>2023-3</v>
      </c>
      <c r="G65" s="1173" t="str">
        <f t="shared" si="19"/>
        <v>2023-2</v>
      </c>
      <c r="H65" s="1173" t="str">
        <f t="shared" si="19"/>
        <v>2023-1</v>
      </c>
      <c r="I65" s="1173" t="str">
        <f t="shared" si="19"/>
        <v>2022-4</v>
      </c>
      <c r="J65" s="1173" t="str">
        <f t="shared" si="19"/>
        <v>2022-3</v>
      </c>
      <c r="K65" s="1173" t="str">
        <f t="shared" si="19"/>
        <v>2022-2</v>
      </c>
      <c r="L65" s="1173" t="str">
        <f t="shared" si="19"/>
        <v>2022-1</v>
      </c>
      <c r="M65" s="1173" t="str">
        <f t="shared" si="19"/>
        <v>2021-4</v>
      </c>
      <c r="N65" s="1173" t="str">
        <f t="shared" si="19"/>
        <v>2021-3</v>
      </c>
      <c r="O65" s="1173" t="str">
        <f t="shared" si="19"/>
        <v>2021-2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805" t="s">
        <v>2083</v>
      </c>
      <c r="D1" s="3806"/>
      <c r="E1" s="3806"/>
      <c r="F1" s="3806"/>
      <c r="G1" s="3806"/>
      <c r="H1" s="3806"/>
      <c r="I1" s="3806"/>
      <c r="J1" s="3806"/>
      <c r="K1" s="3806"/>
      <c r="L1" s="3806"/>
      <c r="M1" s="3806"/>
      <c r="N1" s="3806"/>
      <c r="O1" s="3806"/>
      <c r="P1" s="3806"/>
      <c r="Q1" s="3806"/>
      <c r="R1" s="3806"/>
      <c r="S1" s="3807"/>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802" t="s">
        <v>27</v>
      </c>
      <c r="D22" s="3803"/>
      <c r="E22" s="3803"/>
      <c r="F22" s="3803"/>
      <c r="G22" s="3803"/>
      <c r="H22" s="3803"/>
      <c r="I22" s="3803"/>
      <c r="J22" s="3803"/>
      <c r="K22" s="3803"/>
      <c r="L22" s="3803"/>
      <c r="M22" s="3803"/>
      <c r="N22" s="3803"/>
      <c r="O22" s="3803"/>
      <c r="P22" s="3803"/>
      <c r="Q22" s="3804"/>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3740</v>
      </c>
      <c r="C2" s="2136" t="s">
        <v>2073</v>
      </c>
      <c r="D2" s="2136" t="s">
        <v>2074</v>
      </c>
      <c r="E2" s="2603">
        <f ca="1">SUMIF(E6:E13,"&lt;&gt;#ref!",E6:E13)</f>
        <v>23228.35</v>
      </c>
      <c r="F2" s="2782"/>
      <c r="G2" s="2782"/>
      <c r="H2" s="2782"/>
      <c r="I2" s="2782"/>
      <c r="J2" s="2782"/>
      <c r="K2" s="2782"/>
      <c r="L2" s="2782"/>
      <c r="M2" s="2782"/>
      <c r="N2" s="2782"/>
      <c r="O2" s="2782"/>
      <c r="P2" s="2782"/>
    </row>
    <row r="3" spans="1:16" ht="15.75">
      <c r="A3" s="2136" t="s">
        <v>2075</v>
      </c>
      <c r="B3" s="2593">
        <f ca="1">ROUND(B2*10000/E2,0)</f>
        <v>1610</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3740</v>
      </c>
      <c r="C6" s="2136" t="s">
        <v>2073</v>
      </c>
      <c r="D6" s="2782"/>
      <c r="E6" s="2603">
        <f ca="1">SUMIF(INDIRECT("'"&amp;A6&amp;"'"&amp;"!C:C"),"建筑面积",INDIRECT("'"&amp;A6&amp;"'"&amp;"!D:D"))</f>
        <v>23228.35</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817" t="s">
        <v>2610</v>
      </c>
      <c r="B20" s="3812" t="s">
        <v>2631</v>
      </c>
      <c r="C20" s="3092" t="s">
        <v>2442</v>
      </c>
      <c r="D20" s="3093"/>
      <c r="E20" s="3094">
        <v>1</v>
      </c>
      <c r="F20" s="3095" t="s">
        <v>2443</v>
      </c>
      <c r="G20" s="3095"/>
    </row>
    <row r="21" spans="1:13" ht="19.5" customHeight="1">
      <c r="A21" s="3818"/>
      <c r="B21" s="3811"/>
      <c r="C21" s="3096" t="s">
        <v>2444</v>
      </c>
      <c r="D21" s="3097"/>
      <c r="E21" s="3098">
        <v>1</v>
      </c>
      <c r="F21" s="3095" t="s">
        <v>2445</v>
      </c>
      <c r="G21" s="3095"/>
    </row>
    <row r="22" spans="1:13" ht="19.5" customHeight="1">
      <c r="A22" s="3818"/>
      <c r="B22" s="3811"/>
      <c r="C22" s="3096" t="s">
        <v>2446</v>
      </c>
      <c r="D22" s="3097"/>
      <c r="E22" s="3098">
        <v>0.9</v>
      </c>
      <c r="F22" s="3095" t="s">
        <v>2447</v>
      </c>
      <c r="G22" s="3095"/>
    </row>
    <row r="23" spans="1:13" ht="19.5" customHeight="1">
      <c r="A23" s="3818"/>
      <c r="B23" s="3811"/>
      <c r="C23" s="3096" t="s">
        <v>2448</v>
      </c>
      <c r="D23" s="3097"/>
      <c r="E23" s="3098">
        <v>0.9</v>
      </c>
      <c r="F23" s="3095" t="s">
        <v>2449</v>
      </c>
      <c r="G23" s="3095"/>
    </row>
    <row r="24" spans="1:13" ht="19.5" customHeight="1">
      <c r="A24" s="3818"/>
      <c r="B24" s="3811"/>
      <c r="C24" s="3096" t="s">
        <v>2450</v>
      </c>
      <c r="D24" s="3097"/>
      <c r="E24" s="3098">
        <v>0.8</v>
      </c>
      <c r="F24" s="3095" t="s">
        <v>2451</v>
      </c>
      <c r="G24" s="3095"/>
    </row>
    <row r="25" spans="1:13" ht="19.5" customHeight="1" thickBot="1">
      <c r="A25" s="3819"/>
      <c r="B25" s="3813"/>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814" t="s">
        <v>2634</v>
      </c>
      <c r="B27" s="3812" t="s">
        <v>2615</v>
      </c>
      <c r="C27" s="3092" t="s">
        <v>2455</v>
      </c>
      <c r="D27" s="3093"/>
      <c r="E27" s="3094">
        <v>1</v>
      </c>
      <c r="F27" s="3095" t="s">
        <v>2456</v>
      </c>
      <c r="G27" s="3095"/>
    </row>
    <row r="28" spans="1:13" ht="19.5" customHeight="1">
      <c r="A28" s="3815"/>
      <c r="B28" s="3811"/>
      <c r="C28" s="3096" t="s">
        <v>2457</v>
      </c>
      <c r="D28" s="3097"/>
      <c r="E28" s="3098">
        <v>1</v>
      </c>
      <c r="F28" s="3095" t="s">
        <v>2458</v>
      </c>
      <c r="G28" s="3095"/>
    </row>
    <row r="29" spans="1:13" ht="19.5" customHeight="1">
      <c r="A29" s="3815"/>
      <c r="B29" s="3811"/>
      <c r="C29" s="3096" t="s">
        <v>2459</v>
      </c>
      <c r="D29" s="3097"/>
      <c r="E29" s="3098">
        <v>0.8</v>
      </c>
      <c r="F29" s="3095" t="s">
        <v>2460</v>
      </c>
      <c r="G29" s="3095"/>
    </row>
    <row r="30" spans="1:13" ht="19.5" customHeight="1">
      <c r="A30" s="3815"/>
      <c r="B30" s="3811"/>
      <c r="C30" s="3096" t="s">
        <v>2461</v>
      </c>
      <c r="D30" s="3097"/>
      <c r="E30" s="3098">
        <v>0.8</v>
      </c>
      <c r="F30" s="3095" t="s">
        <v>2462</v>
      </c>
      <c r="G30" s="3095"/>
    </row>
    <row r="31" spans="1:13" ht="19.5" customHeight="1">
      <c r="A31" s="3815"/>
      <c r="B31" s="3811"/>
      <c r="C31" s="3096" t="s">
        <v>2463</v>
      </c>
      <c r="D31" s="3097"/>
      <c r="E31" s="3098">
        <v>0.8</v>
      </c>
      <c r="F31" s="3095" t="s">
        <v>2464</v>
      </c>
      <c r="G31" s="3095"/>
    </row>
    <row r="32" spans="1:13" ht="19.5" customHeight="1">
      <c r="A32" s="3815"/>
      <c r="B32" s="3811"/>
      <c r="C32" s="3096" t="s">
        <v>2465</v>
      </c>
      <c r="D32" s="3097"/>
      <c r="E32" s="3098">
        <v>0.7</v>
      </c>
      <c r="F32" s="3095" t="s">
        <v>2466</v>
      </c>
      <c r="G32" s="3095"/>
    </row>
    <row r="33" spans="1:7" ht="19.5" customHeight="1">
      <c r="A33" s="3815"/>
      <c r="B33" s="3811"/>
      <c r="C33" s="3096" t="s">
        <v>2467</v>
      </c>
      <c r="D33" s="3097"/>
      <c r="E33" s="3098">
        <v>0.8</v>
      </c>
      <c r="F33" s="3095" t="s">
        <v>2468</v>
      </c>
      <c r="G33" s="3095"/>
    </row>
    <row r="34" spans="1:7" ht="19.5" customHeight="1">
      <c r="A34" s="3815"/>
      <c r="B34" s="3811"/>
      <c r="C34" s="3096" t="s">
        <v>2469</v>
      </c>
      <c r="D34" s="3097"/>
      <c r="E34" s="3098">
        <v>0.6</v>
      </c>
      <c r="F34" s="3095" t="s">
        <v>2470</v>
      </c>
      <c r="G34" s="3095"/>
    </row>
    <row r="35" spans="1:7" ht="19.5" customHeight="1">
      <c r="A35" s="3815"/>
      <c r="B35" s="3811"/>
      <c r="C35" s="3096" t="s">
        <v>2471</v>
      </c>
      <c r="D35" s="3097"/>
      <c r="E35" s="3098">
        <v>0.2</v>
      </c>
      <c r="F35" s="3095" t="s">
        <v>2472</v>
      </c>
      <c r="G35" s="3095"/>
    </row>
    <row r="36" spans="1:7" ht="19.5" customHeight="1">
      <c r="A36" s="3815"/>
      <c r="B36" s="3811"/>
      <c r="C36" s="3096" t="s">
        <v>2473</v>
      </c>
      <c r="D36" s="3097"/>
      <c r="E36" s="3098">
        <v>0.2</v>
      </c>
      <c r="F36" s="3095" t="s">
        <v>2474</v>
      </c>
      <c r="G36" s="3095"/>
    </row>
    <row r="37" spans="1:7" ht="19.5" customHeight="1">
      <c r="A37" s="3815"/>
      <c r="B37" s="3809" t="s">
        <v>2635</v>
      </c>
      <c r="C37" s="3096" t="s">
        <v>2475</v>
      </c>
      <c r="D37" s="3097"/>
      <c r="E37" s="3098">
        <v>0.6</v>
      </c>
      <c r="F37" s="3095" t="s">
        <v>2476</v>
      </c>
      <c r="G37" s="3095"/>
    </row>
    <row r="38" spans="1:7" ht="19.5" customHeight="1">
      <c r="A38" s="3815"/>
      <c r="B38" s="3811"/>
      <c r="C38" s="3096" t="s">
        <v>2477</v>
      </c>
      <c r="D38" s="3097"/>
      <c r="E38" s="3098">
        <v>0.6</v>
      </c>
      <c r="F38" s="3095" t="s">
        <v>2478</v>
      </c>
      <c r="G38" s="3095"/>
    </row>
    <row r="39" spans="1:7" ht="19.5" customHeight="1" thickBot="1">
      <c r="A39" s="3816"/>
      <c r="B39" s="3813"/>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817" t="s">
        <v>2613</v>
      </c>
      <c r="B41" s="3812" t="s">
        <v>2637</v>
      </c>
      <c r="C41" s="3092" t="s">
        <v>2482</v>
      </c>
      <c r="D41" s="3093"/>
      <c r="E41" s="3094">
        <v>1</v>
      </c>
      <c r="F41" s="3095" t="s">
        <v>2483</v>
      </c>
      <c r="G41" s="3095"/>
    </row>
    <row r="42" spans="1:7" ht="19.5" customHeight="1">
      <c r="A42" s="3818"/>
      <c r="B42" s="3811"/>
      <c r="C42" s="3096" t="s">
        <v>2484</v>
      </c>
      <c r="D42" s="3097"/>
      <c r="E42" s="3098">
        <v>1</v>
      </c>
      <c r="F42" s="3095" t="s">
        <v>2485</v>
      </c>
      <c r="G42" s="3095"/>
    </row>
    <row r="43" spans="1:7" ht="19.5" customHeight="1">
      <c r="A43" s="3818"/>
      <c r="B43" s="3810"/>
      <c r="C43" s="3096" t="s">
        <v>2486</v>
      </c>
      <c r="D43" s="3097"/>
      <c r="E43" s="3098">
        <v>1.5</v>
      </c>
      <c r="F43" s="3095" t="s">
        <v>2487</v>
      </c>
      <c r="G43" s="3095"/>
    </row>
    <row r="44" spans="1:7" ht="19.5" customHeight="1">
      <c r="A44" s="3818"/>
      <c r="B44" s="3107" t="s">
        <v>2638</v>
      </c>
      <c r="C44" s="3096" t="s">
        <v>2639</v>
      </c>
      <c r="D44" s="3097"/>
      <c r="E44" s="3098">
        <v>2</v>
      </c>
      <c r="F44" s="3095" t="s">
        <v>2488</v>
      </c>
      <c r="G44" s="3095"/>
    </row>
    <row r="45" spans="1:7" ht="19.5" customHeight="1">
      <c r="A45" s="3818"/>
      <c r="B45" s="3809" t="s">
        <v>2640</v>
      </c>
      <c r="C45" s="3096" t="s">
        <v>2489</v>
      </c>
      <c r="D45" s="3097"/>
      <c r="E45" s="3098">
        <v>1</v>
      </c>
      <c r="F45" s="3095" t="s">
        <v>2490</v>
      </c>
      <c r="G45" s="3095"/>
    </row>
    <row r="46" spans="1:7" ht="19.5" customHeight="1">
      <c r="A46" s="3818"/>
      <c r="B46" s="3811"/>
      <c r="C46" s="3096" t="s">
        <v>2491</v>
      </c>
      <c r="D46" s="3097"/>
      <c r="E46" s="3098">
        <v>1</v>
      </c>
      <c r="F46" s="3095" t="s">
        <v>2492</v>
      </c>
      <c r="G46" s="3095"/>
    </row>
    <row r="47" spans="1:7" ht="19.5" customHeight="1">
      <c r="A47" s="3818"/>
      <c r="B47" s="3811"/>
      <c r="C47" s="3096" t="s">
        <v>2493</v>
      </c>
      <c r="D47" s="3097"/>
      <c r="E47" s="3098">
        <v>1</v>
      </c>
      <c r="F47" s="3095" t="s">
        <v>2494</v>
      </c>
      <c r="G47" s="3095"/>
    </row>
    <row r="48" spans="1:7" ht="19.5" customHeight="1">
      <c r="A48" s="3818"/>
      <c r="B48" s="3811"/>
      <c r="C48" s="3096" t="s">
        <v>2495</v>
      </c>
      <c r="D48" s="3097"/>
      <c r="E48" s="3098">
        <v>1</v>
      </c>
      <c r="F48" s="3095" t="s">
        <v>2496</v>
      </c>
      <c r="G48" s="3095"/>
    </row>
    <row r="49" spans="1:7" ht="19.5" customHeight="1">
      <c r="A49" s="3818"/>
      <c r="B49" s="3811"/>
      <c r="C49" s="3096" t="s">
        <v>2497</v>
      </c>
      <c r="D49" s="3097"/>
      <c r="E49" s="3098">
        <v>1</v>
      </c>
      <c r="F49" s="3095" t="s">
        <v>2498</v>
      </c>
      <c r="G49" s="3095"/>
    </row>
    <row r="50" spans="1:7" ht="19.5" customHeight="1">
      <c r="A50" s="3818"/>
      <c r="B50" s="3811"/>
      <c r="C50" s="3096" t="s">
        <v>2499</v>
      </c>
      <c r="D50" s="3097"/>
      <c r="E50" s="3098">
        <v>1</v>
      </c>
      <c r="F50" s="3095" t="s">
        <v>2500</v>
      </c>
      <c r="G50" s="3095"/>
    </row>
    <row r="51" spans="1:7" ht="19.5" customHeight="1" thickBot="1">
      <c r="A51" s="3819"/>
      <c r="B51" s="3813"/>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809" t="s">
        <v>2654</v>
      </c>
      <c r="C73" s="3081" t="s">
        <v>2655</v>
      </c>
      <c r="D73" s="3081" t="s">
        <v>2656</v>
      </c>
      <c r="E73" s="3107">
        <v>0.2</v>
      </c>
      <c r="F73" s="3107">
        <v>25</v>
      </c>
    </row>
    <row r="74" spans="1:7" ht="24">
      <c r="A74" s="3107">
        <v>2</v>
      </c>
      <c r="B74" s="3811"/>
      <c r="C74" s="3081" t="s">
        <v>2657</v>
      </c>
      <c r="D74" s="3081" t="s">
        <v>2658</v>
      </c>
      <c r="E74" s="3107">
        <v>0.2</v>
      </c>
      <c r="F74" s="3107">
        <v>25</v>
      </c>
    </row>
    <row r="75" spans="1:7" ht="24">
      <c r="A75" s="3107">
        <v>3</v>
      </c>
      <c r="B75" s="3811"/>
      <c r="C75" s="3081" t="s">
        <v>2659</v>
      </c>
      <c r="D75" s="3081" t="s">
        <v>2660</v>
      </c>
      <c r="E75" s="3107">
        <v>0.2</v>
      </c>
      <c r="F75" s="3107">
        <v>25</v>
      </c>
    </row>
    <row r="76" spans="1:7" ht="13.5">
      <c r="A76" s="3107">
        <v>4</v>
      </c>
      <c r="B76" s="3811"/>
      <c r="C76" s="3081" t="s">
        <v>2661</v>
      </c>
      <c r="D76" s="3081" t="s">
        <v>2662</v>
      </c>
      <c r="E76" s="3107">
        <v>0.15</v>
      </c>
      <c r="F76" s="3107">
        <v>20</v>
      </c>
    </row>
    <row r="77" spans="1:7" ht="24">
      <c r="A77" s="3107">
        <v>5</v>
      </c>
      <c r="B77" s="3811"/>
      <c r="C77" s="3081" t="s">
        <v>2663</v>
      </c>
      <c r="D77" s="3081" t="s">
        <v>2664</v>
      </c>
      <c r="E77" s="3107">
        <v>0.15</v>
      </c>
      <c r="F77" s="3107">
        <v>20</v>
      </c>
    </row>
    <row r="78" spans="1:7" ht="24">
      <c r="A78" s="3107">
        <v>6</v>
      </c>
      <c r="B78" s="3811"/>
      <c r="C78" s="3081" t="s">
        <v>2665</v>
      </c>
      <c r="D78" s="3081" t="s">
        <v>2666</v>
      </c>
      <c r="E78" s="3107">
        <v>0.15</v>
      </c>
      <c r="F78" s="3107">
        <v>20</v>
      </c>
    </row>
    <row r="79" spans="1:7" ht="24">
      <c r="A79" s="3107">
        <v>7</v>
      </c>
      <c r="B79" s="3811"/>
      <c r="C79" s="3081" t="s">
        <v>2667</v>
      </c>
      <c r="D79" s="3081" t="s">
        <v>2668</v>
      </c>
      <c r="E79" s="3107">
        <v>0.15</v>
      </c>
      <c r="F79" s="3107">
        <v>20</v>
      </c>
    </row>
    <row r="80" spans="1:7" ht="24">
      <c r="A80" s="3107">
        <v>8</v>
      </c>
      <c r="B80" s="3811"/>
      <c r="C80" s="3081" t="s">
        <v>2669</v>
      </c>
      <c r="D80" s="3081" t="s">
        <v>2670</v>
      </c>
      <c r="E80" s="3107">
        <v>0.1</v>
      </c>
      <c r="F80" s="3107">
        <v>15</v>
      </c>
    </row>
    <row r="81" spans="1:6" ht="24">
      <c r="A81" s="3107">
        <v>9</v>
      </c>
      <c r="B81" s="3811"/>
      <c r="C81" s="3081" t="s">
        <v>2671</v>
      </c>
      <c r="D81" s="3081" t="s">
        <v>2672</v>
      </c>
      <c r="E81" s="3107">
        <v>0.1</v>
      </c>
      <c r="F81" s="3107">
        <v>15</v>
      </c>
    </row>
    <row r="82" spans="1:6" ht="24">
      <c r="A82" s="3107">
        <v>10</v>
      </c>
      <c r="B82" s="3811"/>
      <c r="C82" s="3081" t="s">
        <v>2673</v>
      </c>
      <c r="D82" s="3081" t="s">
        <v>2674</v>
      </c>
      <c r="E82" s="3107">
        <v>0.1</v>
      </c>
      <c r="F82" s="3107">
        <v>15</v>
      </c>
    </row>
    <row r="83" spans="1:6" ht="24">
      <c r="A83" s="3107">
        <v>11</v>
      </c>
      <c r="B83" s="3811"/>
      <c r="C83" s="3081" t="s">
        <v>2675</v>
      </c>
      <c r="D83" s="3081" t="s">
        <v>2676</v>
      </c>
      <c r="E83" s="3107">
        <v>0.1</v>
      </c>
      <c r="F83" s="3107">
        <v>15</v>
      </c>
    </row>
    <row r="84" spans="1:6" ht="24">
      <c r="A84" s="3107">
        <v>12</v>
      </c>
      <c r="B84" s="3811"/>
      <c r="C84" s="3081" t="s">
        <v>2677</v>
      </c>
      <c r="D84" s="3081" t="s">
        <v>2678</v>
      </c>
      <c r="E84" s="3107">
        <v>0.1</v>
      </c>
      <c r="F84" s="3107">
        <v>15</v>
      </c>
    </row>
    <row r="85" spans="1:6" ht="13.5">
      <c r="A85" s="3107">
        <v>13</v>
      </c>
      <c r="B85" s="3811"/>
      <c r="C85" s="3081" t="s">
        <v>2679</v>
      </c>
      <c r="D85" s="3081" t="s">
        <v>2680</v>
      </c>
      <c r="E85" s="3107">
        <v>0.1</v>
      </c>
      <c r="F85" s="3107">
        <v>15</v>
      </c>
    </row>
    <row r="86" spans="1:6" ht="13.5">
      <c r="A86" s="3107">
        <v>14</v>
      </c>
      <c r="B86" s="3811"/>
      <c r="C86" s="3081" t="s">
        <v>2681</v>
      </c>
      <c r="D86" s="3081" t="s">
        <v>2682</v>
      </c>
      <c r="E86" s="3107">
        <v>0.1</v>
      </c>
      <c r="F86" s="3107">
        <v>15</v>
      </c>
    </row>
    <row r="87" spans="1:6" ht="13.5">
      <c r="A87" s="3107">
        <v>15</v>
      </c>
      <c r="B87" s="3811"/>
      <c r="C87" s="3081" t="s">
        <v>2683</v>
      </c>
      <c r="D87" s="3081" t="s">
        <v>2684</v>
      </c>
      <c r="E87" s="3107">
        <v>0.1</v>
      </c>
      <c r="F87" s="3107">
        <v>15</v>
      </c>
    </row>
    <row r="88" spans="1:6" ht="24">
      <c r="A88" s="3107">
        <v>16</v>
      </c>
      <c r="B88" s="3811"/>
      <c r="C88" s="3081" t="s">
        <v>2685</v>
      </c>
      <c r="D88" s="3081" t="s">
        <v>2686</v>
      </c>
      <c r="E88" s="3107">
        <v>0.1</v>
      </c>
      <c r="F88" s="3107">
        <v>15</v>
      </c>
    </row>
    <row r="89" spans="1:6" ht="24">
      <c r="A89" s="3107">
        <v>17</v>
      </c>
      <c r="B89" s="3810"/>
      <c r="C89" s="3081" t="s">
        <v>2687</v>
      </c>
      <c r="D89" s="3081" t="s">
        <v>2688</v>
      </c>
      <c r="E89" s="3107">
        <v>0.1</v>
      </c>
      <c r="F89" s="3107">
        <v>15</v>
      </c>
    </row>
    <row r="90" spans="1:6" ht="13.5">
      <c r="A90" s="3107">
        <v>18</v>
      </c>
      <c r="B90" s="3809" t="s">
        <v>2689</v>
      </c>
      <c r="C90" s="3081" t="s">
        <v>2690</v>
      </c>
      <c r="D90" s="3081" t="s">
        <v>2691</v>
      </c>
      <c r="E90" s="3107">
        <v>0.2</v>
      </c>
      <c r="F90" s="3107">
        <v>25</v>
      </c>
    </row>
    <row r="91" spans="1:6" ht="24">
      <c r="A91" s="3107">
        <v>19</v>
      </c>
      <c r="B91" s="3811"/>
      <c r="C91" s="3081" t="s">
        <v>2692</v>
      </c>
      <c r="D91" s="3081" t="s">
        <v>2693</v>
      </c>
      <c r="E91" s="3107">
        <v>0.2</v>
      </c>
      <c r="F91" s="3107">
        <v>25</v>
      </c>
    </row>
    <row r="92" spans="1:6" ht="13.5">
      <c r="A92" s="3107">
        <v>20</v>
      </c>
      <c r="B92" s="3811"/>
      <c r="C92" s="3081" t="s">
        <v>2694</v>
      </c>
      <c r="D92" s="3081" t="s">
        <v>2695</v>
      </c>
      <c r="E92" s="3107">
        <v>0.15</v>
      </c>
      <c r="F92" s="3107">
        <v>20</v>
      </c>
    </row>
    <row r="93" spans="1:6" ht="13.5">
      <c r="A93" s="3107">
        <v>21</v>
      </c>
      <c r="B93" s="3811"/>
      <c r="C93" s="3081" t="s">
        <v>2696</v>
      </c>
      <c r="D93" s="3081" t="s">
        <v>2697</v>
      </c>
      <c r="E93" s="3107">
        <v>0.15</v>
      </c>
      <c r="F93" s="3107">
        <v>20</v>
      </c>
    </row>
    <row r="94" spans="1:6" ht="13.5">
      <c r="A94" s="3107">
        <v>22</v>
      </c>
      <c r="B94" s="3811"/>
      <c r="C94" s="3081" t="s">
        <v>2698</v>
      </c>
      <c r="D94" s="3081" t="s">
        <v>2699</v>
      </c>
      <c r="E94" s="3107">
        <v>0.15</v>
      </c>
      <c r="F94" s="3107">
        <v>20</v>
      </c>
    </row>
    <row r="95" spans="1:6" ht="36">
      <c r="A95" s="3107">
        <v>23</v>
      </c>
      <c r="B95" s="3811"/>
      <c r="C95" s="3081" t="s">
        <v>2700</v>
      </c>
      <c r="D95" s="3081" t="s">
        <v>2701</v>
      </c>
      <c r="E95" s="3107">
        <v>0.15</v>
      </c>
      <c r="F95" s="3107">
        <v>20</v>
      </c>
    </row>
    <row r="96" spans="1:6" ht="13.5">
      <c r="A96" s="3107">
        <v>24</v>
      </c>
      <c r="B96" s="3811"/>
      <c r="C96" s="3081" t="s">
        <v>2702</v>
      </c>
      <c r="D96" s="3081" t="s">
        <v>2703</v>
      </c>
      <c r="E96" s="3107">
        <v>0.1</v>
      </c>
      <c r="F96" s="3107">
        <v>15</v>
      </c>
    </row>
    <row r="97" spans="1:6" ht="13.5">
      <c r="A97" s="3107">
        <v>25</v>
      </c>
      <c r="B97" s="3811"/>
      <c r="C97" s="3081" t="s">
        <v>2704</v>
      </c>
      <c r="D97" s="3081" t="s">
        <v>2705</v>
      </c>
      <c r="E97" s="3107">
        <v>0.1</v>
      </c>
      <c r="F97" s="3107">
        <v>15</v>
      </c>
    </row>
    <row r="98" spans="1:6" ht="24">
      <c r="A98" s="3107">
        <v>26</v>
      </c>
      <c r="B98" s="3811"/>
      <c r="C98" s="3081" t="s">
        <v>2706</v>
      </c>
      <c r="D98" s="3081" t="s">
        <v>2707</v>
      </c>
      <c r="E98" s="3107">
        <v>0.1</v>
      </c>
      <c r="F98" s="3107">
        <v>15</v>
      </c>
    </row>
    <row r="99" spans="1:6" ht="24">
      <c r="A99" s="3107">
        <v>27</v>
      </c>
      <c r="B99" s="3811"/>
      <c r="C99" s="3081" t="s">
        <v>2708</v>
      </c>
      <c r="D99" s="3081" t="s">
        <v>2709</v>
      </c>
      <c r="E99" s="3107">
        <v>0.1</v>
      </c>
      <c r="F99" s="3107">
        <v>15</v>
      </c>
    </row>
    <row r="100" spans="1:6" ht="13.5">
      <c r="A100" s="3107">
        <v>28</v>
      </c>
      <c r="B100" s="3811"/>
      <c r="C100" s="3081" t="s">
        <v>2710</v>
      </c>
      <c r="D100" s="3081" t="s">
        <v>2711</v>
      </c>
      <c r="E100" s="3107">
        <v>0.1</v>
      </c>
      <c r="F100" s="3107">
        <v>15</v>
      </c>
    </row>
    <row r="101" spans="1:6" ht="13.5">
      <c r="A101" s="3107">
        <v>29</v>
      </c>
      <c r="B101" s="3811"/>
      <c r="C101" s="3081" t="s">
        <v>2712</v>
      </c>
      <c r="D101" s="3081" t="s">
        <v>2713</v>
      </c>
      <c r="E101" s="3107">
        <v>0.1</v>
      </c>
      <c r="F101" s="3107">
        <v>15</v>
      </c>
    </row>
    <row r="102" spans="1:6" ht="13.5">
      <c r="A102" s="3107">
        <v>30</v>
      </c>
      <c r="B102" s="3811"/>
      <c r="C102" s="3081" t="s">
        <v>2714</v>
      </c>
      <c r="D102" s="3081" t="s">
        <v>2715</v>
      </c>
      <c r="E102" s="3107">
        <v>0.1</v>
      </c>
      <c r="F102" s="3107">
        <v>15</v>
      </c>
    </row>
    <row r="103" spans="1:6" ht="24">
      <c r="A103" s="3107">
        <v>31</v>
      </c>
      <c r="B103" s="3811"/>
      <c r="C103" s="3081" t="s">
        <v>2716</v>
      </c>
      <c r="D103" s="3081" t="s">
        <v>2717</v>
      </c>
      <c r="E103" s="3107">
        <v>0.1</v>
      </c>
      <c r="F103" s="3107">
        <v>15</v>
      </c>
    </row>
    <row r="104" spans="1:6" ht="24">
      <c r="A104" s="3107">
        <v>32</v>
      </c>
      <c r="B104" s="3811"/>
      <c r="C104" s="3081" t="s">
        <v>2718</v>
      </c>
      <c r="D104" s="3081" t="s">
        <v>2719</v>
      </c>
      <c r="E104" s="3107">
        <v>0.1</v>
      </c>
      <c r="F104" s="3107">
        <v>15</v>
      </c>
    </row>
    <row r="105" spans="1:6" ht="24">
      <c r="A105" s="3107">
        <v>33</v>
      </c>
      <c r="B105" s="3811"/>
      <c r="C105" s="3081" t="s">
        <v>2720</v>
      </c>
      <c r="D105" s="3081" t="s">
        <v>2721</v>
      </c>
      <c r="E105" s="3107">
        <v>0.1</v>
      </c>
      <c r="F105" s="3107">
        <v>15</v>
      </c>
    </row>
    <row r="106" spans="1:6" ht="24">
      <c r="A106" s="3107">
        <v>34</v>
      </c>
      <c r="B106" s="3810"/>
      <c r="C106" s="3081" t="s">
        <v>2722</v>
      </c>
      <c r="D106" s="3081" t="s">
        <v>2723</v>
      </c>
      <c r="E106" s="3107">
        <v>0.1</v>
      </c>
      <c r="F106" s="3107">
        <v>15</v>
      </c>
    </row>
    <row r="107" spans="1:6" ht="24">
      <c r="A107" s="3107">
        <v>35</v>
      </c>
      <c r="B107" s="3809" t="s">
        <v>2724</v>
      </c>
      <c r="C107" s="3107" t="s">
        <v>2725</v>
      </c>
      <c r="D107" s="3081" t="s">
        <v>2726</v>
      </c>
      <c r="E107" s="3107">
        <v>0.15</v>
      </c>
      <c r="F107" s="3107">
        <v>20</v>
      </c>
    </row>
    <row r="108" spans="1:6" ht="13.5">
      <c r="A108" s="3107">
        <v>36</v>
      </c>
      <c r="B108" s="3811"/>
      <c r="C108" s="3107" t="s">
        <v>2727</v>
      </c>
      <c r="D108" s="3081" t="s">
        <v>2728</v>
      </c>
      <c r="E108" s="3107">
        <v>0.15</v>
      </c>
      <c r="F108" s="3107">
        <v>20</v>
      </c>
    </row>
    <row r="109" spans="1:6" ht="13.5">
      <c r="A109" s="3107">
        <v>37</v>
      </c>
      <c r="B109" s="3811"/>
      <c r="C109" s="3107" t="s">
        <v>2729</v>
      </c>
      <c r="D109" s="3081" t="s">
        <v>2730</v>
      </c>
      <c r="E109" s="3107">
        <v>0.15</v>
      </c>
      <c r="F109" s="3107">
        <v>20</v>
      </c>
    </row>
    <row r="110" spans="1:6" ht="13.5">
      <c r="A110" s="3107">
        <v>38</v>
      </c>
      <c r="B110" s="3811"/>
      <c r="C110" s="3107" t="s">
        <v>2731</v>
      </c>
      <c r="D110" s="3081" t="s">
        <v>2732</v>
      </c>
      <c r="E110" s="3107">
        <v>0.1</v>
      </c>
      <c r="F110" s="3107">
        <v>15</v>
      </c>
    </row>
    <row r="111" spans="1:6" ht="24">
      <c r="A111" s="3107">
        <v>39</v>
      </c>
      <c r="B111" s="3811"/>
      <c r="C111" s="3107" t="s">
        <v>2733</v>
      </c>
      <c r="D111" s="3081" t="s">
        <v>2734</v>
      </c>
      <c r="E111" s="3107">
        <v>0.1</v>
      </c>
      <c r="F111" s="3107">
        <v>15</v>
      </c>
    </row>
    <row r="112" spans="1:6" ht="24">
      <c r="A112" s="3107">
        <v>40</v>
      </c>
      <c r="B112" s="3810"/>
      <c r="C112" s="3107" t="s">
        <v>2735</v>
      </c>
      <c r="D112" s="3081" t="s">
        <v>2736</v>
      </c>
      <c r="E112" s="3107">
        <v>0.1</v>
      </c>
      <c r="F112" s="3107">
        <v>15</v>
      </c>
    </row>
    <row r="113" spans="1:6" ht="13.5">
      <c r="A113" s="3107">
        <v>41</v>
      </c>
      <c r="B113" s="3808" t="s">
        <v>2737</v>
      </c>
      <c r="C113" s="3107" t="s">
        <v>2738</v>
      </c>
      <c r="D113" s="3081" t="s">
        <v>2739</v>
      </c>
      <c r="E113" s="3107">
        <v>0.1</v>
      </c>
      <c r="F113" s="3107">
        <v>15</v>
      </c>
    </row>
    <row r="114" spans="1:6" ht="13.5">
      <c r="A114" s="3107">
        <v>42</v>
      </c>
      <c r="B114" s="3808"/>
      <c r="C114" s="3107" t="s">
        <v>2740</v>
      </c>
      <c r="D114" s="3081" t="s">
        <v>2741</v>
      </c>
      <c r="E114" s="3107">
        <v>0.1</v>
      </c>
      <c r="F114" s="3107">
        <v>15</v>
      </c>
    </row>
    <row r="115" spans="1:6" ht="24">
      <c r="A115" s="3107">
        <v>43</v>
      </c>
      <c r="B115" s="3808"/>
      <c r="C115" s="3107" t="s">
        <v>2742</v>
      </c>
      <c r="D115" s="3081" t="s">
        <v>2743</v>
      </c>
      <c r="E115" s="3107">
        <v>0.1</v>
      </c>
      <c r="F115" s="3107">
        <v>15</v>
      </c>
    </row>
    <row r="116" spans="1:6" ht="13.5">
      <c r="A116" s="3107">
        <v>44</v>
      </c>
      <c r="B116" s="3809" t="s">
        <v>2744</v>
      </c>
      <c r="C116" s="3107" t="s">
        <v>2745</v>
      </c>
      <c r="D116" s="3081" t="s">
        <v>2746</v>
      </c>
      <c r="E116" s="3107">
        <v>0.1</v>
      </c>
      <c r="F116" s="3107">
        <v>15</v>
      </c>
    </row>
    <row r="117" spans="1:6" ht="24">
      <c r="A117" s="3107">
        <v>45</v>
      </c>
      <c r="B117" s="3810"/>
      <c r="C117" s="3081" t="s">
        <v>2747</v>
      </c>
      <c r="D117" s="3081" t="s">
        <v>2748</v>
      </c>
      <c r="E117" s="3107">
        <v>0.1</v>
      </c>
      <c r="F117" s="3107">
        <v>15</v>
      </c>
    </row>
    <row r="118" spans="1:6" ht="24">
      <c r="A118" s="3107">
        <v>46</v>
      </c>
      <c r="B118" s="3809" t="s">
        <v>2749</v>
      </c>
      <c r="C118" s="3107" t="s">
        <v>2750</v>
      </c>
      <c r="D118" s="3081" t="s">
        <v>2751</v>
      </c>
      <c r="E118" s="3107">
        <v>0.1</v>
      </c>
      <c r="F118" s="3107">
        <v>15</v>
      </c>
    </row>
    <row r="119" spans="1:6" ht="24">
      <c r="A119" s="3107">
        <v>47</v>
      </c>
      <c r="B119" s="3810"/>
      <c r="C119" s="3107" t="s">
        <v>2752</v>
      </c>
      <c r="D119" s="3081" t="s">
        <v>2753</v>
      </c>
      <c r="E119" s="3107">
        <v>0.1</v>
      </c>
      <c r="F119" s="3107">
        <v>15</v>
      </c>
    </row>
    <row r="120" spans="1:6" ht="13.5">
      <c r="A120" s="3107">
        <v>48</v>
      </c>
      <c r="B120" s="3809" t="s">
        <v>2754</v>
      </c>
      <c r="C120" s="3107" t="s">
        <v>2755</v>
      </c>
      <c r="D120" s="3081" t="s">
        <v>2756</v>
      </c>
      <c r="E120" s="3107">
        <v>0.1</v>
      </c>
      <c r="F120" s="3107">
        <v>15</v>
      </c>
    </row>
    <row r="121" spans="1:6" ht="13.5">
      <c r="A121" s="3107">
        <v>49</v>
      </c>
      <c r="B121" s="3810"/>
      <c r="C121" s="3107" t="s">
        <v>2757</v>
      </c>
      <c r="D121" s="3081" t="s">
        <v>2758</v>
      </c>
      <c r="E121" s="3107">
        <v>0.1</v>
      </c>
      <c r="F121" s="3107">
        <v>15</v>
      </c>
    </row>
    <row r="122" spans="1:6" ht="24">
      <c r="A122" s="3107">
        <v>50</v>
      </c>
      <c r="B122" s="3808" t="s">
        <v>2759</v>
      </c>
      <c r="C122" s="3107" t="s">
        <v>2760</v>
      </c>
      <c r="D122" s="3081" t="s">
        <v>2761</v>
      </c>
      <c r="E122" s="3107">
        <v>0.1</v>
      </c>
      <c r="F122" s="3107">
        <v>15</v>
      </c>
    </row>
    <row r="123" spans="1:6" ht="24">
      <c r="A123" s="3107">
        <v>51</v>
      </c>
      <c r="B123" s="3808"/>
      <c r="C123" s="3107" t="s">
        <v>2762</v>
      </c>
      <c r="D123" s="3081" t="s">
        <v>2763</v>
      </c>
      <c r="E123" s="3107">
        <v>0.1</v>
      </c>
      <c r="F123" s="3107">
        <v>15</v>
      </c>
    </row>
    <row r="124" spans="1:6" ht="24">
      <c r="A124" s="3107">
        <v>52</v>
      </c>
      <c r="B124" s="3808" t="s">
        <v>2764</v>
      </c>
      <c r="C124" s="3107" t="s">
        <v>2765</v>
      </c>
      <c r="D124" s="3081" t="s">
        <v>2766</v>
      </c>
      <c r="E124" s="3107">
        <v>0.1</v>
      </c>
      <c r="F124" s="3107">
        <v>15</v>
      </c>
    </row>
    <row r="125" spans="1:6" ht="24">
      <c r="A125" s="3107">
        <v>53</v>
      </c>
      <c r="B125" s="3808"/>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808" t="s">
        <v>2772</v>
      </c>
      <c r="C127" s="3107" t="s">
        <v>2773</v>
      </c>
      <c r="D127" s="3081" t="s">
        <v>2774</v>
      </c>
      <c r="E127" s="3107">
        <v>0.1</v>
      </c>
      <c r="F127" s="3107">
        <v>15</v>
      </c>
    </row>
    <row r="128" spans="1:6" ht="13.5">
      <c r="A128" s="3107">
        <v>56</v>
      </c>
      <c r="B128" s="3808"/>
      <c r="C128" s="3107" t="s">
        <v>2775</v>
      </c>
      <c r="D128" s="3081" t="s">
        <v>2776</v>
      </c>
      <c r="E128" s="3107">
        <v>0.1</v>
      </c>
      <c r="F128" s="3107">
        <v>15</v>
      </c>
    </row>
    <row r="129" spans="1:6" ht="24">
      <c r="A129" s="3107">
        <v>57</v>
      </c>
      <c r="B129" s="3808"/>
      <c r="C129" s="3107" t="s">
        <v>2777</v>
      </c>
      <c r="D129" s="3081" t="s">
        <v>2778</v>
      </c>
      <c r="E129" s="3107">
        <v>0.1</v>
      </c>
      <c r="F129" s="3107">
        <v>15</v>
      </c>
    </row>
    <row r="130" spans="1:6" ht="24">
      <c r="A130" s="3107">
        <v>58</v>
      </c>
      <c r="B130" s="3808" t="s">
        <v>2779</v>
      </c>
      <c r="C130" s="3107" t="s">
        <v>2780</v>
      </c>
      <c r="D130" s="3081" t="s">
        <v>2781</v>
      </c>
      <c r="E130" s="3107">
        <v>0.1</v>
      </c>
      <c r="F130" s="3107">
        <v>15</v>
      </c>
    </row>
    <row r="131" spans="1:6" ht="13.5">
      <c r="A131" s="3107">
        <v>59</v>
      </c>
      <c r="B131" s="3808"/>
      <c r="C131" s="3107" t="s">
        <v>2782</v>
      </c>
      <c r="D131" s="3081" t="s">
        <v>2783</v>
      </c>
      <c r="E131" s="3107">
        <v>0.1</v>
      </c>
      <c r="F131" s="3107">
        <v>15</v>
      </c>
    </row>
    <row r="132" spans="1:6" ht="13.5">
      <c r="A132" s="3107">
        <v>60</v>
      </c>
      <c r="B132" s="3809" t="s">
        <v>2784</v>
      </c>
      <c r="C132" s="3107" t="s">
        <v>2785</v>
      </c>
      <c r="D132" s="3081" t="s">
        <v>2786</v>
      </c>
      <c r="E132" s="3107">
        <v>0.1</v>
      </c>
      <c r="F132" s="3107">
        <v>15</v>
      </c>
    </row>
    <row r="133" spans="1:6" ht="13.5">
      <c r="A133" s="3107">
        <v>61</v>
      </c>
      <c r="B133" s="3810"/>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808" t="s">
        <v>2792</v>
      </c>
      <c r="C135" s="3107" t="s">
        <v>2793</v>
      </c>
      <c r="D135" s="3081" t="s">
        <v>2794</v>
      </c>
      <c r="E135" s="3107">
        <v>0.1</v>
      </c>
      <c r="F135" s="3107">
        <v>15</v>
      </c>
    </row>
    <row r="136" spans="1:6" ht="13.5">
      <c r="A136" s="3107">
        <v>64</v>
      </c>
      <c r="B136" s="3808"/>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4"/>
      <c r="B4" s="3501" t="s">
        <v>917</v>
      </c>
      <c r="C4" s="3501"/>
      <c r="D4" s="3501"/>
      <c r="E4" s="1484"/>
    </row>
    <row r="5" spans="1:5" ht="16.5" thickTop="1">
      <c r="A5" s="1482"/>
      <c r="B5" s="3499" t="s">
        <v>909</v>
      </c>
      <c r="C5" s="1485" t="s">
        <v>910</v>
      </c>
      <c r="D5" s="841">
        <f ca="1">结果表!H101</f>
        <v>21021</v>
      </c>
      <c r="E5" s="1482"/>
    </row>
    <row r="6" spans="1:5" ht="15.75">
      <c r="A6" s="1482"/>
      <c r="B6" s="3499"/>
      <c r="C6" s="1485" t="s">
        <v>911</v>
      </c>
      <c r="D6" s="841" t="str">
        <f ca="1">NUMBERSTRING(INT(D5*10000),2)&amp;"元整"</f>
        <v>贰亿壹仟零贰拾壹万元整</v>
      </c>
      <c r="E6" s="1482"/>
    </row>
    <row r="7" spans="1:5" ht="15.75">
      <c r="A7" s="1482"/>
      <c r="B7" s="3504"/>
      <c r="C7" s="1486" t="s">
        <v>912</v>
      </c>
      <c r="D7" s="842">
        <f ca="1">结果表!H102</f>
        <v>9050</v>
      </c>
      <c r="E7" s="1482"/>
    </row>
    <row r="8" spans="1:5" ht="15.75">
      <c r="A8" s="1482"/>
      <c r="B8" s="3505" t="str">
        <f>结果表!E103</f>
        <v>2.估价师知悉的法定优先受偿款</v>
      </c>
      <c r="C8" s="1487" t="s">
        <v>913</v>
      </c>
      <c r="D8" s="842">
        <f>结果表!H103</f>
        <v>0</v>
      </c>
      <c r="E8" s="1482"/>
    </row>
    <row r="9" spans="1:5" ht="15.75">
      <c r="A9" s="1482"/>
      <c r="B9" s="3507"/>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98" t="str">
        <f>结果表!E107</f>
        <v>3.房地产抵押价值</v>
      </c>
      <c r="C13" s="1490" t="s">
        <v>910</v>
      </c>
      <c r="D13" s="844">
        <f ca="1">结果表!H107</f>
        <v>21021</v>
      </c>
      <c r="E13" s="1482"/>
    </row>
    <row r="14" spans="1:5" ht="15.75">
      <c r="A14" s="1482"/>
      <c r="B14" s="3499"/>
      <c r="C14" s="1485" t="s">
        <v>911</v>
      </c>
      <c r="D14" s="841" t="str">
        <f ca="1">NUMBERSTRING(INT(D13*10000),2)&amp;"元整"</f>
        <v>贰亿壹仟零贰拾壹万元整</v>
      </c>
      <c r="E14" s="1482"/>
    </row>
    <row r="15" spans="1:5" ht="15">
      <c r="A15" s="1482"/>
      <c r="B15" s="3504"/>
      <c r="C15" s="1486" t="s">
        <v>921</v>
      </c>
      <c r="D15" s="850">
        <f ca="1">结果表!H108</f>
        <v>9050</v>
      </c>
      <c r="E15" s="1482"/>
    </row>
    <row r="16" spans="1:5" ht="15">
      <c r="A16" s="1482"/>
      <c r="B16" s="3505" t="str">
        <f>结果表!E109</f>
        <v>——</v>
      </c>
      <c r="C16" s="1490" t="s">
        <v>922</v>
      </c>
      <c r="D16" s="1491" t="str">
        <f>结果表!H109</f>
        <v>——</v>
      </c>
      <c r="E16" s="1482"/>
    </row>
    <row r="17" spans="1:5" ht="15.75">
      <c r="A17" s="1482"/>
      <c r="B17" s="3506"/>
      <c r="C17" s="1485" t="s">
        <v>923</v>
      </c>
      <c r="D17" s="841" t="e">
        <f>NUMBERSTRING(INT(D16*10000),2)&amp;"元整"</f>
        <v>#VALUE!</v>
      </c>
      <c r="E17" s="1482"/>
    </row>
    <row r="18" spans="1:5" ht="15">
      <c r="A18" s="1482"/>
      <c r="B18" s="3507"/>
      <c r="C18" s="1486" t="s">
        <v>912</v>
      </c>
      <c r="D18" s="850" t="str">
        <f>结果表!H110</f>
        <v>——</v>
      </c>
      <c r="E18" s="1482"/>
    </row>
    <row r="19" spans="1:5" ht="15.75">
      <c r="A19" s="1482"/>
      <c r="B19" s="3498" t="str">
        <f>结果表!E111</f>
        <v>——</v>
      </c>
      <c r="C19" s="1490" t="s">
        <v>910</v>
      </c>
      <c r="D19" s="842" t="str">
        <f>结果表!H111</f>
        <v>——</v>
      </c>
      <c r="E19" s="1482"/>
    </row>
    <row r="20" spans="1:5" ht="15.75">
      <c r="A20" s="1482"/>
      <c r="B20" s="3499"/>
      <c r="C20" s="1485" t="s">
        <v>923</v>
      </c>
      <c r="D20" s="841" t="e">
        <f>NUMBERSTRING(INT(D19*10000),2)&amp;"元整"</f>
        <v>#VALUE!</v>
      </c>
      <c r="E20" s="1482"/>
    </row>
    <row r="21" spans="1:5" ht="15.75" thickBot="1">
      <c r="A21" s="1482"/>
      <c r="B21" s="3500"/>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1.1748000000000001</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1.1174999999999999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35305</v>
      </c>
      <c r="C2" s="2" t="s">
        <v>106</v>
      </c>
      <c r="D2" s="193"/>
      <c r="E2" s="193"/>
      <c r="F2" s="193"/>
      <c r="G2" s="193"/>
    </row>
    <row r="3" spans="1:7" s="194" customFormat="1" ht="18" customHeight="1" thickBot="1">
      <c r="A3" s="197" t="s">
        <v>58</v>
      </c>
      <c r="B3" s="198">
        <f ca="1">ROUND(B2*10000/'数据-汇总表'!E3,0)</f>
        <v>15199</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465</v>
      </c>
      <c r="D10" s="836">
        <f>'数据-汇总表'!E6</f>
        <v>23228.35</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465</v>
      </c>
      <c r="D19" s="840">
        <f>'数据-汇总表'!E3</f>
        <v>23228.35</v>
      </c>
      <c r="E19" s="205">
        <f>'数据-取费表'!B31</f>
        <v>200</v>
      </c>
      <c r="F19" s="225"/>
      <c r="G19" s="1" t="s">
        <v>436</v>
      </c>
    </row>
    <row r="20" spans="1:7" s="208" customFormat="1" ht="13.5" customHeight="1">
      <c r="A20" s="768" t="s">
        <v>419</v>
      </c>
      <c r="B20" s="204" t="s">
        <v>77</v>
      </c>
      <c r="C20" s="226">
        <f>ROUND((C5+C19)*F20,0)</f>
        <v>422</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734</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16</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2150</v>
      </c>
      <c r="D27" s="229">
        <f>C29</f>
        <v>1E-3</v>
      </c>
      <c r="E27" s="230" t="s">
        <v>99</v>
      </c>
      <c r="F27" s="240">
        <f>'数据-取费表'!Q16</f>
        <v>0.1</v>
      </c>
      <c r="G27" s="241" t="s">
        <v>431</v>
      </c>
    </row>
    <row r="28" spans="1:7" s="208" customFormat="1" ht="13.5" customHeight="1">
      <c r="A28" s="771" t="s">
        <v>349</v>
      </c>
      <c r="B28" s="242" t="s">
        <v>424</v>
      </c>
      <c r="C28" s="243">
        <f>ROUND((C5+C19+C20)*F27*'数据-取费表'!B21/'数据-取费表'!B20,0)</f>
        <v>2150</v>
      </c>
      <c r="D28" s="229"/>
      <c r="E28" s="230"/>
      <c r="F28" s="240"/>
      <c r="G28" s="241"/>
    </row>
    <row r="29" spans="1:7" s="208" customFormat="1" ht="13.5" customHeight="1">
      <c r="A29" s="771" t="s">
        <v>347</v>
      </c>
      <c r="B29" s="242" t="s">
        <v>425</v>
      </c>
      <c r="C29" s="232">
        <f>ROUND(C21*F27*'数据-取费表'!B21/'数据-取费表'!B20,4)</f>
        <v>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26036</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8961</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8130</v>
      </c>
      <c r="D34" s="211"/>
      <c r="E34" s="214"/>
      <c r="F34" s="251">
        <f>IF('数据-取费表'!B24=0,1,'数据-取费表'!N16)</f>
        <v>1</v>
      </c>
      <c r="G34" s="213" t="s">
        <v>89</v>
      </c>
    </row>
    <row r="35" spans="1:7" ht="13.5" customHeight="1">
      <c r="A35" s="771" t="s">
        <v>351</v>
      </c>
      <c r="B35" s="209" t="s">
        <v>33</v>
      </c>
      <c r="C35" s="214">
        <f>ROUND(C34*F35,0)</f>
        <v>244</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465</v>
      </c>
      <c r="D37" s="211">
        <f>'数据-汇总表'!E3</f>
        <v>23228.35</v>
      </c>
      <c r="E37" s="243">
        <f>'数据-取费表'!B35</f>
        <v>200</v>
      </c>
      <c r="F37" s="253"/>
      <c r="G37" s="255" t="s">
        <v>92</v>
      </c>
    </row>
    <row r="38" spans="1:7" ht="13.5" customHeight="1">
      <c r="A38" s="771" t="s">
        <v>354</v>
      </c>
      <c r="B38" s="209" t="s">
        <v>36</v>
      </c>
      <c r="C38" s="214">
        <f>ROUND(C34*F38,0)</f>
        <v>122</v>
      </c>
      <c r="D38" s="214"/>
      <c r="E38" s="214"/>
      <c r="F38" s="253">
        <f>'数据-取费表'!B36</f>
        <v>1.4999999999999999E-2</v>
      </c>
      <c r="G38" s="213" t="s">
        <v>90</v>
      </c>
    </row>
    <row r="39" spans="1:7" s="208" customFormat="1" ht="13.5" customHeight="1">
      <c r="A39" s="768" t="s">
        <v>338</v>
      </c>
      <c r="B39" s="204" t="s">
        <v>77</v>
      </c>
      <c r="C39" s="226">
        <f>ROUND(C33*F20,0)</f>
        <v>179</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158</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155</v>
      </c>
      <c r="D42" s="232"/>
      <c r="E42" s="232"/>
      <c r="F42" s="233"/>
      <c r="G42" s="3703" t="s">
        <v>94</v>
      </c>
    </row>
    <row r="43" spans="1:7" ht="13.5" customHeight="1">
      <c r="A43" s="771" t="s">
        <v>347</v>
      </c>
      <c r="B43" s="209" t="s">
        <v>426</v>
      </c>
      <c r="C43" s="232">
        <f ca="1">ROUND(IF('数据-取费表'!B22&lt;=1,C39*F22*'数据-取费表'!B21/2,C39*(POWER((1+F22),'数据-取费表'!B21/2)-1)),0)</f>
        <v>3</v>
      </c>
      <c r="D43" s="232"/>
      <c r="E43" s="232"/>
      <c r="F43" s="233"/>
      <c r="G43" s="3704"/>
    </row>
    <row r="44" spans="1:7" ht="13.5" customHeight="1">
      <c r="A44" s="771" t="s">
        <v>348</v>
      </c>
      <c r="B44" s="209" t="s">
        <v>428</v>
      </c>
      <c r="C44" s="232">
        <f ca="1">ROUND(IF('数据-取费表'!B22&lt;=1,C40*F22*'数据-取费表'!B21/2,C40*(POWER((1+F22),'数据-取费表'!B21/2)-1)),4)</f>
        <v>2.0000000000000001E-4</v>
      </c>
      <c r="D44" s="232"/>
      <c r="E44" s="232"/>
      <c r="F44" s="233"/>
      <c r="G44" s="3705"/>
    </row>
    <row r="45" spans="1:7" s="208" customFormat="1" ht="13.5" customHeight="1">
      <c r="A45" s="768" t="s">
        <v>341</v>
      </c>
      <c r="B45" s="238" t="s">
        <v>85</v>
      </c>
      <c r="C45" s="239">
        <f>C46</f>
        <v>914</v>
      </c>
      <c r="D45" s="229">
        <f>C47</f>
        <v>1E-3</v>
      </c>
      <c r="E45" s="230" t="s">
        <v>102</v>
      </c>
      <c r="F45" s="240"/>
      <c r="G45" s="241" t="s">
        <v>434</v>
      </c>
    </row>
    <row r="46" spans="1:7" s="208" customFormat="1" ht="13.5" customHeight="1">
      <c r="A46" s="771" t="s">
        <v>349</v>
      </c>
      <c r="B46" s="242" t="s">
        <v>427</v>
      </c>
      <c r="C46" s="243">
        <f>ROUND((C33+C39)*F27,0)</f>
        <v>914</v>
      </c>
      <c r="D46" s="257"/>
      <c r="E46" s="230"/>
      <c r="F46" s="240"/>
      <c r="G46" s="241"/>
    </row>
    <row r="47" spans="1:7" s="208" customFormat="1" ht="13.5" customHeight="1">
      <c r="A47" s="771" t="s">
        <v>347</v>
      </c>
      <c r="B47" s="242" t="s">
        <v>429</v>
      </c>
      <c r="C47" s="232">
        <f>ROUND(C40*F27,4)</f>
        <v>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10905</v>
      </c>
      <c r="D49" s="226"/>
      <c r="E49" s="226"/>
      <c r="F49" s="258"/>
      <c r="G49" s="228" t="s">
        <v>435</v>
      </c>
    </row>
    <row r="50" spans="1:7" s="252" customFormat="1" ht="24">
      <c r="A50" s="768" t="s">
        <v>344</v>
      </c>
      <c r="B50" s="204" t="s">
        <v>97</v>
      </c>
      <c r="C50" s="226"/>
      <c r="D50" s="226"/>
      <c r="E50" s="226"/>
      <c r="F50" s="258">
        <f>IF('数据-取费表'!B24=0,'数据-取费表'!N16,1)</f>
        <v>0.85</v>
      </c>
      <c r="G50" s="241" t="s">
        <v>98</v>
      </c>
    </row>
    <row r="51" spans="1:7" ht="16.5" customHeight="1">
      <c r="A51" s="768" t="s">
        <v>345</v>
      </c>
      <c r="B51" s="204" t="s">
        <v>105</v>
      </c>
      <c r="C51" s="226">
        <f ca="1">ROUND(C49*F50,0)</f>
        <v>9269</v>
      </c>
      <c r="D51" s="226"/>
      <c r="E51" s="226"/>
      <c r="F51" s="258"/>
      <c r="G51" s="228" t="s">
        <v>37</v>
      </c>
    </row>
    <row r="52" spans="1:7" s="202" customFormat="1" ht="16.5" thickBot="1">
      <c r="A52" s="259" t="s">
        <v>38</v>
      </c>
      <c r="B52" s="260"/>
      <c r="C52" s="261">
        <f ca="1">C31+C51</f>
        <v>35305</v>
      </c>
      <c r="D52" s="260"/>
      <c r="E52" s="260"/>
      <c r="F52" s="260"/>
      <c r="G52" s="262"/>
    </row>
    <row r="55" spans="1:7" ht="15">
      <c r="B55" s="264" t="s">
        <v>39</v>
      </c>
      <c r="C55" s="265"/>
    </row>
    <row r="56" spans="1:7">
      <c r="B56" s="267" t="s">
        <v>40</v>
      </c>
      <c r="C56" s="268">
        <f ca="1">ROUND(C51/C52,3)</f>
        <v>0.26300000000000001</v>
      </c>
    </row>
    <row r="57" spans="1:7">
      <c r="B57" s="267" t="s">
        <v>41</v>
      </c>
      <c r="C57" s="269">
        <f ca="1">1-C56</f>
        <v>0.73699999999999999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22" t="s">
        <v>2842</v>
      </c>
      <c r="B1" s="3822"/>
      <c r="C1" s="3822"/>
      <c r="D1" s="3822"/>
      <c r="E1" s="3822"/>
      <c r="F1" s="3822"/>
      <c r="G1" s="3823"/>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820"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821"/>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24" t="s">
        <v>3184</v>
      </c>
      <c r="B1" s="3824"/>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25" t="s">
        <v>3235</v>
      </c>
      <c r="B1" s="3825"/>
      <c r="C1" s="3825"/>
      <c r="D1" s="3825"/>
      <c r="E1" s="3825"/>
      <c r="F1" s="3826"/>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45398</v>
      </c>
      <c r="B1" s="3199" t="s">
        <v>3375</v>
      </c>
      <c r="C1" s="3200"/>
      <c r="D1" s="3200"/>
      <c r="E1" s="3200"/>
      <c r="F1" s="3200"/>
      <c r="G1" s="3200"/>
      <c r="H1" s="3200"/>
      <c r="I1" s="3200"/>
      <c r="J1" s="3154"/>
      <c r="K1" s="3200" t="s">
        <v>454</v>
      </c>
      <c r="L1" s="3200"/>
      <c r="M1" s="3200"/>
      <c r="N1" s="3200"/>
      <c r="O1" s="3200"/>
      <c r="P1" s="3200"/>
      <c r="Q1" s="3154"/>
      <c r="R1" s="3827" t="s">
        <v>456</v>
      </c>
      <c r="S1" s="3828"/>
      <c r="T1" s="3828"/>
      <c r="U1" s="3828"/>
      <c r="V1" s="3828"/>
      <c r="W1" s="3828"/>
      <c r="X1" s="3154"/>
      <c r="Y1" s="3827" t="s">
        <v>457</v>
      </c>
      <c r="Z1" s="3828"/>
      <c r="AA1" s="3828"/>
      <c r="AB1" s="3828"/>
      <c r="AC1" s="3828"/>
      <c r="AD1" s="3828"/>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827" t="s">
        <v>2830</v>
      </c>
      <c r="S23" s="3828"/>
      <c r="T23" s="3828"/>
      <c r="U23" s="3828"/>
      <c r="V23" s="3828"/>
      <c r="W23" s="3828"/>
      <c r="X23" s="3154"/>
      <c r="Y23" s="3827" t="s">
        <v>2831</v>
      </c>
      <c r="Z23" s="3828"/>
      <c r="AA23" s="3828"/>
      <c r="AB23" s="3828"/>
      <c r="AC23" s="3828"/>
      <c r="AD23" s="3828"/>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0">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0"/>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0"/>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39"/>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35">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0"/>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0"/>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39"/>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35">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0"/>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0"/>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1"/>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29">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0"/>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0"/>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1"/>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29">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0"/>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0"/>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1"/>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36">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37"/>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37"/>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38"/>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29">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0"/>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0"/>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1"/>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29">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0">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0">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1">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29">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0">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0">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1">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29">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0">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0">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1">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29">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0">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0">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1">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29">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0">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0">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1">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29">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0">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0">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1">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29">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0">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0">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1">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29">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0">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0">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1">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29">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0">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0">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1">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29">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0">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0">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1">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45398</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建筑物价值</v>
      </c>
      <c r="G2" s="3516"/>
      <c r="H2" s="3516" t="str">
        <f>IF(项目基本情况!B9="房地产市场价值","房地产市场价值","房地产价值")</f>
        <v>房地产价值</v>
      </c>
      <c r="I2" s="3516"/>
    </row>
    <row r="3" spans="1:9" ht="15">
      <c r="A3" s="3511"/>
      <c r="B3" s="3511"/>
      <c r="C3" s="3511"/>
      <c r="D3" s="845" t="s">
        <v>925</v>
      </c>
      <c r="E3" s="845" t="s">
        <v>931</v>
      </c>
      <c r="F3" s="845" t="s">
        <v>925</v>
      </c>
      <c r="G3" s="845" t="s">
        <v>926</v>
      </c>
      <c r="H3" s="845" t="s">
        <v>925</v>
      </c>
      <c r="I3" s="845" t="s">
        <v>926</v>
      </c>
    </row>
    <row r="4" spans="1:9" ht="30">
      <c r="A4" s="1496" t="str">
        <f>项目基本情况!S2</f>
        <v>北京市经济技术开发区兴海二街5好远1号楼等房地产</v>
      </c>
      <c r="B4" s="845">
        <f>项目基本情况!C17</f>
        <v>23228.35</v>
      </c>
      <c r="C4" s="845">
        <f>项目基本情况!C18</f>
        <v>15458.2</v>
      </c>
      <c r="D4" s="845">
        <f ca="1">结果表!D118</f>
        <v>7673</v>
      </c>
      <c r="E4" s="845">
        <f ca="1">结果表!E118</f>
        <v>3304</v>
      </c>
      <c r="F4" s="845">
        <f ca="1">结果表!F118</f>
        <v>13348</v>
      </c>
      <c r="G4" s="845">
        <f ca="1">结果表!G118</f>
        <v>5746</v>
      </c>
      <c r="H4" s="845">
        <f ca="1">结果表!H118</f>
        <v>21021</v>
      </c>
      <c r="I4" s="845">
        <f ca="1">结果表!I118</f>
        <v>9050</v>
      </c>
    </row>
    <row r="5" spans="1:9" ht="30" customHeight="1">
      <c r="A5" s="3511" t="s">
        <v>927</v>
      </c>
      <c r="B5" s="3511"/>
      <c r="C5" s="3511"/>
      <c r="D5" s="3511" t="str">
        <f ca="1">结果表!D119</f>
        <v>柒仟陆佰柒拾叁万元整</v>
      </c>
      <c r="E5" s="3511"/>
      <c r="F5" s="3511" t="str">
        <f ca="1">结果表!F119</f>
        <v>壹亿叁仟叁佰肆拾捌万元整</v>
      </c>
      <c r="G5" s="3511"/>
      <c r="H5" s="3511" t="str">
        <f ca="1">结果表!H119</f>
        <v>贰亿壹仟零贰拾壹万元整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房地产抵押价值</v>
      </c>
      <c r="B8" s="3510"/>
      <c r="C8" s="3510"/>
      <c r="D8" s="3510">
        <f ca="1">结果表!D122</f>
        <v>21021</v>
      </c>
      <c r="E8" s="3510"/>
      <c r="F8" s="3510"/>
      <c r="G8" s="3510"/>
      <c r="H8" s="3510"/>
      <c r="I8" s="3510"/>
    </row>
    <row r="9" spans="1:9" ht="15">
      <c r="A9" s="3511" t="s">
        <v>927</v>
      </c>
      <c r="B9" s="3511"/>
      <c r="C9" s="3511"/>
      <c r="D9" s="3511" t="str">
        <f ca="1">结果表!D123</f>
        <v>贰亿壹仟零贰拾壹万元整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23" t="s">
        <v>949</v>
      </c>
      <c r="B1" s="3523"/>
      <c r="C1" s="3523"/>
      <c r="D1" s="3523"/>
    </row>
    <row r="2" spans="1:4" ht="18">
      <c r="A2" s="3524" t="s">
        <v>933</v>
      </c>
      <c r="B2" s="3524"/>
      <c r="C2" s="3524"/>
      <c r="D2" s="3524"/>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24" t="s">
        <v>939</v>
      </c>
      <c r="B6" s="3524"/>
      <c r="C6" s="3524"/>
      <c r="D6" s="352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945</v>
      </c>
      <c r="B22" s="3521"/>
      <c r="C22" s="3521"/>
      <c r="D22" s="352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1" t="s">
        <v>956</v>
      </c>
      <c r="B15" s="3526" t="s">
        <v>109</v>
      </c>
      <c r="C15" s="3527"/>
    </row>
    <row r="16" spans="1:7" ht="13.5">
      <c r="A16" s="3532"/>
      <c r="B16" s="3526" t="s">
        <v>42</v>
      </c>
      <c r="C16" s="3527"/>
    </row>
    <row r="17" spans="1:3" ht="13.5">
      <c r="A17" s="3532"/>
      <c r="B17" s="3529" t="s">
        <v>957</v>
      </c>
      <c r="C17" s="1523" t="s">
        <v>956</v>
      </c>
    </row>
    <row r="18" spans="1:3" ht="13.5">
      <c r="A18" s="3532"/>
      <c r="B18" s="3529"/>
      <c r="C18" s="1523" t="s">
        <v>958</v>
      </c>
    </row>
    <row r="19" spans="1:3" ht="13.5">
      <c r="A19" s="3532"/>
      <c r="B19" s="3529"/>
      <c r="C19" s="1523" t="s">
        <v>959</v>
      </c>
    </row>
    <row r="20" spans="1:3" ht="13.5">
      <c r="A20" s="3533"/>
      <c r="B20" s="3528" t="s">
        <v>960</v>
      </c>
      <c r="C20" s="3527"/>
    </row>
    <row r="21" spans="1:3" ht="13.5">
      <c r="A21" s="1524" t="s">
        <v>961</v>
      </c>
      <c r="B21" s="1525"/>
      <c r="C21" s="1526"/>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3" t="s">
        <v>967</v>
      </c>
    </row>
    <row r="26" spans="1:3" ht="13.5">
      <c r="A26" s="3530"/>
      <c r="B26" s="3529"/>
      <c r="C26" s="1523" t="s">
        <v>968</v>
      </c>
    </row>
    <row r="27" spans="1:3" ht="13.5">
      <c r="A27" s="3530"/>
      <c r="B27" s="3529"/>
      <c r="C27" s="1523" t="s">
        <v>969</v>
      </c>
    </row>
    <row r="28" spans="1:3" ht="13.5">
      <c r="A28" s="3530"/>
      <c r="B28" s="3529"/>
      <c r="C28" s="1523" t="s">
        <v>970</v>
      </c>
    </row>
    <row r="29" spans="1:3" ht="13.5">
      <c r="A29" s="3530"/>
      <c r="B29" s="3529"/>
      <c r="C29" s="1523" t="s">
        <v>971</v>
      </c>
    </row>
    <row r="30" spans="1:3" ht="13.5">
      <c r="A30" s="3530"/>
      <c r="B30" s="3529"/>
      <c r="C30" s="1523" t="s">
        <v>972</v>
      </c>
    </row>
    <row r="31" spans="1:3" ht="13.5">
      <c r="A31" s="3530"/>
      <c r="B31" s="3529"/>
      <c r="C31" s="1523" t="s">
        <v>973</v>
      </c>
    </row>
    <row r="32" spans="1:3" ht="13.5">
      <c r="A32" s="3530"/>
      <c r="B32" s="3529"/>
      <c r="C32" s="1523" t="s">
        <v>974</v>
      </c>
    </row>
    <row r="33" spans="1:3" ht="13.5">
      <c r="A33" s="3530"/>
      <c r="B33" s="3529"/>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45398</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t="str">
        <f ca="1">IF(C13&lt;B2,"已过期",1120020033)</f>
        <v>已过期</v>
      </c>
      <c r="C13" s="2336">
        <v>45375</v>
      </c>
      <c r="D13" s="2337" t="str">
        <f t="shared" ca="1" si="0"/>
        <v>刘敬东（注册号：已过期）</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34" t="s">
        <v>2159</v>
      </c>
      <c r="B17" s="3534"/>
      <c r="C17" s="3534"/>
      <c r="D17" s="3534"/>
      <c r="E17" s="3534"/>
      <c r="F17" s="3534"/>
      <c r="G17" s="3534"/>
      <c r="H17" s="3534"/>
    </row>
    <row r="18" spans="1:8" ht="24" customHeight="1">
      <c r="A18" s="3535" t="s">
        <v>2160</v>
      </c>
      <c r="B18" s="3535"/>
      <c r="C18" s="3535"/>
      <c r="D18" s="2334"/>
      <c r="E18" s="3536" t="s">
        <v>2161</v>
      </c>
      <c r="F18" s="3535"/>
      <c r="G18" s="353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2024-04-16T02:51:08Z</dcterms:modified>
</cp:coreProperties>
</file>