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I:\王曦\☆报告☆\2018\2018-1-0360廊坊京磁精密\测算及预评\"/>
    </mc:Choice>
  </mc:AlternateContent>
  <bookViews>
    <workbookView xWindow="480" yWindow="216" windowWidth="12120" windowHeight="7620" tabRatio="899" firstSheet="12"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抵押物清单（分楼）" sheetId="42" state="hidden"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土地案例" sheetId="77"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concurrentManualCount="2"/>
</workbook>
</file>

<file path=xl/calcChain.xml><?xml version="1.0" encoding="utf-8"?>
<calcChain xmlns="http://schemas.openxmlformats.org/spreadsheetml/2006/main">
  <c r="D3" i="4" l="1"/>
  <c r="C1" i="73"/>
  <c r="J1" i="73"/>
  <c r="B22" i="1"/>
  <c r="E1" i="73"/>
  <c r="AS2" i="77"/>
  <c r="E41" i="40"/>
  <c r="R41" i="40"/>
  <c r="E7" i="40"/>
  <c r="B2" i="1"/>
  <c r="C7" i="40"/>
  <c r="C63" i="40"/>
  <c r="C65" i="40"/>
  <c r="D63" i="40"/>
  <c r="D65" i="40"/>
  <c r="E63" i="40"/>
  <c r="E65" i="40"/>
  <c r="F63" i="40"/>
  <c r="F65" i="40"/>
  <c r="G63" i="40"/>
  <c r="G65" i="40"/>
  <c r="H63" i="40"/>
  <c r="H65" i="40"/>
  <c r="I63" i="40"/>
  <c r="I65" i="40"/>
  <c r="J63" i="40"/>
  <c r="J65" i="40"/>
  <c r="K63" i="40"/>
  <c r="K65" i="40"/>
  <c r="L63" i="40"/>
  <c r="L65" i="40"/>
  <c r="M63" i="40"/>
  <c r="M65" i="40"/>
  <c r="N63" i="40"/>
  <c r="N65" i="40"/>
  <c r="O63" i="40"/>
  <c r="O65" i="40"/>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4" i="43"/>
  <c r="B66" i="40"/>
  <c r="F7" i="40"/>
  <c r="AA7" i="40"/>
  <c r="F8" i="40"/>
  <c r="AA8" i="40"/>
  <c r="F9" i="40"/>
  <c r="AA9" i="40"/>
  <c r="D76" i="40"/>
  <c r="E76" i="40"/>
  <c r="I13" i="3"/>
  <c r="I5" i="3"/>
  <c r="F19" i="6"/>
  <c r="BB10"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B5" i="3"/>
  <c r="BC10" i="3"/>
  <c r="BD10" i="3"/>
  <c r="BE10" i="3"/>
  <c r="BF10" i="3"/>
  <c r="BG10" i="3"/>
  <c r="BH10" i="3"/>
  <c r="BI10" i="3"/>
  <c r="BJ10" i="3"/>
  <c r="BK10" i="3"/>
  <c r="BC13" i="3"/>
  <c r="BC14" i="3"/>
  <c r="BC15" i="3"/>
  <c r="BC16" i="3"/>
  <c r="BC17" i="3"/>
  <c r="BC18" i="3"/>
  <c r="BC19" i="3"/>
  <c r="BC20" i="3"/>
  <c r="BC21" i="3"/>
  <c r="BC22" i="3"/>
  <c r="BC23" i="3"/>
  <c r="BC24" i="3"/>
  <c r="BC25" i="3"/>
  <c r="BC26" i="3"/>
  <c r="BC27" i="3"/>
  <c r="BC28" i="3"/>
  <c r="BC29" i="3"/>
  <c r="BC30" i="3"/>
  <c r="BC31" i="3"/>
  <c r="BC32" i="3"/>
  <c r="BC33" i="3"/>
  <c r="BC34" i="3"/>
  <c r="BC35" i="3"/>
  <c r="BC36" i="3"/>
  <c r="BC37" i="3"/>
  <c r="BC38" i="3"/>
  <c r="BC39" i="3"/>
  <c r="BC40" i="3"/>
  <c r="BC41" i="3"/>
  <c r="BC42" i="3"/>
  <c r="BC43" i="3"/>
  <c r="BC44" i="3"/>
  <c r="BC45" i="3"/>
  <c r="BC46" i="3"/>
  <c r="BC47" i="3"/>
  <c r="BC48" i="3"/>
  <c r="BC49" i="3"/>
  <c r="BC50" i="3"/>
  <c r="BC51" i="3"/>
  <c r="BC52" i="3"/>
  <c r="BC53" i="3"/>
  <c r="BC54" i="3"/>
  <c r="BC55" i="3"/>
  <c r="BC56" i="3"/>
  <c r="BC57" i="3"/>
  <c r="BC58" i="3"/>
  <c r="BC59" i="3"/>
  <c r="BC60" i="3"/>
  <c r="BC61" i="3"/>
  <c r="BC62" i="3"/>
  <c r="BC63" i="3"/>
  <c r="BC64" i="3"/>
  <c r="BC65" i="3"/>
  <c r="BC66" i="3"/>
  <c r="BC67" i="3"/>
  <c r="BC68" i="3"/>
  <c r="BC69" i="3"/>
  <c r="BC70" i="3"/>
  <c r="BC71" i="3"/>
  <c r="BC72" i="3"/>
  <c r="BC73" i="3"/>
  <c r="BC74" i="3"/>
  <c r="BC75" i="3"/>
  <c r="BC76" i="3"/>
  <c r="BC77" i="3"/>
  <c r="BC78" i="3"/>
  <c r="BC79" i="3"/>
  <c r="BC80" i="3"/>
  <c r="BC81" i="3"/>
  <c r="BC82" i="3"/>
  <c r="BC83" i="3"/>
  <c r="BC84" i="3"/>
  <c r="BC85" i="3"/>
  <c r="BC86" i="3"/>
  <c r="BC87" i="3"/>
  <c r="BC88" i="3"/>
  <c r="BC89" i="3"/>
  <c r="BC90" i="3"/>
  <c r="BC91" i="3"/>
  <c r="BC92" i="3"/>
  <c r="BC93" i="3"/>
  <c r="BC94" i="3"/>
  <c r="BC95" i="3"/>
  <c r="BC96" i="3"/>
  <c r="BC97" i="3"/>
  <c r="BC98" i="3"/>
  <c r="BC99" i="3"/>
  <c r="BC100" i="3"/>
  <c r="BC101" i="3"/>
  <c r="BC102" i="3"/>
  <c r="BC103" i="3"/>
  <c r="BC104" i="3"/>
  <c r="BC105" i="3"/>
  <c r="BC106" i="3"/>
  <c r="BC107" i="3"/>
  <c r="BC108" i="3"/>
  <c r="BC109" i="3"/>
  <c r="BC110" i="3"/>
  <c r="BC111" i="3"/>
  <c r="BC112" i="3"/>
  <c r="BC113" i="3"/>
  <c r="BC114" i="3"/>
  <c r="BC115" i="3"/>
  <c r="BC116" i="3"/>
  <c r="BC117" i="3"/>
  <c r="BC118" i="3"/>
  <c r="BC119" i="3"/>
  <c r="BC120" i="3"/>
  <c r="BC121" i="3"/>
  <c r="BC122" i="3"/>
  <c r="BC123" i="3"/>
  <c r="BC124" i="3"/>
  <c r="BC125" i="3"/>
  <c r="BC126" i="3"/>
  <c r="BC127" i="3"/>
  <c r="BC128" i="3"/>
  <c r="BC129" i="3"/>
  <c r="BC130" i="3"/>
  <c r="BC131" i="3"/>
  <c r="BC132" i="3"/>
  <c r="BC133" i="3"/>
  <c r="BC134" i="3"/>
  <c r="BC135" i="3"/>
  <c r="BC136" i="3"/>
  <c r="BC137" i="3"/>
  <c r="BC138" i="3"/>
  <c r="BC139" i="3"/>
  <c r="BC140" i="3"/>
  <c r="BC141" i="3"/>
  <c r="BC142" i="3"/>
  <c r="BC143" i="3"/>
  <c r="BC144" i="3"/>
  <c r="BC145" i="3"/>
  <c r="BC146" i="3"/>
  <c r="BC147" i="3"/>
  <c r="BC148" i="3"/>
  <c r="BC149" i="3"/>
  <c r="BC150" i="3"/>
  <c r="BC151" i="3"/>
  <c r="BC152" i="3"/>
  <c r="BC153" i="3"/>
  <c r="BC154" i="3"/>
  <c r="BC155" i="3"/>
  <c r="BC156" i="3"/>
  <c r="BC157" i="3"/>
  <c r="BC158" i="3"/>
  <c r="BC159" i="3"/>
  <c r="BC160" i="3"/>
  <c r="BC161" i="3"/>
  <c r="BC162" i="3"/>
  <c r="BC163" i="3"/>
  <c r="BC164" i="3"/>
  <c r="BC165" i="3"/>
  <c r="BC166" i="3"/>
  <c r="BC167" i="3"/>
  <c r="BC168" i="3"/>
  <c r="BC169" i="3"/>
  <c r="BC170" i="3"/>
  <c r="BC171" i="3"/>
  <c r="BC172" i="3"/>
  <c r="BC173" i="3"/>
  <c r="BC174" i="3"/>
  <c r="BC175" i="3"/>
  <c r="BC176" i="3"/>
  <c r="BC177" i="3"/>
  <c r="BC178" i="3"/>
  <c r="BC179" i="3"/>
  <c r="BC180" i="3"/>
  <c r="BC181" i="3"/>
  <c r="BC182" i="3"/>
  <c r="BC183" i="3"/>
  <c r="BC184" i="3"/>
  <c r="BC185" i="3"/>
  <c r="BC186" i="3"/>
  <c r="BC187" i="3"/>
  <c r="BC188" i="3"/>
  <c r="BC189" i="3"/>
  <c r="BC190" i="3"/>
  <c r="BC191" i="3"/>
  <c r="BC192" i="3"/>
  <c r="BC193" i="3"/>
  <c r="BC194" i="3"/>
  <c r="BC195" i="3"/>
  <c r="BC196" i="3"/>
  <c r="BC197" i="3"/>
  <c r="BC198" i="3"/>
  <c r="BC199" i="3"/>
  <c r="BC200" i="3"/>
  <c r="BC201" i="3"/>
  <c r="BC202" i="3"/>
  <c r="BC203" i="3"/>
  <c r="BC204" i="3"/>
  <c r="BC205" i="3"/>
  <c r="BC206" i="3"/>
  <c r="BC207" i="3"/>
  <c r="BC208" i="3"/>
  <c r="BC209" i="3"/>
  <c r="BC210" i="3"/>
  <c r="BC211" i="3"/>
  <c r="BC212" i="3"/>
  <c r="BC213" i="3"/>
  <c r="BC214" i="3"/>
  <c r="BC215" i="3"/>
  <c r="BC216" i="3"/>
  <c r="BC217" i="3"/>
  <c r="BC218" i="3"/>
  <c r="BC219" i="3"/>
  <c r="BC220" i="3"/>
  <c r="BC221" i="3"/>
  <c r="BC222" i="3"/>
  <c r="BC223" i="3"/>
  <c r="BC224" i="3"/>
  <c r="BC225" i="3"/>
  <c r="BC226" i="3"/>
  <c r="BC227" i="3"/>
  <c r="BC228" i="3"/>
  <c r="BC229" i="3"/>
  <c r="BC230" i="3"/>
  <c r="BC231" i="3"/>
  <c r="BC232" i="3"/>
  <c r="BC233" i="3"/>
  <c r="BC234" i="3"/>
  <c r="BC235" i="3"/>
  <c r="BC236" i="3"/>
  <c r="BC237" i="3"/>
  <c r="BC238" i="3"/>
  <c r="BC239" i="3"/>
  <c r="BC240" i="3"/>
  <c r="BC241" i="3"/>
  <c r="BC242" i="3"/>
  <c r="BC243" i="3"/>
  <c r="BC244" i="3"/>
  <c r="BC245" i="3"/>
  <c r="BC246" i="3"/>
  <c r="BC247" i="3"/>
  <c r="BC248" i="3"/>
  <c r="BC249" i="3"/>
  <c r="BC250" i="3"/>
  <c r="BC251" i="3"/>
  <c r="BC252" i="3"/>
  <c r="BC253" i="3"/>
  <c r="BC254" i="3"/>
  <c r="BC255" i="3"/>
  <c r="BC256" i="3"/>
  <c r="BC257" i="3"/>
  <c r="BC258" i="3"/>
  <c r="BC259" i="3"/>
  <c r="BC260" i="3"/>
  <c r="BC261" i="3"/>
  <c r="BC262" i="3"/>
  <c r="BC263" i="3"/>
  <c r="BC264" i="3"/>
  <c r="BC265" i="3"/>
  <c r="BC266" i="3"/>
  <c r="BC267" i="3"/>
  <c r="BC268" i="3"/>
  <c r="BC269" i="3"/>
  <c r="BC270" i="3"/>
  <c r="BC271" i="3"/>
  <c r="BC272" i="3"/>
  <c r="BC273" i="3"/>
  <c r="BC274" i="3"/>
  <c r="BC275" i="3"/>
  <c r="BC276" i="3"/>
  <c r="BC277" i="3"/>
  <c r="BC278" i="3"/>
  <c r="BC279" i="3"/>
  <c r="BC280" i="3"/>
  <c r="BC281" i="3"/>
  <c r="BC282" i="3"/>
  <c r="BC283" i="3"/>
  <c r="BC284" i="3"/>
  <c r="BC285" i="3"/>
  <c r="BC286" i="3"/>
  <c r="BC287" i="3"/>
  <c r="BC288" i="3"/>
  <c r="BC289" i="3"/>
  <c r="BC290" i="3"/>
  <c r="BC291" i="3"/>
  <c r="BC292" i="3"/>
  <c r="BC293" i="3"/>
  <c r="BC294" i="3"/>
  <c r="BC295" i="3"/>
  <c r="BC296" i="3"/>
  <c r="BC297" i="3"/>
  <c r="BC298" i="3"/>
  <c r="BC299" i="3"/>
  <c r="BC300" i="3"/>
  <c r="BC301" i="3"/>
  <c r="BC302" i="3"/>
  <c r="BC303" i="3"/>
  <c r="BC304" i="3"/>
  <c r="BC305" i="3"/>
  <c r="BC306" i="3"/>
  <c r="BC307" i="3"/>
  <c r="BC308" i="3"/>
  <c r="BC309" i="3"/>
  <c r="BC310" i="3"/>
  <c r="BC311" i="3"/>
  <c r="BC312" i="3"/>
  <c r="BC313" i="3"/>
  <c r="BC314" i="3"/>
  <c r="BC315" i="3"/>
  <c r="BC316" i="3"/>
  <c r="BC317" i="3"/>
  <c r="BC318" i="3"/>
  <c r="BC319" i="3"/>
  <c r="BC320" i="3"/>
  <c r="BC321" i="3"/>
  <c r="BC322" i="3"/>
  <c r="BC323" i="3"/>
  <c r="BC324" i="3"/>
  <c r="BC325" i="3"/>
  <c r="BC326" i="3"/>
  <c r="BC327" i="3"/>
  <c r="BC328" i="3"/>
  <c r="BC329" i="3"/>
  <c r="BC330" i="3"/>
  <c r="BC331" i="3"/>
  <c r="BC332" i="3"/>
  <c r="BC333" i="3"/>
  <c r="BC334" i="3"/>
  <c r="BC335" i="3"/>
  <c r="BC336" i="3"/>
  <c r="BC337" i="3"/>
  <c r="BC338" i="3"/>
  <c r="BC339" i="3"/>
  <c r="BC340" i="3"/>
  <c r="BC341" i="3"/>
  <c r="BC342" i="3"/>
  <c r="BC343" i="3"/>
  <c r="BC344" i="3"/>
  <c r="BC345" i="3"/>
  <c r="BC346" i="3"/>
  <c r="BC347" i="3"/>
  <c r="BC348" i="3"/>
  <c r="BC349" i="3"/>
  <c r="BC350" i="3"/>
  <c r="BC351" i="3"/>
  <c r="BC352" i="3"/>
  <c r="BC353" i="3"/>
  <c r="BC354" i="3"/>
  <c r="BC355" i="3"/>
  <c r="BC356" i="3"/>
  <c r="BC357" i="3"/>
  <c r="BC358" i="3"/>
  <c r="BC359" i="3"/>
  <c r="BC360" i="3"/>
  <c r="BC361" i="3"/>
  <c r="BC362" i="3"/>
  <c r="BC363" i="3"/>
  <c r="BC364" i="3"/>
  <c r="BC365" i="3"/>
  <c r="BC366" i="3"/>
  <c r="BC367" i="3"/>
  <c r="BC368" i="3"/>
  <c r="BC369" i="3"/>
  <c r="BC370" i="3"/>
  <c r="BC371" i="3"/>
  <c r="BC372" i="3"/>
  <c r="BC373" i="3"/>
  <c r="BC374" i="3"/>
  <c r="BC375" i="3"/>
  <c r="BC376" i="3"/>
  <c r="BC377" i="3"/>
  <c r="BC378" i="3"/>
  <c r="BC379" i="3"/>
  <c r="BC380" i="3"/>
  <c r="BC381" i="3"/>
  <c r="BC382" i="3"/>
  <c r="BC383" i="3"/>
  <c r="BC384" i="3"/>
  <c r="BC385" i="3"/>
  <c r="BC386" i="3"/>
  <c r="BC387" i="3"/>
  <c r="BC388" i="3"/>
  <c r="BC389" i="3"/>
  <c r="BC390" i="3"/>
  <c r="BC391" i="3"/>
  <c r="BC392" i="3"/>
  <c r="BC393" i="3"/>
  <c r="BC394" i="3"/>
  <c r="BC395" i="3"/>
  <c r="BC396" i="3"/>
  <c r="BC397" i="3"/>
  <c r="BC398" i="3"/>
  <c r="BC399" i="3"/>
  <c r="BC400" i="3"/>
  <c r="BC401" i="3"/>
  <c r="BC402" i="3"/>
  <c r="BC403" i="3"/>
  <c r="BC404" i="3"/>
  <c r="BC405" i="3"/>
  <c r="BC406" i="3"/>
  <c r="BC407" i="3"/>
  <c r="BC408" i="3"/>
  <c r="BC409" i="3"/>
  <c r="BC410" i="3"/>
  <c r="BC411" i="3"/>
  <c r="BC412" i="3"/>
  <c r="BC413" i="3"/>
  <c r="BC414" i="3"/>
  <c r="BC415" i="3"/>
  <c r="BC416" i="3"/>
  <c r="BC417" i="3"/>
  <c r="BC418" i="3"/>
  <c r="BC419" i="3"/>
  <c r="BC420" i="3"/>
  <c r="BC421" i="3"/>
  <c r="BC422" i="3"/>
  <c r="BC423" i="3"/>
  <c r="BC424" i="3"/>
  <c r="BC425" i="3"/>
  <c r="BC426" i="3"/>
  <c r="BC427" i="3"/>
  <c r="BC428" i="3"/>
  <c r="BC429" i="3"/>
  <c r="BC430" i="3"/>
  <c r="BC431" i="3"/>
  <c r="BC432" i="3"/>
  <c r="BC433" i="3"/>
  <c r="BC434" i="3"/>
  <c r="BC435" i="3"/>
  <c r="BC436" i="3"/>
  <c r="BC437" i="3"/>
  <c r="BC438" i="3"/>
  <c r="BC439" i="3"/>
  <c r="BC440" i="3"/>
  <c r="BC441" i="3"/>
  <c r="BC442" i="3"/>
  <c r="BC443" i="3"/>
  <c r="BC444" i="3"/>
  <c r="BC445" i="3"/>
  <c r="BC446" i="3"/>
  <c r="BC447" i="3"/>
  <c r="BC448" i="3"/>
  <c r="BC449" i="3"/>
  <c r="BC450" i="3"/>
  <c r="BC451" i="3"/>
  <c r="BC452" i="3"/>
  <c r="BC453" i="3"/>
  <c r="BC454" i="3"/>
  <c r="BC455" i="3"/>
  <c r="BC456" i="3"/>
  <c r="BC457" i="3"/>
  <c r="BC458" i="3"/>
  <c r="BC459" i="3"/>
  <c r="BC460" i="3"/>
  <c r="BC461" i="3"/>
  <c r="BC462" i="3"/>
  <c r="BC463" i="3"/>
  <c r="BC464" i="3"/>
  <c r="BC465" i="3"/>
  <c r="BC466" i="3"/>
  <c r="BC467" i="3"/>
  <c r="BC468" i="3"/>
  <c r="BC469" i="3"/>
  <c r="BC470" i="3"/>
  <c r="BC471" i="3"/>
  <c r="BC472" i="3"/>
  <c r="BC473" i="3"/>
  <c r="BC474" i="3"/>
  <c r="BC475" i="3"/>
  <c r="BC476" i="3"/>
  <c r="BC477" i="3"/>
  <c r="BC478" i="3"/>
  <c r="BC479" i="3"/>
  <c r="BC480" i="3"/>
  <c r="BC481" i="3"/>
  <c r="BC482" i="3"/>
  <c r="BC483" i="3"/>
  <c r="BC484" i="3"/>
  <c r="BC485" i="3"/>
  <c r="BC486" i="3"/>
  <c r="BC487" i="3"/>
  <c r="BC488" i="3"/>
  <c r="BC489" i="3"/>
  <c r="BC490" i="3"/>
  <c r="BC491" i="3"/>
  <c r="BC492" i="3"/>
  <c r="BC493" i="3"/>
  <c r="BC494" i="3"/>
  <c r="BC495" i="3"/>
  <c r="BC496" i="3"/>
  <c r="BC497" i="3"/>
  <c r="BC498" i="3"/>
  <c r="BC499" i="3"/>
  <c r="BC500" i="3"/>
  <c r="BC501" i="3"/>
  <c r="BC502" i="3"/>
  <c r="BC503" i="3"/>
  <c r="BC504" i="3"/>
  <c r="BC505" i="3"/>
  <c r="BC506" i="3"/>
  <c r="BC507" i="3"/>
  <c r="BC508" i="3"/>
  <c r="BC509" i="3"/>
  <c r="BC510" i="3"/>
  <c r="BC511" i="3"/>
  <c r="BC512" i="3"/>
  <c r="BC513" i="3"/>
  <c r="BC514" i="3"/>
  <c r="BC515" i="3"/>
  <c r="BC516" i="3"/>
  <c r="BC517" i="3"/>
  <c r="BC518" i="3"/>
  <c r="BC519" i="3"/>
  <c r="BC520" i="3"/>
  <c r="BC521" i="3"/>
  <c r="BC522" i="3"/>
  <c r="BC523" i="3"/>
  <c r="BC524" i="3"/>
  <c r="BC525" i="3"/>
  <c r="BC526" i="3"/>
  <c r="BC527" i="3"/>
  <c r="BC528" i="3"/>
  <c r="BC529" i="3"/>
  <c r="BC530" i="3"/>
  <c r="BC531" i="3"/>
  <c r="BC532" i="3"/>
  <c r="BC533" i="3"/>
  <c r="BC534" i="3"/>
  <c r="BC535" i="3"/>
  <c r="BC536" i="3"/>
  <c r="BC537" i="3"/>
  <c r="BC538" i="3"/>
  <c r="BC539" i="3"/>
  <c r="BC540" i="3"/>
  <c r="BC541" i="3"/>
  <c r="BC542" i="3"/>
  <c r="BC543" i="3"/>
  <c r="BC544" i="3"/>
  <c r="BC545" i="3"/>
  <c r="BC546" i="3"/>
  <c r="BC547" i="3"/>
  <c r="BC548" i="3"/>
  <c r="BC549" i="3"/>
  <c r="BC550" i="3"/>
  <c r="BC551" i="3"/>
  <c r="BC552" i="3"/>
  <c r="BC553" i="3"/>
  <c r="BC554" i="3"/>
  <c r="BC555" i="3"/>
  <c r="BC556" i="3"/>
  <c r="BC557" i="3"/>
  <c r="BC558" i="3"/>
  <c r="BC559" i="3"/>
  <c r="BC560" i="3"/>
  <c r="BC561" i="3"/>
  <c r="BC562" i="3"/>
  <c r="BC563" i="3"/>
  <c r="BC564" i="3"/>
  <c r="BC565" i="3"/>
  <c r="BC566" i="3"/>
  <c r="BC567" i="3"/>
  <c r="BC568" i="3"/>
  <c r="BC569" i="3"/>
  <c r="BC570" i="3"/>
  <c r="BC571" i="3"/>
  <c r="BC572" i="3"/>
  <c r="BC573" i="3"/>
  <c r="BC574" i="3"/>
  <c r="BC575" i="3"/>
  <c r="BC576" i="3"/>
  <c r="BC577" i="3"/>
  <c r="BC578" i="3"/>
  <c r="BC579" i="3"/>
  <c r="BC580" i="3"/>
  <c r="BC581" i="3"/>
  <c r="BC582" i="3"/>
  <c r="BC583" i="3"/>
  <c r="BC584" i="3"/>
  <c r="BC585" i="3"/>
  <c r="BC586" i="3"/>
  <c r="BC587" i="3"/>
  <c r="BC5" i="3"/>
  <c r="BD13" i="3"/>
  <c r="BD14" i="3"/>
  <c r="BD15" i="3"/>
  <c r="BD16" i="3"/>
  <c r="BD17" i="3"/>
  <c r="BD18" i="3"/>
  <c r="BD19" i="3"/>
  <c r="BD20" i="3"/>
  <c r="BD21" i="3"/>
  <c r="BD22" i="3"/>
  <c r="BD23" i="3"/>
  <c r="BD24" i="3"/>
  <c r="BD25" i="3"/>
  <c r="BD26" i="3"/>
  <c r="BD27" i="3"/>
  <c r="BD28" i="3"/>
  <c r="BD29" i="3"/>
  <c r="BD30" i="3"/>
  <c r="BD31" i="3"/>
  <c r="BD32" i="3"/>
  <c r="BD33" i="3"/>
  <c r="BD34" i="3"/>
  <c r="BD35" i="3"/>
  <c r="BD36" i="3"/>
  <c r="BD37" i="3"/>
  <c r="BD38" i="3"/>
  <c r="BD39" i="3"/>
  <c r="BD40" i="3"/>
  <c r="BD41" i="3"/>
  <c r="BD42" i="3"/>
  <c r="BD43" i="3"/>
  <c r="BD44" i="3"/>
  <c r="BD45" i="3"/>
  <c r="BD46" i="3"/>
  <c r="BD47" i="3"/>
  <c r="BD48" i="3"/>
  <c r="BD49" i="3"/>
  <c r="BD50" i="3"/>
  <c r="BD51" i="3"/>
  <c r="BD52" i="3"/>
  <c r="BD53" i="3"/>
  <c r="BD54" i="3"/>
  <c r="BD55" i="3"/>
  <c r="BD56" i="3"/>
  <c r="BD57" i="3"/>
  <c r="BD58" i="3"/>
  <c r="BD59" i="3"/>
  <c r="BD60" i="3"/>
  <c r="BD61" i="3"/>
  <c r="BD62" i="3"/>
  <c r="BD63" i="3"/>
  <c r="BD64" i="3"/>
  <c r="BD65" i="3"/>
  <c r="BD66" i="3"/>
  <c r="BD67" i="3"/>
  <c r="BD68" i="3"/>
  <c r="BD69" i="3"/>
  <c r="BD70" i="3"/>
  <c r="BD71" i="3"/>
  <c r="BD72" i="3"/>
  <c r="BD73" i="3"/>
  <c r="BD74" i="3"/>
  <c r="BD75" i="3"/>
  <c r="BD76" i="3"/>
  <c r="BD77" i="3"/>
  <c r="BD78" i="3"/>
  <c r="BD79" i="3"/>
  <c r="BD80" i="3"/>
  <c r="BD81" i="3"/>
  <c r="BD82" i="3"/>
  <c r="BD83" i="3"/>
  <c r="BD84" i="3"/>
  <c r="BD85" i="3"/>
  <c r="BD86" i="3"/>
  <c r="BD87" i="3"/>
  <c r="BD88" i="3"/>
  <c r="BD89" i="3"/>
  <c r="BD90" i="3"/>
  <c r="BD91" i="3"/>
  <c r="BD92" i="3"/>
  <c r="BD93" i="3"/>
  <c r="BD94" i="3"/>
  <c r="BD95" i="3"/>
  <c r="BD96" i="3"/>
  <c r="BD97" i="3"/>
  <c r="BD98" i="3"/>
  <c r="BD99" i="3"/>
  <c r="BD100" i="3"/>
  <c r="BD101" i="3"/>
  <c r="BD102" i="3"/>
  <c r="BD103" i="3"/>
  <c r="BD104" i="3"/>
  <c r="BD105" i="3"/>
  <c r="BD106" i="3"/>
  <c r="BD107" i="3"/>
  <c r="BD108" i="3"/>
  <c r="BD109" i="3"/>
  <c r="BD110" i="3"/>
  <c r="BD111" i="3"/>
  <c r="BD112" i="3"/>
  <c r="BD113" i="3"/>
  <c r="BD114" i="3"/>
  <c r="BD115" i="3"/>
  <c r="BD116" i="3"/>
  <c r="BD117" i="3"/>
  <c r="BD118" i="3"/>
  <c r="BD119" i="3"/>
  <c r="BD120" i="3"/>
  <c r="BD121" i="3"/>
  <c r="BD122" i="3"/>
  <c r="BD123" i="3"/>
  <c r="BD124" i="3"/>
  <c r="BD125" i="3"/>
  <c r="BD126" i="3"/>
  <c r="BD127" i="3"/>
  <c r="BD128" i="3"/>
  <c r="BD129" i="3"/>
  <c r="BD130" i="3"/>
  <c r="BD131" i="3"/>
  <c r="BD132" i="3"/>
  <c r="BD133" i="3"/>
  <c r="BD134" i="3"/>
  <c r="BD135" i="3"/>
  <c r="BD136" i="3"/>
  <c r="BD137" i="3"/>
  <c r="BD138" i="3"/>
  <c r="BD139" i="3"/>
  <c r="BD140" i="3"/>
  <c r="BD141" i="3"/>
  <c r="BD142" i="3"/>
  <c r="BD143" i="3"/>
  <c r="BD144" i="3"/>
  <c r="BD145" i="3"/>
  <c r="BD146" i="3"/>
  <c r="BD147" i="3"/>
  <c r="BD148" i="3"/>
  <c r="BD149" i="3"/>
  <c r="BD150" i="3"/>
  <c r="BD151" i="3"/>
  <c r="BD152" i="3"/>
  <c r="BD153" i="3"/>
  <c r="BD154" i="3"/>
  <c r="BD155" i="3"/>
  <c r="BD156" i="3"/>
  <c r="BD157" i="3"/>
  <c r="BD158" i="3"/>
  <c r="BD159" i="3"/>
  <c r="BD160" i="3"/>
  <c r="BD161" i="3"/>
  <c r="BD162" i="3"/>
  <c r="BD163" i="3"/>
  <c r="BD164" i="3"/>
  <c r="BD165" i="3"/>
  <c r="BD166" i="3"/>
  <c r="BD167" i="3"/>
  <c r="BD168" i="3"/>
  <c r="BD169" i="3"/>
  <c r="BD170" i="3"/>
  <c r="BD171" i="3"/>
  <c r="BD172" i="3"/>
  <c r="BD173" i="3"/>
  <c r="BD174" i="3"/>
  <c r="BD175" i="3"/>
  <c r="BD176" i="3"/>
  <c r="BD177" i="3"/>
  <c r="BD178" i="3"/>
  <c r="BD179" i="3"/>
  <c r="BD180" i="3"/>
  <c r="BD181" i="3"/>
  <c r="BD182" i="3"/>
  <c r="BD183" i="3"/>
  <c r="BD184" i="3"/>
  <c r="BD185" i="3"/>
  <c r="BD186" i="3"/>
  <c r="BD187" i="3"/>
  <c r="BD188" i="3"/>
  <c r="BD189" i="3"/>
  <c r="BD190" i="3"/>
  <c r="BD191" i="3"/>
  <c r="BD192" i="3"/>
  <c r="BD193" i="3"/>
  <c r="BD194" i="3"/>
  <c r="BD195" i="3"/>
  <c r="BD196" i="3"/>
  <c r="BD197" i="3"/>
  <c r="BD198" i="3"/>
  <c r="BD199" i="3"/>
  <c r="BD200" i="3"/>
  <c r="BD201" i="3"/>
  <c r="BD202" i="3"/>
  <c r="BD203" i="3"/>
  <c r="BD204" i="3"/>
  <c r="BD205" i="3"/>
  <c r="BD206" i="3"/>
  <c r="BD207" i="3"/>
  <c r="BD208" i="3"/>
  <c r="BD209" i="3"/>
  <c r="BD210" i="3"/>
  <c r="BD211" i="3"/>
  <c r="BD212" i="3"/>
  <c r="BD213" i="3"/>
  <c r="BD214" i="3"/>
  <c r="BD215" i="3"/>
  <c r="BD216" i="3"/>
  <c r="BD217" i="3"/>
  <c r="BD218" i="3"/>
  <c r="BD219" i="3"/>
  <c r="BD220" i="3"/>
  <c r="BD221" i="3"/>
  <c r="BD222" i="3"/>
  <c r="BD223" i="3"/>
  <c r="BD224" i="3"/>
  <c r="BD225" i="3"/>
  <c r="BD226" i="3"/>
  <c r="BD227" i="3"/>
  <c r="BD228" i="3"/>
  <c r="BD229" i="3"/>
  <c r="BD230" i="3"/>
  <c r="BD231" i="3"/>
  <c r="BD232" i="3"/>
  <c r="BD233" i="3"/>
  <c r="BD234" i="3"/>
  <c r="BD235" i="3"/>
  <c r="BD236" i="3"/>
  <c r="BD237" i="3"/>
  <c r="BD238" i="3"/>
  <c r="BD239" i="3"/>
  <c r="BD240" i="3"/>
  <c r="BD241" i="3"/>
  <c r="BD242" i="3"/>
  <c r="BD243" i="3"/>
  <c r="BD244" i="3"/>
  <c r="BD245" i="3"/>
  <c r="BD246" i="3"/>
  <c r="BD247" i="3"/>
  <c r="BD248" i="3"/>
  <c r="BD249" i="3"/>
  <c r="BD250" i="3"/>
  <c r="BD251" i="3"/>
  <c r="BD252" i="3"/>
  <c r="BD253" i="3"/>
  <c r="BD254" i="3"/>
  <c r="BD255" i="3"/>
  <c r="BD256" i="3"/>
  <c r="BD257" i="3"/>
  <c r="BD258" i="3"/>
  <c r="BD259" i="3"/>
  <c r="BD260" i="3"/>
  <c r="BD261" i="3"/>
  <c r="BD262" i="3"/>
  <c r="BD263" i="3"/>
  <c r="BD264" i="3"/>
  <c r="BD265" i="3"/>
  <c r="BD266" i="3"/>
  <c r="BD267" i="3"/>
  <c r="BD268" i="3"/>
  <c r="BD269" i="3"/>
  <c r="BD270" i="3"/>
  <c r="BD271" i="3"/>
  <c r="BD272" i="3"/>
  <c r="BD273" i="3"/>
  <c r="BD274" i="3"/>
  <c r="BD275" i="3"/>
  <c r="BD276" i="3"/>
  <c r="BD277" i="3"/>
  <c r="BD278" i="3"/>
  <c r="BD279" i="3"/>
  <c r="BD280" i="3"/>
  <c r="BD281" i="3"/>
  <c r="BD282" i="3"/>
  <c r="BD283" i="3"/>
  <c r="BD284" i="3"/>
  <c r="BD285" i="3"/>
  <c r="BD286" i="3"/>
  <c r="BD287" i="3"/>
  <c r="BD288" i="3"/>
  <c r="BD289" i="3"/>
  <c r="BD290" i="3"/>
  <c r="BD291" i="3"/>
  <c r="BD292" i="3"/>
  <c r="BD293" i="3"/>
  <c r="BD294" i="3"/>
  <c r="BD295" i="3"/>
  <c r="BD296" i="3"/>
  <c r="BD297" i="3"/>
  <c r="BD298" i="3"/>
  <c r="BD299" i="3"/>
  <c r="BD300" i="3"/>
  <c r="BD301" i="3"/>
  <c r="BD302" i="3"/>
  <c r="BD303" i="3"/>
  <c r="BD304" i="3"/>
  <c r="BD305" i="3"/>
  <c r="BD306" i="3"/>
  <c r="BD307" i="3"/>
  <c r="BD308" i="3"/>
  <c r="BD309" i="3"/>
  <c r="BD310" i="3"/>
  <c r="BD311" i="3"/>
  <c r="BD312" i="3"/>
  <c r="BD313" i="3"/>
  <c r="BD314" i="3"/>
  <c r="BD315" i="3"/>
  <c r="BD316" i="3"/>
  <c r="BD317" i="3"/>
  <c r="BD318" i="3"/>
  <c r="BD319" i="3"/>
  <c r="BD320" i="3"/>
  <c r="BD321" i="3"/>
  <c r="BD322" i="3"/>
  <c r="BD323" i="3"/>
  <c r="BD324" i="3"/>
  <c r="BD325" i="3"/>
  <c r="BD326" i="3"/>
  <c r="BD327" i="3"/>
  <c r="BD328" i="3"/>
  <c r="BD329" i="3"/>
  <c r="BD330" i="3"/>
  <c r="BD331" i="3"/>
  <c r="BD332" i="3"/>
  <c r="BD333" i="3"/>
  <c r="BD334" i="3"/>
  <c r="BD335" i="3"/>
  <c r="BD336" i="3"/>
  <c r="BD337" i="3"/>
  <c r="BD338" i="3"/>
  <c r="BD339" i="3"/>
  <c r="BD340" i="3"/>
  <c r="BD341" i="3"/>
  <c r="BD342" i="3"/>
  <c r="BD343" i="3"/>
  <c r="BD344" i="3"/>
  <c r="BD345" i="3"/>
  <c r="BD346" i="3"/>
  <c r="BD347" i="3"/>
  <c r="BD348" i="3"/>
  <c r="BD349" i="3"/>
  <c r="BD350" i="3"/>
  <c r="BD351" i="3"/>
  <c r="BD352" i="3"/>
  <c r="BD353" i="3"/>
  <c r="BD354" i="3"/>
  <c r="BD355" i="3"/>
  <c r="BD356" i="3"/>
  <c r="BD357" i="3"/>
  <c r="BD358" i="3"/>
  <c r="BD359" i="3"/>
  <c r="BD360" i="3"/>
  <c r="BD361" i="3"/>
  <c r="BD362" i="3"/>
  <c r="BD363" i="3"/>
  <c r="BD364" i="3"/>
  <c r="BD365" i="3"/>
  <c r="BD366" i="3"/>
  <c r="BD367" i="3"/>
  <c r="BD368" i="3"/>
  <c r="BD369" i="3"/>
  <c r="BD370" i="3"/>
  <c r="BD371" i="3"/>
  <c r="BD372" i="3"/>
  <c r="BD373" i="3"/>
  <c r="BD374" i="3"/>
  <c r="BD375" i="3"/>
  <c r="BD376" i="3"/>
  <c r="BD377" i="3"/>
  <c r="BD378" i="3"/>
  <c r="BD379" i="3"/>
  <c r="BD380" i="3"/>
  <c r="BD381" i="3"/>
  <c r="BD382" i="3"/>
  <c r="BD383" i="3"/>
  <c r="BD384" i="3"/>
  <c r="BD385" i="3"/>
  <c r="BD386" i="3"/>
  <c r="BD387" i="3"/>
  <c r="BD388" i="3"/>
  <c r="BD389" i="3"/>
  <c r="BD390" i="3"/>
  <c r="BD391" i="3"/>
  <c r="BD392" i="3"/>
  <c r="BD393" i="3"/>
  <c r="BD394" i="3"/>
  <c r="BD395" i="3"/>
  <c r="BD396" i="3"/>
  <c r="BD397" i="3"/>
  <c r="BD398" i="3"/>
  <c r="BD399" i="3"/>
  <c r="BD400" i="3"/>
  <c r="BD401" i="3"/>
  <c r="BD402" i="3"/>
  <c r="BD403" i="3"/>
  <c r="BD404" i="3"/>
  <c r="BD405" i="3"/>
  <c r="BD406" i="3"/>
  <c r="BD407" i="3"/>
  <c r="BD408" i="3"/>
  <c r="BD409" i="3"/>
  <c r="BD410" i="3"/>
  <c r="BD411" i="3"/>
  <c r="BD412" i="3"/>
  <c r="BD413" i="3"/>
  <c r="BD414" i="3"/>
  <c r="BD415" i="3"/>
  <c r="BD416" i="3"/>
  <c r="BD417" i="3"/>
  <c r="BD418" i="3"/>
  <c r="BD419" i="3"/>
  <c r="BD420" i="3"/>
  <c r="BD421" i="3"/>
  <c r="BD422" i="3"/>
  <c r="BD423" i="3"/>
  <c r="BD424" i="3"/>
  <c r="BD425" i="3"/>
  <c r="BD426" i="3"/>
  <c r="BD427" i="3"/>
  <c r="BD428" i="3"/>
  <c r="BD429" i="3"/>
  <c r="BD430" i="3"/>
  <c r="BD431" i="3"/>
  <c r="BD432" i="3"/>
  <c r="BD433" i="3"/>
  <c r="BD434" i="3"/>
  <c r="BD435" i="3"/>
  <c r="BD436" i="3"/>
  <c r="BD437" i="3"/>
  <c r="BD438" i="3"/>
  <c r="BD439" i="3"/>
  <c r="BD440" i="3"/>
  <c r="BD441" i="3"/>
  <c r="BD442" i="3"/>
  <c r="BD443" i="3"/>
  <c r="BD444" i="3"/>
  <c r="BD445" i="3"/>
  <c r="BD446" i="3"/>
  <c r="BD447" i="3"/>
  <c r="BD448" i="3"/>
  <c r="BD449" i="3"/>
  <c r="BD450" i="3"/>
  <c r="BD451" i="3"/>
  <c r="BD452" i="3"/>
  <c r="BD453" i="3"/>
  <c r="BD454" i="3"/>
  <c r="BD455" i="3"/>
  <c r="BD456" i="3"/>
  <c r="BD457" i="3"/>
  <c r="BD458" i="3"/>
  <c r="BD459" i="3"/>
  <c r="BD460" i="3"/>
  <c r="BD461" i="3"/>
  <c r="BD462" i="3"/>
  <c r="BD463" i="3"/>
  <c r="BD464" i="3"/>
  <c r="BD465" i="3"/>
  <c r="BD466" i="3"/>
  <c r="BD467" i="3"/>
  <c r="BD468" i="3"/>
  <c r="BD469" i="3"/>
  <c r="BD470" i="3"/>
  <c r="BD471" i="3"/>
  <c r="BD472" i="3"/>
  <c r="BD473" i="3"/>
  <c r="BD474" i="3"/>
  <c r="BD475" i="3"/>
  <c r="BD476" i="3"/>
  <c r="BD477" i="3"/>
  <c r="BD478" i="3"/>
  <c r="BD479" i="3"/>
  <c r="BD480" i="3"/>
  <c r="BD481" i="3"/>
  <c r="BD482" i="3"/>
  <c r="BD483" i="3"/>
  <c r="BD484" i="3"/>
  <c r="BD485" i="3"/>
  <c r="BD486" i="3"/>
  <c r="BD487" i="3"/>
  <c r="BD488" i="3"/>
  <c r="BD489" i="3"/>
  <c r="BD490" i="3"/>
  <c r="BD491" i="3"/>
  <c r="BD492" i="3"/>
  <c r="BD493" i="3"/>
  <c r="BD494" i="3"/>
  <c r="BD495" i="3"/>
  <c r="BD496" i="3"/>
  <c r="BD497" i="3"/>
  <c r="BD498" i="3"/>
  <c r="BD499" i="3"/>
  <c r="BD500" i="3"/>
  <c r="BD501" i="3"/>
  <c r="BD502" i="3"/>
  <c r="BD503" i="3"/>
  <c r="BD504" i="3"/>
  <c r="BD505" i="3"/>
  <c r="BD506" i="3"/>
  <c r="BD507" i="3"/>
  <c r="BD508" i="3"/>
  <c r="BD509" i="3"/>
  <c r="BD510" i="3"/>
  <c r="BD511" i="3"/>
  <c r="BD512" i="3"/>
  <c r="BD513" i="3"/>
  <c r="BD514" i="3"/>
  <c r="BD515" i="3"/>
  <c r="BD516" i="3"/>
  <c r="BD517" i="3"/>
  <c r="BD518" i="3"/>
  <c r="BD519" i="3"/>
  <c r="BD520" i="3"/>
  <c r="BD521" i="3"/>
  <c r="BD522" i="3"/>
  <c r="BD523" i="3"/>
  <c r="BD524" i="3"/>
  <c r="BD525" i="3"/>
  <c r="BD526" i="3"/>
  <c r="BD527" i="3"/>
  <c r="BD528" i="3"/>
  <c r="BD529" i="3"/>
  <c r="BD530" i="3"/>
  <c r="BD531" i="3"/>
  <c r="BD532" i="3"/>
  <c r="BD533" i="3"/>
  <c r="BD534" i="3"/>
  <c r="BD535" i="3"/>
  <c r="BD536" i="3"/>
  <c r="BD537" i="3"/>
  <c r="BD538" i="3"/>
  <c r="BD539" i="3"/>
  <c r="BD540" i="3"/>
  <c r="BD541" i="3"/>
  <c r="BD542" i="3"/>
  <c r="BD543" i="3"/>
  <c r="BD544" i="3"/>
  <c r="BD545" i="3"/>
  <c r="BD546" i="3"/>
  <c r="BD547" i="3"/>
  <c r="BD548" i="3"/>
  <c r="BD549" i="3"/>
  <c r="BD550" i="3"/>
  <c r="BD551" i="3"/>
  <c r="BD552" i="3"/>
  <c r="BD553" i="3"/>
  <c r="BD554" i="3"/>
  <c r="BD555" i="3"/>
  <c r="BD556" i="3"/>
  <c r="BD557" i="3"/>
  <c r="BD558" i="3"/>
  <c r="BD559" i="3"/>
  <c r="BD560" i="3"/>
  <c r="BD561" i="3"/>
  <c r="BD562" i="3"/>
  <c r="BD563" i="3"/>
  <c r="BD564" i="3"/>
  <c r="BD565" i="3"/>
  <c r="BD566" i="3"/>
  <c r="BD567" i="3"/>
  <c r="BD568" i="3"/>
  <c r="BD569" i="3"/>
  <c r="BD570" i="3"/>
  <c r="BD571" i="3"/>
  <c r="BD572" i="3"/>
  <c r="BD573" i="3"/>
  <c r="BD574" i="3"/>
  <c r="BD575" i="3"/>
  <c r="BD576" i="3"/>
  <c r="BD577" i="3"/>
  <c r="BD578" i="3"/>
  <c r="BD579" i="3"/>
  <c r="BD580" i="3"/>
  <c r="BD581" i="3"/>
  <c r="BD582" i="3"/>
  <c r="BD583" i="3"/>
  <c r="BD584" i="3"/>
  <c r="BD585" i="3"/>
  <c r="BD586" i="3"/>
  <c r="BD587" i="3"/>
  <c r="BD5" i="3"/>
  <c r="BE13" i="3"/>
  <c r="BE14" i="3"/>
  <c r="BE15" i="3"/>
  <c r="BE16" i="3"/>
  <c r="BE17" i="3"/>
  <c r="BE18" i="3"/>
  <c r="BE19" i="3"/>
  <c r="BE20" i="3"/>
  <c r="BE21" i="3"/>
  <c r="BE22" i="3"/>
  <c r="BE23" i="3"/>
  <c r="BE24" i="3"/>
  <c r="BE25" i="3"/>
  <c r="BE26" i="3"/>
  <c r="BE27" i="3"/>
  <c r="BE28" i="3"/>
  <c r="BE29" i="3"/>
  <c r="BE30" i="3"/>
  <c r="BE31" i="3"/>
  <c r="BE32" i="3"/>
  <c r="BE33" i="3"/>
  <c r="BE34" i="3"/>
  <c r="BE35" i="3"/>
  <c r="BE36" i="3"/>
  <c r="BE37" i="3"/>
  <c r="BE38" i="3"/>
  <c r="BE39" i="3"/>
  <c r="BE40" i="3"/>
  <c r="BE41" i="3"/>
  <c r="BE42" i="3"/>
  <c r="BE43" i="3"/>
  <c r="BE44" i="3"/>
  <c r="BE45" i="3"/>
  <c r="BE46" i="3"/>
  <c r="BE47" i="3"/>
  <c r="BE48" i="3"/>
  <c r="BE49" i="3"/>
  <c r="BE50" i="3"/>
  <c r="BE51" i="3"/>
  <c r="BE52" i="3"/>
  <c r="BE53" i="3"/>
  <c r="BE54" i="3"/>
  <c r="BE55" i="3"/>
  <c r="BE56" i="3"/>
  <c r="BE57" i="3"/>
  <c r="BE58" i="3"/>
  <c r="BE59" i="3"/>
  <c r="BE60" i="3"/>
  <c r="BE61" i="3"/>
  <c r="BE62" i="3"/>
  <c r="BE63" i="3"/>
  <c r="BE64" i="3"/>
  <c r="BE65" i="3"/>
  <c r="BE66" i="3"/>
  <c r="BE67" i="3"/>
  <c r="BE68" i="3"/>
  <c r="BE69" i="3"/>
  <c r="BE70" i="3"/>
  <c r="BE71" i="3"/>
  <c r="BE72" i="3"/>
  <c r="BE73" i="3"/>
  <c r="BE74" i="3"/>
  <c r="BE75" i="3"/>
  <c r="BE76" i="3"/>
  <c r="BE77" i="3"/>
  <c r="BE78" i="3"/>
  <c r="BE79" i="3"/>
  <c r="BE80" i="3"/>
  <c r="BE81" i="3"/>
  <c r="BE82" i="3"/>
  <c r="BE83" i="3"/>
  <c r="BE84" i="3"/>
  <c r="BE85" i="3"/>
  <c r="BE86" i="3"/>
  <c r="BE87" i="3"/>
  <c r="BE88" i="3"/>
  <c r="BE89" i="3"/>
  <c r="BE90" i="3"/>
  <c r="BE91" i="3"/>
  <c r="BE92" i="3"/>
  <c r="BE93" i="3"/>
  <c r="BE94" i="3"/>
  <c r="BE95" i="3"/>
  <c r="BE96" i="3"/>
  <c r="BE97" i="3"/>
  <c r="BE98" i="3"/>
  <c r="BE99" i="3"/>
  <c r="BE100" i="3"/>
  <c r="BE101" i="3"/>
  <c r="BE102" i="3"/>
  <c r="BE103" i="3"/>
  <c r="BE104" i="3"/>
  <c r="BE105" i="3"/>
  <c r="BE106" i="3"/>
  <c r="BE107" i="3"/>
  <c r="BE108" i="3"/>
  <c r="BE109" i="3"/>
  <c r="BE110" i="3"/>
  <c r="BE111" i="3"/>
  <c r="BE112" i="3"/>
  <c r="BE113" i="3"/>
  <c r="BE114" i="3"/>
  <c r="BE115" i="3"/>
  <c r="BE116" i="3"/>
  <c r="BE117" i="3"/>
  <c r="BE118" i="3"/>
  <c r="BE119" i="3"/>
  <c r="BE120" i="3"/>
  <c r="BE121" i="3"/>
  <c r="BE122" i="3"/>
  <c r="BE123" i="3"/>
  <c r="BE124" i="3"/>
  <c r="BE125" i="3"/>
  <c r="BE126" i="3"/>
  <c r="BE127" i="3"/>
  <c r="BE128" i="3"/>
  <c r="BE129" i="3"/>
  <c r="BE130" i="3"/>
  <c r="BE131" i="3"/>
  <c r="BE132" i="3"/>
  <c r="BE133" i="3"/>
  <c r="BE134" i="3"/>
  <c r="BE135" i="3"/>
  <c r="BE136" i="3"/>
  <c r="BE137" i="3"/>
  <c r="BE138" i="3"/>
  <c r="BE139" i="3"/>
  <c r="BE140" i="3"/>
  <c r="BE141" i="3"/>
  <c r="BE142" i="3"/>
  <c r="BE143" i="3"/>
  <c r="BE144" i="3"/>
  <c r="BE145" i="3"/>
  <c r="BE146" i="3"/>
  <c r="BE147" i="3"/>
  <c r="BE148" i="3"/>
  <c r="BE149" i="3"/>
  <c r="BE150" i="3"/>
  <c r="BE151" i="3"/>
  <c r="BE152" i="3"/>
  <c r="BE153" i="3"/>
  <c r="BE154" i="3"/>
  <c r="BE155" i="3"/>
  <c r="BE156" i="3"/>
  <c r="BE157" i="3"/>
  <c r="BE158" i="3"/>
  <c r="BE159" i="3"/>
  <c r="BE160" i="3"/>
  <c r="BE161" i="3"/>
  <c r="BE162" i="3"/>
  <c r="BE163" i="3"/>
  <c r="BE164" i="3"/>
  <c r="BE165" i="3"/>
  <c r="BE166" i="3"/>
  <c r="BE167" i="3"/>
  <c r="BE168" i="3"/>
  <c r="BE169" i="3"/>
  <c r="BE170" i="3"/>
  <c r="BE171" i="3"/>
  <c r="BE172" i="3"/>
  <c r="BE173" i="3"/>
  <c r="BE174" i="3"/>
  <c r="BE175" i="3"/>
  <c r="BE176" i="3"/>
  <c r="BE177" i="3"/>
  <c r="BE178" i="3"/>
  <c r="BE179" i="3"/>
  <c r="BE180" i="3"/>
  <c r="BE181" i="3"/>
  <c r="BE182" i="3"/>
  <c r="BE183" i="3"/>
  <c r="BE184" i="3"/>
  <c r="BE185" i="3"/>
  <c r="BE186" i="3"/>
  <c r="BE187" i="3"/>
  <c r="BE188" i="3"/>
  <c r="BE189" i="3"/>
  <c r="BE190" i="3"/>
  <c r="BE191" i="3"/>
  <c r="BE192" i="3"/>
  <c r="BE193" i="3"/>
  <c r="BE194" i="3"/>
  <c r="BE195" i="3"/>
  <c r="BE196" i="3"/>
  <c r="BE197" i="3"/>
  <c r="BE198" i="3"/>
  <c r="BE199" i="3"/>
  <c r="BE200" i="3"/>
  <c r="BE201" i="3"/>
  <c r="BE202" i="3"/>
  <c r="BE203" i="3"/>
  <c r="BE204" i="3"/>
  <c r="BE205" i="3"/>
  <c r="BE206" i="3"/>
  <c r="BE207" i="3"/>
  <c r="BE208" i="3"/>
  <c r="BE209" i="3"/>
  <c r="BE210" i="3"/>
  <c r="BE211" i="3"/>
  <c r="BE212" i="3"/>
  <c r="BE213" i="3"/>
  <c r="BE214" i="3"/>
  <c r="BE215" i="3"/>
  <c r="BE216" i="3"/>
  <c r="BE217" i="3"/>
  <c r="BE218" i="3"/>
  <c r="BE219" i="3"/>
  <c r="BE220" i="3"/>
  <c r="BE221" i="3"/>
  <c r="BE222" i="3"/>
  <c r="BE223" i="3"/>
  <c r="BE224" i="3"/>
  <c r="BE225" i="3"/>
  <c r="BE226" i="3"/>
  <c r="BE227" i="3"/>
  <c r="BE228" i="3"/>
  <c r="BE229" i="3"/>
  <c r="BE230" i="3"/>
  <c r="BE231" i="3"/>
  <c r="BE232" i="3"/>
  <c r="BE233" i="3"/>
  <c r="BE234" i="3"/>
  <c r="BE235" i="3"/>
  <c r="BE236" i="3"/>
  <c r="BE237" i="3"/>
  <c r="BE238" i="3"/>
  <c r="BE239" i="3"/>
  <c r="BE240" i="3"/>
  <c r="BE241" i="3"/>
  <c r="BE242" i="3"/>
  <c r="BE243" i="3"/>
  <c r="BE244" i="3"/>
  <c r="BE245" i="3"/>
  <c r="BE246" i="3"/>
  <c r="BE247" i="3"/>
  <c r="BE248" i="3"/>
  <c r="BE249" i="3"/>
  <c r="BE250" i="3"/>
  <c r="BE251" i="3"/>
  <c r="BE252" i="3"/>
  <c r="BE253" i="3"/>
  <c r="BE254" i="3"/>
  <c r="BE255" i="3"/>
  <c r="BE256" i="3"/>
  <c r="BE257" i="3"/>
  <c r="BE258" i="3"/>
  <c r="BE259" i="3"/>
  <c r="BE260" i="3"/>
  <c r="BE261" i="3"/>
  <c r="BE262" i="3"/>
  <c r="BE263" i="3"/>
  <c r="BE264" i="3"/>
  <c r="BE265" i="3"/>
  <c r="BE266" i="3"/>
  <c r="BE267" i="3"/>
  <c r="BE268" i="3"/>
  <c r="BE269" i="3"/>
  <c r="BE270" i="3"/>
  <c r="BE271" i="3"/>
  <c r="BE272" i="3"/>
  <c r="BE273" i="3"/>
  <c r="BE274" i="3"/>
  <c r="BE275" i="3"/>
  <c r="BE276" i="3"/>
  <c r="BE277" i="3"/>
  <c r="BE278" i="3"/>
  <c r="BE279" i="3"/>
  <c r="BE280" i="3"/>
  <c r="BE281" i="3"/>
  <c r="BE282" i="3"/>
  <c r="BE283" i="3"/>
  <c r="BE284" i="3"/>
  <c r="BE285" i="3"/>
  <c r="BE286" i="3"/>
  <c r="BE287" i="3"/>
  <c r="BE288" i="3"/>
  <c r="BE289" i="3"/>
  <c r="BE290" i="3"/>
  <c r="BE291" i="3"/>
  <c r="BE292" i="3"/>
  <c r="BE293" i="3"/>
  <c r="BE294" i="3"/>
  <c r="BE295" i="3"/>
  <c r="BE296" i="3"/>
  <c r="BE297" i="3"/>
  <c r="BE298" i="3"/>
  <c r="BE299" i="3"/>
  <c r="BE300" i="3"/>
  <c r="BE301" i="3"/>
  <c r="BE302" i="3"/>
  <c r="BE303" i="3"/>
  <c r="BE304" i="3"/>
  <c r="BE305" i="3"/>
  <c r="BE306" i="3"/>
  <c r="BE307" i="3"/>
  <c r="BE308" i="3"/>
  <c r="BE309" i="3"/>
  <c r="BE310" i="3"/>
  <c r="BE311" i="3"/>
  <c r="BE312" i="3"/>
  <c r="BE313" i="3"/>
  <c r="BE314" i="3"/>
  <c r="BE315" i="3"/>
  <c r="BE316" i="3"/>
  <c r="BE317" i="3"/>
  <c r="BE318" i="3"/>
  <c r="BE319" i="3"/>
  <c r="BE320" i="3"/>
  <c r="BE321" i="3"/>
  <c r="BE322" i="3"/>
  <c r="BE323" i="3"/>
  <c r="BE324" i="3"/>
  <c r="BE325" i="3"/>
  <c r="BE326" i="3"/>
  <c r="BE327" i="3"/>
  <c r="BE328" i="3"/>
  <c r="BE329" i="3"/>
  <c r="BE330" i="3"/>
  <c r="BE331" i="3"/>
  <c r="BE332" i="3"/>
  <c r="BE333" i="3"/>
  <c r="BE334" i="3"/>
  <c r="BE335" i="3"/>
  <c r="BE336" i="3"/>
  <c r="BE337" i="3"/>
  <c r="BE338" i="3"/>
  <c r="BE339" i="3"/>
  <c r="BE340" i="3"/>
  <c r="BE341" i="3"/>
  <c r="BE342" i="3"/>
  <c r="BE343" i="3"/>
  <c r="BE344" i="3"/>
  <c r="BE345" i="3"/>
  <c r="BE346" i="3"/>
  <c r="BE347" i="3"/>
  <c r="BE348" i="3"/>
  <c r="BE349" i="3"/>
  <c r="BE350" i="3"/>
  <c r="BE351" i="3"/>
  <c r="BE352" i="3"/>
  <c r="BE353" i="3"/>
  <c r="BE354" i="3"/>
  <c r="BE355" i="3"/>
  <c r="BE356" i="3"/>
  <c r="BE357" i="3"/>
  <c r="BE358" i="3"/>
  <c r="BE359" i="3"/>
  <c r="BE360" i="3"/>
  <c r="BE361" i="3"/>
  <c r="BE362" i="3"/>
  <c r="BE363" i="3"/>
  <c r="BE364" i="3"/>
  <c r="BE365" i="3"/>
  <c r="BE366" i="3"/>
  <c r="BE367" i="3"/>
  <c r="BE368" i="3"/>
  <c r="BE369" i="3"/>
  <c r="BE370" i="3"/>
  <c r="BE371" i="3"/>
  <c r="BE372" i="3"/>
  <c r="BE373" i="3"/>
  <c r="BE374" i="3"/>
  <c r="BE375" i="3"/>
  <c r="BE376" i="3"/>
  <c r="BE377" i="3"/>
  <c r="BE378" i="3"/>
  <c r="BE379" i="3"/>
  <c r="BE380" i="3"/>
  <c r="BE381" i="3"/>
  <c r="BE382" i="3"/>
  <c r="BE383" i="3"/>
  <c r="BE384" i="3"/>
  <c r="BE385" i="3"/>
  <c r="BE386" i="3"/>
  <c r="BE387" i="3"/>
  <c r="BE388" i="3"/>
  <c r="BE389" i="3"/>
  <c r="BE390" i="3"/>
  <c r="BE391" i="3"/>
  <c r="BE392" i="3"/>
  <c r="BE393" i="3"/>
  <c r="BE394" i="3"/>
  <c r="BE395" i="3"/>
  <c r="BE396" i="3"/>
  <c r="BE397" i="3"/>
  <c r="BE398" i="3"/>
  <c r="BE399" i="3"/>
  <c r="BE400" i="3"/>
  <c r="BE401" i="3"/>
  <c r="BE402" i="3"/>
  <c r="BE403" i="3"/>
  <c r="BE404" i="3"/>
  <c r="BE405" i="3"/>
  <c r="BE406" i="3"/>
  <c r="BE407" i="3"/>
  <c r="BE408" i="3"/>
  <c r="BE409" i="3"/>
  <c r="BE410" i="3"/>
  <c r="BE411" i="3"/>
  <c r="BE412" i="3"/>
  <c r="BE413" i="3"/>
  <c r="BE414" i="3"/>
  <c r="BE415" i="3"/>
  <c r="BE416" i="3"/>
  <c r="BE417" i="3"/>
  <c r="BE418" i="3"/>
  <c r="BE419" i="3"/>
  <c r="BE420" i="3"/>
  <c r="BE421" i="3"/>
  <c r="BE422" i="3"/>
  <c r="BE423" i="3"/>
  <c r="BE424" i="3"/>
  <c r="BE425" i="3"/>
  <c r="BE426" i="3"/>
  <c r="BE427" i="3"/>
  <c r="BE428" i="3"/>
  <c r="BE429" i="3"/>
  <c r="BE430" i="3"/>
  <c r="BE431" i="3"/>
  <c r="BE432" i="3"/>
  <c r="BE433" i="3"/>
  <c r="BE434" i="3"/>
  <c r="BE435" i="3"/>
  <c r="BE436" i="3"/>
  <c r="BE437" i="3"/>
  <c r="BE438" i="3"/>
  <c r="BE439" i="3"/>
  <c r="BE440" i="3"/>
  <c r="BE441" i="3"/>
  <c r="BE442" i="3"/>
  <c r="BE443" i="3"/>
  <c r="BE444" i="3"/>
  <c r="BE445" i="3"/>
  <c r="BE446" i="3"/>
  <c r="BE447" i="3"/>
  <c r="BE448" i="3"/>
  <c r="BE449" i="3"/>
  <c r="BE450" i="3"/>
  <c r="BE451" i="3"/>
  <c r="BE452" i="3"/>
  <c r="BE453" i="3"/>
  <c r="BE454" i="3"/>
  <c r="BE455" i="3"/>
  <c r="BE456" i="3"/>
  <c r="BE457" i="3"/>
  <c r="BE458" i="3"/>
  <c r="BE459" i="3"/>
  <c r="BE460" i="3"/>
  <c r="BE461" i="3"/>
  <c r="BE462" i="3"/>
  <c r="BE463" i="3"/>
  <c r="BE464" i="3"/>
  <c r="BE465" i="3"/>
  <c r="BE466" i="3"/>
  <c r="BE467" i="3"/>
  <c r="BE468" i="3"/>
  <c r="BE469" i="3"/>
  <c r="BE470" i="3"/>
  <c r="BE471" i="3"/>
  <c r="BE472" i="3"/>
  <c r="BE473" i="3"/>
  <c r="BE474" i="3"/>
  <c r="BE475" i="3"/>
  <c r="BE476" i="3"/>
  <c r="BE477" i="3"/>
  <c r="BE478" i="3"/>
  <c r="BE479" i="3"/>
  <c r="BE480" i="3"/>
  <c r="BE481" i="3"/>
  <c r="BE482" i="3"/>
  <c r="BE483" i="3"/>
  <c r="BE484" i="3"/>
  <c r="BE485" i="3"/>
  <c r="BE486" i="3"/>
  <c r="BE487" i="3"/>
  <c r="BE488" i="3"/>
  <c r="BE489" i="3"/>
  <c r="BE490" i="3"/>
  <c r="BE491" i="3"/>
  <c r="BE492" i="3"/>
  <c r="BE493" i="3"/>
  <c r="BE494" i="3"/>
  <c r="BE495" i="3"/>
  <c r="BE496" i="3"/>
  <c r="BE497" i="3"/>
  <c r="BE498" i="3"/>
  <c r="BE499" i="3"/>
  <c r="BE500" i="3"/>
  <c r="BE501" i="3"/>
  <c r="BE502" i="3"/>
  <c r="BE503" i="3"/>
  <c r="BE504" i="3"/>
  <c r="BE505" i="3"/>
  <c r="BE506" i="3"/>
  <c r="BE507" i="3"/>
  <c r="BE508" i="3"/>
  <c r="BE509" i="3"/>
  <c r="BE510" i="3"/>
  <c r="BE511" i="3"/>
  <c r="BE512" i="3"/>
  <c r="BE513" i="3"/>
  <c r="BE514" i="3"/>
  <c r="BE515" i="3"/>
  <c r="BE516" i="3"/>
  <c r="BE517" i="3"/>
  <c r="BE518" i="3"/>
  <c r="BE519" i="3"/>
  <c r="BE520" i="3"/>
  <c r="BE521" i="3"/>
  <c r="BE522" i="3"/>
  <c r="BE523" i="3"/>
  <c r="BE524" i="3"/>
  <c r="BE525" i="3"/>
  <c r="BE526" i="3"/>
  <c r="BE527" i="3"/>
  <c r="BE528" i="3"/>
  <c r="BE529" i="3"/>
  <c r="BE530" i="3"/>
  <c r="BE531" i="3"/>
  <c r="BE532" i="3"/>
  <c r="BE533" i="3"/>
  <c r="BE534" i="3"/>
  <c r="BE535" i="3"/>
  <c r="BE536" i="3"/>
  <c r="BE537" i="3"/>
  <c r="BE538" i="3"/>
  <c r="BE539" i="3"/>
  <c r="BE540" i="3"/>
  <c r="BE541" i="3"/>
  <c r="BE542" i="3"/>
  <c r="BE543" i="3"/>
  <c r="BE544" i="3"/>
  <c r="BE545" i="3"/>
  <c r="BE546" i="3"/>
  <c r="BE547" i="3"/>
  <c r="BE548" i="3"/>
  <c r="BE549" i="3"/>
  <c r="BE550" i="3"/>
  <c r="BE551" i="3"/>
  <c r="BE552" i="3"/>
  <c r="BE553" i="3"/>
  <c r="BE554" i="3"/>
  <c r="BE555" i="3"/>
  <c r="BE556" i="3"/>
  <c r="BE557" i="3"/>
  <c r="BE558" i="3"/>
  <c r="BE559" i="3"/>
  <c r="BE560" i="3"/>
  <c r="BE561" i="3"/>
  <c r="BE562" i="3"/>
  <c r="BE563" i="3"/>
  <c r="BE564" i="3"/>
  <c r="BE565" i="3"/>
  <c r="BE566" i="3"/>
  <c r="BE567" i="3"/>
  <c r="BE568" i="3"/>
  <c r="BE569" i="3"/>
  <c r="BE570" i="3"/>
  <c r="BE571" i="3"/>
  <c r="BE572" i="3"/>
  <c r="BE573" i="3"/>
  <c r="BE574" i="3"/>
  <c r="BE575" i="3"/>
  <c r="BE576" i="3"/>
  <c r="BE577" i="3"/>
  <c r="BE578" i="3"/>
  <c r="BE579" i="3"/>
  <c r="BE580" i="3"/>
  <c r="BE581" i="3"/>
  <c r="BE582" i="3"/>
  <c r="BE583" i="3"/>
  <c r="BE584" i="3"/>
  <c r="BE585" i="3"/>
  <c r="BE586" i="3"/>
  <c r="BE587" i="3"/>
  <c r="BE5"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F94" i="3"/>
  <c r="BF95" i="3"/>
  <c r="BF96" i="3"/>
  <c r="BF97" i="3"/>
  <c r="BF98" i="3"/>
  <c r="BF99" i="3"/>
  <c r="BF100" i="3"/>
  <c r="BF101" i="3"/>
  <c r="BF102" i="3"/>
  <c r="BF103" i="3"/>
  <c r="BF104" i="3"/>
  <c r="BF105" i="3"/>
  <c r="BF106" i="3"/>
  <c r="BF107" i="3"/>
  <c r="BF108" i="3"/>
  <c r="BF109" i="3"/>
  <c r="BF110" i="3"/>
  <c r="BF111" i="3"/>
  <c r="BF112" i="3"/>
  <c r="BF113" i="3"/>
  <c r="BF114" i="3"/>
  <c r="BF115" i="3"/>
  <c r="BF116" i="3"/>
  <c r="BF117" i="3"/>
  <c r="BF118" i="3"/>
  <c r="BF119" i="3"/>
  <c r="BF120" i="3"/>
  <c r="BF121" i="3"/>
  <c r="BF122" i="3"/>
  <c r="BF123" i="3"/>
  <c r="BF124" i="3"/>
  <c r="BF125" i="3"/>
  <c r="BF126" i="3"/>
  <c r="BF127" i="3"/>
  <c r="BF128" i="3"/>
  <c r="BF129" i="3"/>
  <c r="BF130" i="3"/>
  <c r="BF131" i="3"/>
  <c r="BF132" i="3"/>
  <c r="BF133" i="3"/>
  <c r="BF134" i="3"/>
  <c r="BF135" i="3"/>
  <c r="BF136" i="3"/>
  <c r="BF137" i="3"/>
  <c r="BF138" i="3"/>
  <c r="BF139" i="3"/>
  <c r="BF140" i="3"/>
  <c r="BF141" i="3"/>
  <c r="BF142" i="3"/>
  <c r="BF143" i="3"/>
  <c r="BF144" i="3"/>
  <c r="BF145" i="3"/>
  <c r="BF146" i="3"/>
  <c r="BF147" i="3"/>
  <c r="BF148" i="3"/>
  <c r="BF149" i="3"/>
  <c r="BF150" i="3"/>
  <c r="BF151" i="3"/>
  <c r="BF152" i="3"/>
  <c r="BF153" i="3"/>
  <c r="BF154" i="3"/>
  <c r="BF155" i="3"/>
  <c r="BF156" i="3"/>
  <c r="BF157" i="3"/>
  <c r="BF158" i="3"/>
  <c r="BF159" i="3"/>
  <c r="BF160" i="3"/>
  <c r="BF161" i="3"/>
  <c r="BF162" i="3"/>
  <c r="BF163" i="3"/>
  <c r="BF164" i="3"/>
  <c r="BF165" i="3"/>
  <c r="BF166" i="3"/>
  <c r="BF167" i="3"/>
  <c r="BF168" i="3"/>
  <c r="BF169" i="3"/>
  <c r="BF170" i="3"/>
  <c r="BF171" i="3"/>
  <c r="BF172" i="3"/>
  <c r="BF173" i="3"/>
  <c r="BF174" i="3"/>
  <c r="BF175" i="3"/>
  <c r="BF176" i="3"/>
  <c r="BF177" i="3"/>
  <c r="BF178" i="3"/>
  <c r="BF179" i="3"/>
  <c r="BF180" i="3"/>
  <c r="BF181" i="3"/>
  <c r="BF182" i="3"/>
  <c r="BF18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F318" i="3"/>
  <c r="BF319" i="3"/>
  <c r="BF320" i="3"/>
  <c r="BF321" i="3"/>
  <c r="BF322" i="3"/>
  <c r="BF323" i="3"/>
  <c r="BF324" i="3"/>
  <c r="BF325" i="3"/>
  <c r="BF326" i="3"/>
  <c r="BF327" i="3"/>
  <c r="BF328" i="3"/>
  <c r="BF329" i="3"/>
  <c r="BF330" i="3"/>
  <c r="BF331" i="3"/>
  <c r="BF332" i="3"/>
  <c r="BF333" i="3"/>
  <c r="BF334" i="3"/>
  <c r="BF335" i="3"/>
  <c r="BF336" i="3"/>
  <c r="BF337" i="3"/>
  <c r="BF338" i="3"/>
  <c r="BF339" i="3"/>
  <c r="BF340" i="3"/>
  <c r="BF341" i="3"/>
  <c r="BF342" i="3"/>
  <c r="BF343" i="3"/>
  <c r="BF344" i="3"/>
  <c r="BF345" i="3"/>
  <c r="BF346" i="3"/>
  <c r="BF347" i="3"/>
  <c r="BF348" i="3"/>
  <c r="BF349" i="3"/>
  <c r="BF350" i="3"/>
  <c r="BF351" i="3"/>
  <c r="BF352" i="3"/>
  <c r="BF353" i="3"/>
  <c r="BF354" i="3"/>
  <c r="BF355" i="3"/>
  <c r="BF356" i="3"/>
  <c r="BF357" i="3"/>
  <c r="BF358" i="3"/>
  <c r="BF359" i="3"/>
  <c r="BF360" i="3"/>
  <c r="BF361" i="3"/>
  <c r="BF362" i="3"/>
  <c r="BF363" i="3"/>
  <c r="BF364" i="3"/>
  <c r="BF365" i="3"/>
  <c r="BF366" i="3"/>
  <c r="BF367" i="3"/>
  <c r="BF368" i="3"/>
  <c r="BF369" i="3"/>
  <c r="BF370" i="3"/>
  <c r="BF371" i="3"/>
  <c r="BF372" i="3"/>
  <c r="BF373" i="3"/>
  <c r="BF374" i="3"/>
  <c r="BF375" i="3"/>
  <c r="BF376" i="3"/>
  <c r="BF377" i="3"/>
  <c r="BF378" i="3"/>
  <c r="BF379" i="3"/>
  <c r="BF380" i="3"/>
  <c r="BF381" i="3"/>
  <c r="BF382" i="3"/>
  <c r="BF383" i="3"/>
  <c r="BF384" i="3"/>
  <c r="BF385" i="3"/>
  <c r="BF386" i="3"/>
  <c r="BF387" i="3"/>
  <c r="BF388" i="3"/>
  <c r="BF389" i="3"/>
  <c r="BF390" i="3"/>
  <c r="BF391" i="3"/>
  <c r="BF392" i="3"/>
  <c r="BF393" i="3"/>
  <c r="BF394" i="3"/>
  <c r="BF395" i="3"/>
  <c r="BF396" i="3"/>
  <c r="BF397" i="3"/>
  <c r="BF398" i="3"/>
  <c r="BF399" i="3"/>
  <c r="BF400" i="3"/>
  <c r="BF401" i="3"/>
  <c r="BF402" i="3"/>
  <c r="BF403" i="3"/>
  <c r="BF404" i="3"/>
  <c r="BF405" i="3"/>
  <c r="BF406" i="3"/>
  <c r="BF407" i="3"/>
  <c r="BF408" i="3"/>
  <c r="BF409" i="3"/>
  <c r="BF410" i="3"/>
  <c r="BF411" i="3"/>
  <c r="BF412" i="3"/>
  <c r="BF413" i="3"/>
  <c r="BF414" i="3"/>
  <c r="BF415" i="3"/>
  <c r="BF416" i="3"/>
  <c r="BF417" i="3"/>
  <c r="BF418" i="3"/>
  <c r="BF419" i="3"/>
  <c r="BF420" i="3"/>
  <c r="BF421" i="3"/>
  <c r="BF422" i="3"/>
  <c r="BF423" i="3"/>
  <c r="BF424" i="3"/>
  <c r="BF425" i="3"/>
  <c r="BF426" i="3"/>
  <c r="BF427" i="3"/>
  <c r="BF428" i="3"/>
  <c r="BF429" i="3"/>
  <c r="BF430" i="3"/>
  <c r="BF431" i="3"/>
  <c r="BF432" i="3"/>
  <c r="BF433" i="3"/>
  <c r="BF434" i="3"/>
  <c r="BF435" i="3"/>
  <c r="BF436" i="3"/>
  <c r="BF437" i="3"/>
  <c r="BF438" i="3"/>
  <c r="BF439" i="3"/>
  <c r="BF440" i="3"/>
  <c r="BF441" i="3"/>
  <c r="BF442" i="3"/>
  <c r="BF443" i="3"/>
  <c r="BF444" i="3"/>
  <c r="BF445" i="3"/>
  <c r="BF446" i="3"/>
  <c r="BF447" i="3"/>
  <c r="BF448" i="3"/>
  <c r="BF449" i="3"/>
  <c r="BF450" i="3"/>
  <c r="BF451" i="3"/>
  <c r="BF452" i="3"/>
  <c r="BF453" i="3"/>
  <c r="BF454" i="3"/>
  <c r="BF455" i="3"/>
  <c r="BF456" i="3"/>
  <c r="BF457" i="3"/>
  <c r="BF458" i="3"/>
  <c r="BF459" i="3"/>
  <c r="BF460" i="3"/>
  <c r="BF461" i="3"/>
  <c r="BF462" i="3"/>
  <c r="BF463" i="3"/>
  <c r="BF464" i="3"/>
  <c r="BF465" i="3"/>
  <c r="BF466" i="3"/>
  <c r="BF467" i="3"/>
  <c r="BF468" i="3"/>
  <c r="BF469" i="3"/>
  <c r="BF470" i="3"/>
  <c r="BF471" i="3"/>
  <c r="BF472" i="3"/>
  <c r="BF473" i="3"/>
  <c r="BF474" i="3"/>
  <c r="BF475" i="3"/>
  <c r="BF476" i="3"/>
  <c r="BF477" i="3"/>
  <c r="BF478" i="3"/>
  <c r="BF479" i="3"/>
  <c r="BF480" i="3"/>
  <c r="BF481" i="3"/>
  <c r="BF482" i="3"/>
  <c r="BF483" i="3"/>
  <c r="BF484" i="3"/>
  <c r="BF485" i="3"/>
  <c r="BF486" i="3"/>
  <c r="BF487" i="3"/>
  <c r="BF488" i="3"/>
  <c r="BF489" i="3"/>
  <c r="BF490" i="3"/>
  <c r="BF491" i="3"/>
  <c r="BF492" i="3"/>
  <c r="BF493" i="3"/>
  <c r="BF494" i="3"/>
  <c r="BF495" i="3"/>
  <c r="BF496" i="3"/>
  <c r="BF497" i="3"/>
  <c r="BF498" i="3"/>
  <c r="BF499" i="3"/>
  <c r="BF500" i="3"/>
  <c r="BF501" i="3"/>
  <c r="BF502" i="3"/>
  <c r="BF503" i="3"/>
  <c r="BF504" i="3"/>
  <c r="BF505" i="3"/>
  <c r="BF506" i="3"/>
  <c r="BF507" i="3"/>
  <c r="BF508" i="3"/>
  <c r="BF509" i="3"/>
  <c r="BF510" i="3"/>
  <c r="BF511" i="3"/>
  <c r="BF512" i="3"/>
  <c r="BF513" i="3"/>
  <c r="BF514" i="3"/>
  <c r="BF515" i="3"/>
  <c r="BF516" i="3"/>
  <c r="BF517" i="3"/>
  <c r="BF518" i="3"/>
  <c r="BF519" i="3"/>
  <c r="BF520" i="3"/>
  <c r="BF521" i="3"/>
  <c r="BF522" i="3"/>
  <c r="BF523" i="3"/>
  <c r="BF524" i="3"/>
  <c r="BF525" i="3"/>
  <c r="BF526" i="3"/>
  <c r="BF527" i="3"/>
  <c r="BF528" i="3"/>
  <c r="BF529" i="3"/>
  <c r="BF530" i="3"/>
  <c r="BF531" i="3"/>
  <c r="BF532" i="3"/>
  <c r="BF533" i="3"/>
  <c r="BF534" i="3"/>
  <c r="BF535" i="3"/>
  <c r="BF536" i="3"/>
  <c r="BF537" i="3"/>
  <c r="BF538" i="3"/>
  <c r="BF539" i="3"/>
  <c r="BF540" i="3"/>
  <c r="BF541" i="3"/>
  <c r="BF542" i="3"/>
  <c r="BF543" i="3"/>
  <c r="BF544" i="3"/>
  <c r="BF545" i="3"/>
  <c r="BF546" i="3"/>
  <c r="BF547" i="3"/>
  <c r="BF548" i="3"/>
  <c r="BF549" i="3"/>
  <c r="BF550" i="3"/>
  <c r="BF551" i="3"/>
  <c r="BF552" i="3"/>
  <c r="BF553" i="3"/>
  <c r="BF554" i="3"/>
  <c r="BF555" i="3"/>
  <c r="BF556" i="3"/>
  <c r="BF557" i="3"/>
  <c r="BF558" i="3"/>
  <c r="BF559" i="3"/>
  <c r="BF560" i="3"/>
  <c r="BF561" i="3"/>
  <c r="BF562" i="3"/>
  <c r="BF563" i="3"/>
  <c r="BF564" i="3"/>
  <c r="BF565" i="3"/>
  <c r="BF566" i="3"/>
  <c r="BF567" i="3"/>
  <c r="BF568" i="3"/>
  <c r="BF569" i="3"/>
  <c r="BF570" i="3"/>
  <c r="BF571" i="3"/>
  <c r="BF572" i="3"/>
  <c r="BF573" i="3"/>
  <c r="BF574" i="3"/>
  <c r="BF575" i="3"/>
  <c r="BF576" i="3"/>
  <c r="BF577" i="3"/>
  <c r="BF578" i="3"/>
  <c r="BF579" i="3"/>
  <c r="BF580" i="3"/>
  <c r="BF581" i="3"/>
  <c r="BF582" i="3"/>
  <c r="BF583" i="3"/>
  <c r="BF584" i="3"/>
  <c r="BF585" i="3"/>
  <c r="BF586" i="3"/>
  <c r="BF587" i="3"/>
  <c r="BF5"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G94" i="3"/>
  <c r="BG95" i="3"/>
  <c r="BG96" i="3"/>
  <c r="BG97" i="3"/>
  <c r="BG98" i="3"/>
  <c r="BG99" i="3"/>
  <c r="BG100" i="3"/>
  <c r="BG101" i="3"/>
  <c r="BG102" i="3"/>
  <c r="BG103" i="3"/>
  <c r="BG104" i="3"/>
  <c r="BG105" i="3"/>
  <c r="BG106" i="3"/>
  <c r="BG107" i="3"/>
  <c r="BG108" i="3"/>
  <c r="BG109" i="3"/>
  <c r="BG110" i="3"/>
  <c r="BG111" i="3"/>
  <c r="BG112" i="3"/>
  <c r="BG113" i="3"/>
  <c r="BG114" i="3"/>
  <c r="BG115" i="3"/>
  <c r="BG116" i="3"/>
  <c r="BG117" i="3"/>
  <c r="BG118" i="3"/>
  <c r="BG119" i="3"/>
  <c r="BG120" i="3"/>
  <c r="BG121" i="3"/>
  <c r="BG122" i="3"/>
  <c r="BG123" i="3"/>
  <c r="BG124" i="3"/>
  <c r="BG125" i="3"/>
  <c r="BG126" i="3"/>
  <c r="BG127" i="3"/>
  <c r="BG128" i="3"/>
  <c r="BG129" i="3"/>
  <c r="BG130" i="3"/>
  <c r="BG131" i="3"/>
  <c r="BG132" i="3"/>
  <c r="BG133" i="3"/>
  <c r="BG134" i="3"/>
  <c r="BG135" i="3"/>
  <c r="BG136" i="3"/>
  <c r="BG137" i="3"/>
  <c r="BG138" i="3"/>
  <c r="BG139" i="3"/>
  <c r="BG140" i="3"/>
  <c r="BG141" i="3"/>
  <c r="BG142" i="3"/>
  <c r="BG143" i="3"/>
  <c r="BG144" i="3"/>
  <c r="BG145" i="3"/>
  <c r="BG146" i="3"/>
  <c r="BG147" i="3"/>
  <c r="BG148" i="3"/>
  <c r="BG149" i="3"/>
  <c r="BG150" i="3"/>
  <c r="BG151" i="3"/>
  <c r="BG152" i="3"/>
  <c r="BG153" i="3"/>
  <c r="BG154" i="3"/>
  <c r="BG155" i="3"/>
  <c r="BG156" i="3"/>
  <c r="BG157" i="3"/>
  <c r="BG158" i="3"/>
  <c r="BG159" i="3"/>
  <c r="BG160" i="3"/>
  <c r="BG161" i="3"/>
  <c r="BG162" i="3"/>
  <c r="BG163" i="3"/>
  <c r="BG164" i="3"/>
  <c r="BG165" i="3"/>
  <c r="BG166" i="3"/>
  <c r="BG167" i="3"/>
  <c r="BG168" i="3"/>
  <c r="BG169" i="3"/>
  <c r="BG170" i="3"/>
  <c r="BG171" i="3"/>
  <c r="BG172" i="3"/>
  <c r="BG173" i="3"/>
  <c r="BG174" i="3"/>
  <c r="BG175" i="3"/>
  <c r="BG176" i="3"/>
  <c r="BG177" i="3"/>
  <c r="BG178" i="3"/>
  <c r="BG179" i="3"/>
  <c r="BG180" i="3"/>
  <c r="BG181" i="3"/>
  <c r="BG182" i="3"/>
  <c r="BG183"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G382" i="3"/>
  <c r="BG383" i="3"/>
  <c r="BG384" i="3"/>
  <c r="BG385" i="3"/>
  <c r="BG386" i="3"/>
  <c r="BG387" i="3"/>
  <c r="BG388" i="3"/>
  <c r="BG389" i="3"/>
  <c r="BG390" i="3"/>
  <c r="BG391" i="3"/>
  <c r="BG392" i="3"/>
  <c r="BG393" i="3"/>
  <c r="BG394" i="3"/>
  <c r="BG395" i="3"/>
  <c r="BG396" i="3"/>
  <c r="BG397" i="3"/>
  <c r="BG398" i="3"/>
  <c r="BG399" i="3"/>
  <c r="BG400" i="3"/>
  <c r="BG401" i="3"/>
  <c r="BG402" i="3"/>
  <c r="BG403" i="3"/>
  <c r="BG404" i="3"/>
  <c r="BG405" i="3"/>
  <c r="BG406" i="3"/>
  <c r="BG407" i="3"/>
  <c r="BG408" i="3"/>
  <c r="BG409" i="3"/>
  <c r="BG410" i="3"/>
  <c r="BG411" i="3"/>
  <c r="BG412" i="3"/>
  <c r="BG413" i="3"/>
  <c r="BG414" i="3"/>
  <c r="BG415" i="3"/>
  <c r="BG416" i="3"/>
  <c r="BG417" i="3"/>
  <c r="BG418" i="3"/>
  <c r="BG419" i="3"/>
  <c r="BG420" i="3"/>
  <c r="BG421" i="3"/>
  <c r="BG422" i="3"/>
  <c r="BG423" i="3"/>
  <c r="BG424" i="3"/>
  <c r="BG425" i="3"/>
  <c r="BG426" i="3"/>
  <c r="BG427" i="3"/>
  <c r="BG428" i="3"/>
  <c r="BG429" i="3"/>
  <c r="BG430" i="3"/>
  <c r="BG431" i="3"/>
  <c r="BG432" i="3"/>
  <c r="BG433" i="3"/>
  <c r="BG434" i="3"/>
  <c r="BG435" i="3"/>
  <c r="BG436" i="3"/>
  <c r="BG437" i="3"/>
  <c r="BG438" i="3"/>
  <c r="BG439" i="3"/>
  <c r="BG440" i="3"/>
  <c r="BG441" i="3"/>
  <c r="BG442" i="3"/>
  <c r="BG443" i="3"/>
  <c r="BG444" i="3"/>
  <c r="BG445" i="3"/>
  <c r="BG446" i="3"/>
  <c r="BG447" i="3"/>
  <c r="BG448" i="3"/>
  <c r="BG449" i="3"/>
  <c r="BG450" i="3"/>
  <c r="BG451" i="3"/>
  <c r="BG452" i="3"/>
  <c r="BG453" i="3"/>
  <c r="BG454" i="3"/>
  <c r="BG455" i="3"/>
  <c r="BG456" i="3"/>
  <c r="BG457" i="3"/>
  <c r="BG458" i="3"/>
  <c r="BG459" i="3"/>
  <c r="BG460" i="3"/>
  <c r="BG461" i="3"/>
  <c r="BG462" i="3"/>
  <c r="BG463" i="3"/>
  <c r="BG464" i="3"/>
  <c r="BG465" i="3"/>
  <c r="BG466" i="3"/>
  <c r="BG467" i="3"/>
  <c r="BG468" i="3"/>
  <c r="BG469" i="3"/>
  <c r="BG470" i="3"/>
  <c r="BG471" i="3"/>
  <c r="BG472" i="3"/>
  <c r="BG473" i="3"/>
  <c r="BG474" i="3"/>
  <c r="BG475" i="3"/>
  <c r="BG476" i="3"/>
  <c r="BG477" i="3"/>
  <c r="BG478" i="3"/>
  <c r="BG479" i="3"/>
  <c r="BG480" i="3"/>
  <c r="BG481" i="3"/>
  <c r="BG482" i="3"/>
  <c r="BG483" i="3"/>
  <c r="BG484" i="3"/>
  <c r="BG485" i="3"/>
  <c r="BG486" i="3"/>
  <c r="BG487" i="3"/>
  <c r="BG488" i="3"/>
  <c r="BG489" i="3"/>
  <c r="BG490" i="3"/>
  <c r="BG491" i="3"/>
  <c r="BG492" i="3"/>
  <c r="BG493" i="3"/>
  <c r="BG494" i="3"/>
  <c r="BG495" i="3"/>
  <c r="BG496" i="3"/>
  <c r="BG497" i="3"/>
  <c r="BG498" i="3"/>
  <c r="BG499" i="3"/>
  <c r="BG500" i="3"/>
  <c r="BG501" i="3"/>
  <c r="BG502" i="3"/>
  <c r="BG503" i="3"/>
  <c r="BG504" i="3"/>
  <c r="BG505" i="3"/>
  <c r="BG506" i="3"/>
  <c r="BG507" i="3"/>
  <c r="BG508" i="3"/>
  <c r="BG509" i="3"/>
  <c r="BG510" i="3"/>
  <c r="BG511" i="3"/>
  <c r="BG512" i="3"/>
  <c r="BG513" i="3"/>
  <c r="BG514" i="3"/>
  <c r="BG515" i="3"/>
  <c r="BG516" i="3"/>
  <c r="BG517" i="3"/>
  <c r="BG518" i="3"/>
  <c r="BG519" i="3"/>
  <c r="BG520" i="3"/>
  <c r="BG521" i="3"/>
  <c r="BG522" i="3"/>
  <c r="BG523" i="3"/>
  <c r="BG524" i="3"/>
  <c r="BG525" i="3"/>
  <c r="BG526" i="3"/>
  <c r="BG527" i="3"/>
  <c r="BG528" i="3"/>
  <c r="BG529" i="3"/>
  <c r="BG530" i="3"/>
  <c r="BG531" i="3"/>
  <c r="BG532" i="3"/>
  <c r="BG533" i="3"/>
  <c r="BG534" i="3"/>
  <c r="BG535" i="3"/>
  <c r="BG536" i="3"/>
  <c r="BG537" i="3"/>
  <c r="BG538" i="3"/>
  <c r="BG539" i="3"/>
  <c r="BG540" i="3"/>
  <c r="BG541" i="3"/>
  <c r="BG542" i="3"/>
  <c r="BG543" i="3"/>
  <c r="BG544" i="3"/>
  <c r="BG545" i="3"/>
  <c r="BG546" i="3"/>
  <c r="BG547" i="3"/>
  <c r="BG548" i="3"/>
  <c r="BG549" i="3"/>
  <c r="BG550" i="3"/>
  <c r="BG551" i="3"/>
  <c r="BG552" i="3"/>
  <c r="BG553" i="3"/>
  <c r="BG554" i="3"/>
  <c r="BG555" i="3"/>
  <c r="BG556" i="3"/>
  <c r="BG557" i="3"/>
  <c r="BG558" i="3"/>
  <c r="BG559" i="3"/>
  <c r="BG560" i="3"/>
  <c r="BG561" i="3"/>
  <c r="BG562" i="3"/>
  <c r="BG563" i="3"/>
  <c r="BG564" i="3"/>
  <c r="BG565" i="3"/>
  <c r="BG566" i="3"/>
  <c r="BG567" i="3"/>
  <c r="BG568" i="3"/>
  <c r="BG569" i="3"/>
  <c r="BG570" i="3"/>
  <c r="BG571" i="3"/>
  <c r="BG572" i="3"/>
  <c r="BG573" i="3"/>
  <c r="BG574" i="3"/>
  <c r="BG575" i="3"/>
  <c r="BG576" i="3"/>
  <c r="BG577" i="3"/>
  <c r="BG578" i="3"/>
  <c r="BG579" i="3"/>
  <c r="BG580" i="3"/>
  <c r="BG581" i="3"/>
  <c r="BG582" i="3"/>
  <c r="BG583" i="3"/>
  <c r="BG584" i="3"/>
  <c r="BG585" i="3"/>
  <c r="BG586" i="3"/>
  <c r="BG587" i="3"/>
  <c r="BG5" i="3"/>
  <c r="BH13" i="3"/>
  <c r="BH14" i="3"/>
  <c r="BH15" i="3"/>
  <c r="BH16" i="3"/>
  <c r="BH17" i="3"/>
  <c r="BH18" i="3"/>
  <c r="BH19" i="3"/>
  <c r="BH20" i="3"/>
  <c r="BH21" i="3"/>
  <c r="BH22" i="3"/>
  <c r="BH23" i="3"/>
  <c r="BH24" i="3"/>
  <c r="BH25" i="3"/>
  <c r="BH26" i="3"/>
  <c r="BH27" i="3"/>
  <c r="BH28" i="3"/>
  <c r="BH29" i="3"/>
  <c r="BH30" i="3"/>
  <c r="BH31" i="3"/>
  <c r="BH32" i="3"/>
  <c r="BH33" i="3"/>
  <c r="BH34" i="3"/>
  <c r="BH35" i="3"/>
  <c r="BH36" i="3"/>
  <c r="BH37" i="3"/>
  <c r="BH38" i="3"/>
  <c r="BH39" i="3"/>
  <c r="BH40" i="3"/>
  <c r="BH41" i="3"/>
  <c r="BH42" i="3"/>
  <c r="BH43" i="3"/>
  <c r="BH44" i="3"/>
  <c r="BH45" i="3"/>
  <c r="BH46" i="3"/>
  <c r="BH47" i="3"/>
  <c r="BH48" i="3"/>
  <c r="BH49" i="3"/>
  <c r="BH50" i="3"/>
  <c r="BH51" i="3"/>
  <c r="BH52" i="3"/>
  <c r="BH53" i="3"/>
  <c r="BH54" i="3"/>
  <c r="BH55" i="3"/>
  <c r="BH56" i="3"/>
  <c r="BH57" i="3"/>
  <c r="BH58" i="3"/>
  <c r="BH59" i="3"/>
  <c r="BH60" i="3"/>
  <c r="BH61" i="3"/>
  <c r="BH62" i="3"/>
  <c r="BH63" i="3"/>
  <c r="BH64" i="3"/>
  <c r="BH65" i="3"/>
  <c r="BH66" i="3"/>
  <c r="BH67" i="3"/>
  <c r="BH68" i="3"/>
  <c r="BH69" i="3"/>
  <c r="BH70" i="3"/>
  <c r="BH71" i="3"/>
  <c r="BH72" i="3"/>
  <c r="BH73" i="3"/>
  <c r="BH74" i="3"/>
  <c r="BH75" i="3"/>
  <c r="BH76" i="3"/>
  <c r="BH77" i="3"/>
  <c r="BH78" i="3"/>
  <c r="BH79" i="3"/>
  <c r="BH80" i="3"/>
  <c r="BH81" i="3"/>
  <c r="BH82" i="3"/>
  <c r="BH83" i="3"/>
  <c r="BH84" i="3"/>
  <c r="BH85" i="3"/>
  <c r="BH86" i="3"/>
  <c r="BH87" i="3"/>
  <c r="BH88" i="3"/>
  <c r="BH89" i="3"/>
  <c r="BH90" i="3"/>
  <c r="BH91" i="3"/>
  <c r="BH92" i="3"/>
  <c r="BH93" i="3"/>
  <c r="BH94" i="3"/>
  <c r="BH95" i="3"/>
  <c r="BH96" i="3"/>
  <c r="BH97" i="3"/>
  <c r="BH98" i="3"/>
  <c r="BH99" i="3"/>
  <c r="BH100" i="3"/>
  <c r="BH101" i="3"/>
  <c r="BH102" i="3"/>
  <c r="BH103" i="3"/>
  <c r="BH104" i="3"/>
  <c r="BH105" i="3"/>
  <c r="BH106" i="3"/>
  <c r="BH107" i="3"/>
  <c r="BH108" i="3"/>
  <c r="BH109" i="3"/>
  <c r="BH110" i="3"/>
  <c r="BH111" i="3"/>
  <c r="BH112" i="3"/>
  <c r="BH113" i="3"/>
  <c r="BH114" i="3"/>
  <c r="BH115" i="3"/>
  <c r="BH116" i="3"/>
  <c r="BH117" i="3"/>
  <c r="BH118" i="3"/>
  <c r="BH119" i="3"/>
  <c r="BH120" i="3"/>
  <c r="BH121" i="3"/>
  <c r="BH122" i="3"/>
  <c r="BH123" i="3"/>
  <c r="BH124" i="3"/>
  <c r="BH125" i="3"/>
  <c r="BH126" i="3"/>
  <c r="BH127" i="3"/>
  <c r="BH128" i="3"/>
  <c r="BH129" i="3"/>
  <c r="BH130" i="3"/>
  <c r="BH131" i="3"/>
  <c r="BH132" i="3"/>
  <c r="BH133" i="3"/>
  <c r="BH134" i="3"/>
  <c r="BH135" i="3"/>
  <c r="BH136" i="3"/>
  <c r="BH137" i="3"/>
  <c r="BH138" i="3"/>
  <c r="BH139" i="3"/>
  <c r="BH140" i="3"/>
  <c r="BH141" i="3"/>
  <c r="BH142" i="3"/>
  <c r="BH143" i="3"/>
  <c r="BH144" i="3"/>
  <c r="BH145" i="3"/>
  <c r="BH146" i="3"/>
  <c r="BH147" i="3"/>
  <c r="BH148" i="3"/>
  <c r="BH149" i="3"/>
  <c r="BH150" i="3"/>
  <c r="BH151" i="3"/>
  <c r="BH152" i="3"/>
  <c r="BH153" i="3"/>
  <c r="BH154" i="3"/>
  <c r="BH155" i="3"/>
  <c r="BH156" i="3"/>
  <c r="BH157" i="3"/>
  <c r="BH158" i="3"/>
  <c r="BH159" i="3"/>
  <c r="BH160" i="3"/>
  <c r="BH161" i="3"/>
  <c r="BH162" i="3"/>
  <c r="BH163" i="3"/>
  <c r="BH164" i="3"/>
  <c r="BH165" i="3"/>
  <c r="BH166" i="3"/>
  <c r="BH167" i="3"/>
  <c r="BH168" i="3"/>
  <c r="BH169" i="3"/>
  <c r="BH170" i="3"/>
  <c r="BH171" i="3"/>
  <c r="BH172" i="3"/>
  <c r="BH173" i="3"/>
  <c r="BH174" i="3"/>
  <c r="BH175" i="3"/>
  <c r="BH176" i="3"/>
  <c r="BH177" i="3"/>
  <c r="BH178" i="3"/>
  <c r="BH179" i="3"/>
  <c r="BH180" i="3"/>
  <c r="BH181" i="3"/>
  <c r="BH182" i="3"/>
  <c r="BH183" i="3"/>
  <c r="BH184" i="3"/>
  <c r="BH185" i="3"/>
  <c r="BH186" i="3"/>
  <c r="BH187" i="3"/>
  <c r="BH188" i="3"/>
  <c r="BH189" i="3"/>
  <c r="BH190" i="3"/>
  <c r="BH191" i="3"/>
  <c r="BH192" i="3"/>
  <c r="BH193" i="3"/>
  <c r="BH194" i="3"/>
  <c r="BH195" i="3"/>
  <c r="BH196" i="3"/>
  <c r="BH197" i="3"/>
  <c r="BH198" i="3"/>
  <c r="BH199" i="3"/>
  <c r="BH200" i="3"/>
  <c r="BH201" i="3"/>
  <c r="BH202" i="3"/>
  <c r="BH203" i="3"/>
  <c r="BH204" i="3"/>
  <c r="BH205" i="3"/>
  <c r="BH206" i="3"/>
  <c r="BH207" i="3"/>
  <c r="BH208" i="3"/>
  <c r="BH209" i="3"/>
  <c r="BH210" i="3"/>
  <c r="BH211" i="3"/>
  <c r="BH212" i="3"/>
  <c r="BH213" i="3"/>
  <c r="BH214" i="3"/>
  <c r="BH215" i="3"/>
  <c r="BH216" i="3"/>
  <c r="BH217" i="3"/>
  <c r="BH218" i="3"/>
  <c r="BH219" i="3"/>
  <c r="BH220" i="3"/>
  <c r="BH221" i="3"/>
  <c r="BH222" i="3"/>
  <c r="BH223" i="3"/>
  <c r="BH224" i="3"/>
  <c r="BH225" i="3"/>
  <c r="BH226" i="3"/>
  <c r="BH227" i="3"/>
  <c r="BH228" i="3"/>
  <c r="BH229" i="3"/>
  <c r="BH230" i="3"/>
  <c r="BH231" i="3"/>
  <c r="BH232" i="3"/>
  <c r="BH233" i="3"/>
  <c r="BH234" i="3"/>
  <c r="BH235" i="3"/>
  <c r="BH236" i="3"/>
  <c r="BH237" i="3"/>
  <c r="BH238" i="3"/>
  <c r="BH239" i="3"/>
  <c r="BH240" i="3"/>
  <c r="BH241" i="3"/>
  <c r="BH242" i="3"/>
  <c r="BH243" i="3"/>
  <c r="BH244" i="3"/>
  <c r="BH245" i="3"/>
  <c r="BH246" i="3"/>
  <c r="BH247" i="3"/>
  <c r="BH248" i="3"/>
  <c r="BH249" i="3"/>
  <c r="BH250" i="3"/>
  <c r="BH251" i="3"/>
  <c r="BH252" i="3"/>
  <c r="BH253" i="3"/>
  <c r="BH254" i="3"/>
  <c r="BH255" i="3"/>
  <c r="BH256" i="3"/>
  <c r="BH257" i="3"/>
  <c r="BH258" i="3"/>
  <c r="BH259" i="3"/>
  <c r="BH260" i="3"/>
  <c r="BH261" i="3"/>
  <c r="BH262" i="3"/>
  <c r="BH263" i="3"/>
  <c r="BH264" i="3"/>
  <c r="BH265" i="3"/>
  <c r="BH266" i="3"/>
  <c r="BH267" i="3"/>
  <c r="BH268" i="3"/>
  <c r="BH269" i="3"/>
  <c r="BH270" i="3"/>
  <c r="BH271" i="3"/>
  <c r="BH272" i="3"/>
  <c r="BH273" i="3"/>
  <c r="BH274" i="3"/>
  <c r="BH275" i="3"/>
  <c r="BH276" i="3"/>
  <c r="BH277" i="3"/>
  <c r="BH278" i="3"/>
  <c r="BH279" i="3"/>
  <c r="BH280" i="3"/>
  <c r="BH281" i="3"/>
  <c r="BH282" i="3"/>
  <c r="BH283" i="3"/>
  <c r="BH284" i="3"/>
  <c r="BH285" i="3"/>
  <c r="BH286" i="3"/>
  <c r="BH287" i="3"/>
  <c r="BH288" i="3"/>
  <c r="BH289" i="3"/>
  <c r="BH290" i="3"/>
  <c r="BH291" i="3"/>
  <c r="BH292" i="3"/>
  <c r="BH293" i="3"/>
  <c r="BH294" i="3"/>
  <c r="BH295" i="3"/>
  <c r="BH296" i="3"/>
  <c r="BH297" i="3"/>
  <c r="BH298" i="3"/>
  <c r="BH299" i="3"/>
  <c r="BH300" i="3"/>
  <c r="BH301" i="3"/>
  <c r="BH302" i="3"/>
  <c r="BH303" i="3"/>
  <c r="BH304" i="3"/>
  <c r="BH305" i="3"/>
  <c r="BH306" i="3"/>
  <c r="BH307" i="3"/>
  <c r="BH308" i="3"/>
  <c r="BH309" i="3"/>
  <c r="BH310" i="3"/>
  <c r="BH311" i="3"/>
  <c r="BH312" i="3"/>
  <c r="BH313" i="3"/>
  <c r="BH314" i="3"/>
  <c r="BH315" i="3"/>
  <c r="BH316" i="3"/>
  <c r="BH317" i="3"/>
  <c r="BH318" i="3"/>
  <c r="BH319" i="3"/>
  <c r="BH320" i="3"/>
  <c r="BH321" i="3"/>
  <c r="BH322" i="3"/>
  <c r="BH323" i="3"/>
  <c r="BH324" i="3"/>
  <c r="BH325" i="3"/>
  <c r="BH326" i="3"/>
  <c r="BH327" i="3"/>
  <c r="BH328" i="3"/>
  <c r="BH329" i="3"/>
  <c r="BH330" i="3"/>
  <c r="BH331" i="3"/>
  <c r="BH332" i="3"/>
  <c r="BH333" i="3"/>
  <c r="BH334" i="3"/>
  <c r="BH335" i="3"/>
  <c r="BH336" i="3"/>
  <c r="BH337" i="3"/>
  <c r="BH338" i="3"/>
  <c r="BH339" i="3"/>
  <c r="BH340" i="3"/>
  <c r="BH341" i="3"/>
  <c r="BH342" i="3"/>
  <c r="BH343" i="3"/>
  <c r="BH344" i="3"/>
  <c r="BH345" i="3"/>
  <c r="BH346" i="3"/>
  <c r="BH347" i="3"/>
  <c r="BH348" i="3"/>
  <c r="BH349" i="3"/>
  <c r="BH350" i="3"/>
  <c r="BH351" i="3"/>
  <c r="BH352" i="3"/>
  <c r="BH353" i="3"/>
  <c r="BH354" i="3"/>
  <c r="BH355" i="3"/>
  <c r="BH356" i="3"/>
  <c r="BH357" i="3"/>
  <c r="BH358" i="3"/>
  <c r="BH359" i="3"/>
  <c r="BH360" i="3"/>
  <c r="BH361" i="3"/>
  <c r="BH362" i="3"/>
  <c r="BH363" i="3"/>
  <c r="BH364" i="3"/>
  <c r="BH365" i="3"/>
  <c r="BH366" i="3"/>
  <c r="BH367" i="3"/>
  <c r="BH368" i="3"/>
  <c r="BH369" i="3"/>
  <c r="BH370" i="3"/>
  <c r="BH371" i="3"/>
  <c r="BH372" i="3"/>
  <c r="BH373" i="3"/>
  <c r="BH374" i="3"/>
  <c r="BH375" i="3"/>
  <c r="BH376" i="3"/>
  <c r="BH377" i="3"/>
  <c r="BH378" i="3"/>
  <c r="BH379" i="3"/>
  <c r="BH380" i="3"/>
  <c r="BH381" i="3"/>
  <c r="BH382" i="3"/>
  <c r="BH383" i="3"/>
  <c r="BH384" i="3"/>
  <c r="BH385" i="3"/>
  <c r="BH386" i="3"/>
  <c r="BH387" i="3"/>
  <c r="BH388" i="3"/>
  <c r="BH389" i="3"/>
  <c r="BH390" i="3"/>
  <c r="BH391" i="3"/>
  <c r="BH392" i="3"/>
  <c r="BH393" i="3"/>
  <c r="BH394" i="3"/>
  <c r="BH395" i="3"/>
  <c r="BH396" i="3"/>
  <c r="BH397" i="3"/>
  <c r="BH398" i="3"/>
  <c r="BH399" i="3"/>
  <c r="BH400" i="3"/>
  <c r="BH401" i="3"/>
  <c r="BH402" i="3"/>
  <c r="BH403" i="3"/>
  <c r="BH404" i="3"/>
  <c r="BH405" i="3"/>
  <c r="BH406" i="3"/>
  <c r="BH407" i="3"/>
  <c r="BH408" i="3"/>
  <c r="BH409" i="3"/>
  <c r="BH410" i="3"/>
  <c r="BH411" i="3"/>
  <c r="BH412" i="3"/>
  <c r="BH413" i="3"/>
  <c r="BH414" i="3"/>
  <c r="BH415" i="3"/>
  <c r="BH416" i="3"/>
  <c r="BH417" i="3"/>
  <c r="BH418" i="3"/>
  <c r="BH419" i="3"/>
  <c r="BH420" i="3"/>
  <c r="BH421" i="3"/>
  <c r="BH422" i="3"/>
  <c r="BH423" i="3"/>
  <c r="BH424" i="3"/>
  <c r="BH425" i="3"/>
  <c r="BH426" i="3"/>
  <c r="BH427" i="3"/>
  <c r="BH428" i="3"/>
  <c r="BH429" i="3"/>
  <c r="BH430" i="3"/>
  <c r="BH431" i="3"/>
  <c r="BH432" i="3"/>
  <c r="BH433" i="3"/>
  <c r="BH434" i="3"/>
  <c r="BH435" i="3"/>
  <c r="BH436" i="3"/>
  <c r="BH437" i="3"/>
  <c r="BH438" i="3"/>
  <c r="BH439" i="3"/>
  <c r="BH440" i="3"/>
  <c r="BH441" i="3"/>
  <c r="BH442" i="3"/>
  <c r="BH443" i="3"/>
  <c r="BH444" i="3"/>
  <c r="BH445" i="3"/>
  <c r="BH446" i="3"/>
  <c r="BH447" i="3"/>
  <c r="BH448" i="3"/>
  <c r="BH449" i="3"/>
  <c r="BH450" i="3"/>
  <c r="BH451" i="3"/>
  <c r="BH452" i="3"/>
  <c r="BH453" i="3"/>
  <c r="BH454" i="3"/>
  <c r="BH455" i="3"/>
  <c r="BH456" i="3"/>
  <c r="BH457" i="3"/>
  <c r="BH458" i="3"/>
  <c r="BH459" i="3"/>
  <c r="BH460" i="3"/>
  <c r="BH461" i="3"/>
  <c r="BH462" i="3"/>
  <c r="BH463" i="3"/>
  <c r="BH464" i="3"/>
  <c r="BH465" i="3"/>
  <c r="BH466" i="3"/>
  <c r="BH467" i="3"/>
  <c r="BH468" i="3"/>
  <c r="BH469" i="3"/>
  <c r="BH470" i="3"/>
  <c r="BH471" i="3"/>
  <c r="BH472" i="3"/>
  <c r="BH473" i="3"/>
  <c r="BH474" i="3"/>
  <c r="BH475" i="3"/>
  <c r="BH476" i="3"/>
  <c r="BH477" i="3"/>
  <c r="BH478" i="3"/>
  <c r="BH479" i="3"/>
  <c r="BH480" i="3"/>
  <c r="BH481" i="3"/>
  <c r="BH482" i="3"/>
  <c r="BH483" i="3"/>
  <c r="BH484" i="3"/>
  <c r="BH485" i="3"/>
  <c r="BH486" i="3"/>
  <c r="BH487" i="3"/>
  <c r="BH488" i="3"/>
  <c r="BH489" i="3"/>
  <c r="BH490" i="3"/>
  <c r="BH491" i="3"/>
  <c r="BH492" i="3"/>
  <c r="BH493" i="3"/>
  <c r="BH494" i="3"/>
  <c r="BH495" i="3"/>
  <c r="BH496" i="3"/>
  <c r="BH497" i="3"/>
  <c r="BH498" i="3"/>
  <c r="BH499" i="3"/>
  <c r="BH500" i="3"/>
  <c r="BH501" i="3"/>
  <c r="BH502" i="3"/>
  <c r="BH503" i="3"/>
  <c r="BH504" i="3"/>
  <c r="BH505" i="3"/>
  <c r="BH506" i="3"/>
  <c r="BH507" i="3"/>
  <c r="BH508" i="3"/>
  <c r="BH509" i="3"/>
  <c r="BH510" i="3"/>
  <c r="BH511" i="3"/>
  <c r="BH512" i="3"/>
  <c r="BH513" i="3"/>
  <c r="BH514" i="3"/>
  <c r="BH515" i="3"/>
  <c r="BH516" i="3"/>
  <c r="BH517" i="3"/>
  <c r="BH518" i="3"/>
  <c r="BH519" i="3"/>
  <c r="BH520" i="3"/>
  <c r="BH521" i="3"/>
  <c r="BH522" i="3"/>
  <c r="BH523" i="3"/>
  <c r="BH524" i="3"/>
  <c r="BH525" i="3"/>
  <c r="BH526" i="3"/>
  <c r="BH527" i="3"/>
  <c r="BH528" i="3"/>
  <c r="BH529" i="3"/>
  <c r="BH530" i="3"/>
  <c r="BH531" i="3"/>
  <c r="BH532" i="3"/>
  <c r="BH533" i="3"/>
  <c r="BH534" i="3"/>
  <c r="BH535" i="3"/>
  <c r="BH536" i="3"/>
  <c r="BH537" i="3"/>
  <c r="BH538" i="3"/>
  <c r="BH539" i="3"/>
  <c r="BH540" i="3"/>
  <c r="BH541" i="3"/>
  <c r="BH542" i="3"/>
  <c r="BH543" i="3"/>
  <c r="BH544" i="3"/>
  <c r="BH545" i="3"/>
  <c r="BH546" i="3"/>
  <c r="BH547" i="3"/>
  <c r="BH548" i="3"/>
  <c r="BH549" i="3"/>
  <c r="BH550" i="3"/>
  <c r="BH551" i="3"/>
  <c r="BH552" i="3"/>
  <c r="BH553" i="3"/>
  <c r="BH554" i="3"/>
  <c r="BH555" i="3"/>
  <c r="BH556" i="3"/>
  <c r="BH557" i="3"/>
  <c r="BH558" i="3"/>
  <c r="BH559" i="3"/>
  <c r="BH560" i="3"/>
  <c r="BH561" i="3"/>
  <c r="BH562" i="3"/>
  <c r="BH563" i="3"/>
  <c r="BH564" i="3"/>
  <c r="BH565" i="3"/>
  <c r="BH566" i="3"/>
  <c r="BH567" i="3"/>
  <c r="BH568" i="3"/>
  <c r="BH569" i="3"/>
  <c r="BH570" i="3"/>
  <c r="BH571" i="3"/>
  <c r="BH572" i="3"/>
  <c r="BH573" i="3"/>
  <c r="BH574" i="3"/>
  <c r="BH575" i="3"/>
  <c r="BH576" i="3"/>
  <c r="BH577" i="3"/>
  <c r="BH578" i="3"/>
  <c r="BH579" i="3"/>
  <c r="BH580" i="3"/>
  <c r="BH581" i="3"/>
  <c r="BH582" i="3"/>
  <c r="BH583" i="3"/>
  <c r="BH584" i="3"/>
  <c r="BH585" i="3"/>
  <c r="BH586" i="3"/>
  <c r="BH587" i="3"/>
  <c r="BH5" i="3"/>
  <c r="BI13" i="3"/>
  <c r="BI14" i="3"/>
  <c r="BI15" i="3"/>
  <c r="BI16" i="3"/>
  <c r="BI17" i="3"/>
  <c r="BI18" i="3"/>
  <c r="BI19" i="3"/>
  <c r="BI20" i="3"/>
  <c r="BI21" i="3"/>
  <c r="BI22" i="3"/>
  <c r="BI23" i="3"/>
  <c r="BI24" i="3"/>
  <c r="BI25" i="3"/>
  <c r="BI26" i="3"/>
  <c r="BI27" i="3"/>
  <c r="BI28" i="3"/>
  <c r="BI29" i="3"/>
  <c r="BI30" i="3"/>
  <c r="BI31" i="3"/>
  <c r="BI32" i="3"/>
  <c r="BI33" i="3"/>
  <c r="BI34" i="3"/>
  <c r="BI35" i="3"/>
  <c r="BI36" i="3"/>
  <c r="BI37" i="3"/>
  <c r="BI38" i="3"/>
  <c r="BI39" i="3"/>
  <c r="BI40" i="3"/>
  <c r="BI41" i="3"/>
  <c r="BI42" i="3"/>
  <c r="BI43" i="3"/>
  <c r="BI44" i="3"/>
  <c r="BI45" i="3"/>
  <c r="BI46" i="3"/>
  <c r="BI47" i="3"/>
  <c r="BI48" i="3"/>
  <c r="BI49" i="3"/>
  <c r="BI50" i="3"/>
  <c r="BI51" i="3"/>
  <c r="BI52" i="3"/>
  <c r="BI53" i="3"/>
  <c r="BI54" i="3"/>
  <c r="BI55" i="3"/>
  <c r="BI56" i="3"/>
  <c r="BI57" i="3"/>
  <c r="BI58" i="3"/>
  <c r="BI59" i="3"/>
  <c r="BI60" i="3"/>
  <c r="BI61" i="3"/>
  <c r="BI62" i="3"/>
  <c r="BI63" i="3"/>
  <c r="BI64" i="3"/>
  <c r="BI65" i="3"/>
  <c r="BI66" i="3"/>
  <c r="BI67" i="3"/>
  <c r="BI68" i="3"/>
  <c r="BI69" i="3"/>
  <c r="BI70" i="3"/>
  <c r="BI71" i="3"/>
  <c r="BI72" i="3"/>
  <c r="BI73" i="3"/>
  <c r="BI74" i="3"/>
  <c r="BI75" i="3"/>
  <c r="BI76" i="3"/>
  <c r="BI77" i="3"/>
  <c r="BI78" i="3"/>
  <c r="BI79" i="3"/>
  <c r="BI80" i="3"/>
  <c r="BI81" i="3"/>
  <c r="BI82" i="3"/>
  <c r="BI83" i="3"/>
  <c r="BI84" i="3"/>
  <c r="BI85" i="3"/>
  <c r="BI86" i="3"/>
  <c r="BI87" i="3"/>
  <c r="BI88" i="3"/>
  <c r="BI89" i="3"/>
  <c r="BI90" i="3"/>
  <c r="BI91" i="3"/>
  <c r="BI92" i="3"/>
  <c r="BI93" i="3"/>
  <c r="BI94" i="3"/>
  <c r="BI95" i="3"/>
  <c r="BI96" i="3"/>
  <c r="BI97" i="3"/>
  <c r="BI98" i="3"/>
  <c r="BI99" i="3"/>
  <c r="BI100" i="3"/>
  <c r="BI101" i="3"/>
  <c r="BI102" i="3"/>
  <c r="BI103" i="3"/>
  <c r="BI104" i="3"/>
  <c r="BI105" i="3"/>
  <c r="BI106" i="3"/>
  <c r="BI107" i="3"/>
  <c r="BI108" i="3"/>
  <c r="BI109" i="3"/>
  <c r="BI110" i="3"/>
  <c r="BI111" i="3"/>
  <c r="BI112" i="3"/>
  <c r="BI113" i="3"/>
  <c r="BI114" i="3"/>
  <c r="BI115" i="3"/>
  <c r="BI116" i="3"/>
  <c r="BI117" i="3"/>
  <c r="BI118" i="3"/>
  <c r="BI119" i="3"/>
  <c r="BI120" i="3"/>
  <c r="BI121" i="3"/>
  <c r="BI122" i="3"/>
  <c r="BI123" i="3"/>
  <c r="BI124" i="3"/>
  <c r="BI125" i="3"/>
  <c r="BI126" i="3"/>
  <c r="BI127" i="3"/>
  <c r="BI128" i="3"/>
  <c r="BI129" i="3"/>
  <c r="BI130" i="3"/>
  <c r="BI131" i="3"/>
  <c r="BI132" i="3"/>
  <c r="BI133" i="3"/>
  <c r="BI134" i="3"/>
  <c r="BI135" i="3"/>
  <c r="BI136" i="3"/>
  <c r="BI137" i="3"/>
  <c r="BI138" i="3"/>
  <c r="BI139" i="3"/>
  <c r="BI140" i="3"/>
  <c r="BI141" i="3"/>
  <c r="BI142" i="3"/>
  <c r="BI143" i="3"/>
  <c r="BI144" i="3"/>
  <c r="BI145" i="3"/>
  <c r="BI146" i="3"/>
  <c r="BI147" i="3"/>
  <c r="BI148" i="3"/>
  <c r="BI149" i="3"/>
  <c r="BI150" i="3"/>
  <c r="BI151" i="3"/>
  <c r="BI152" i="3"/>
  <c r="BI153" i="3"/>
  <c r="BI154" i="3"/>
  <c r="BI155" i="3"/>
  <c r="BI156" i="3"/>
  <c r="BI157" i="3"/>
  <c r="BI158" i="3"/>
  <c r="BI159" i="3"/>
  <c r="BI160" i="3"/>
  <c r="BI161" i="3"/>
  <c r="BI162" i="3"/>
  <c r="BI163" i="3"/>
  <c r="BI164" i="3"/>
  <c r="BI165" i="3"/>
  <c r="BI166" i="3"/>
  <c r="BI167" i="3"/>
  <c r="BI168" i="3"/>
  <c r="BI169" i="3"/>
  <c r="BI170" i="3"/>
  <c r="BI171" i="3"/>
  <c r="BI172" i="3"/>
  <c r="BI173" i="3"/>
  <c r="BI174" i="3"/>
  <c r="BI175" i="3"/>
  <c r="BI176" i="3"/>
  <c r="BI177" i="3"/>
  <c r="BI178" i="3"/>
  <c r="BI179" i="3"/>
  <c r="BI180" i="3"/>
  <c r="BI181" i="3"/>
  <c r="BI182" i="3"/>
  <c r="BI183" i="3"/>
  <c r="BI184" i="3"/>
  <c r="BI185" i="3"/>
  <c r="BI186" i="3"/>
  <c r="BI187" i="3"/>
  <c r="BI188" i="3"/>
  <c r="BI189" i="3"/>
  <c r="BI190" i="3"/>
  <c r="BI191" i="3"/>
  <c r="BI192" i="3"/>
  <c r="BI193" i="3"/>
  <c r="BI194" i="3"/>
  <c r="BI195" i="3"/>
  <c r="BI196" i="3"/>
  <c r="BI197" i="3"/>
  <c r="BI198" i="3"/>
  <c r="BI199" i="3"/>
  <c r="BI200" i="3"/>
  <c r="BI201" i="3"/>
  <c r="BI202" i="3"/>
  <c r="BI203" i="3"/>
  <c r="BI204" i="3"/>
  <c r="BI205" i="3"/>
  <c r="BI206" i="3"/>
  <c r="BI207" i="3"/>
  <c r="BI208" i="3"/>
  <c r="BI209" i="3"/>
  <c r="BI210" i="3"/>
  <c r="BI211" i="3"/>
  <c r="BI212" i="3"/>
  <c r="BI213" i="3"/>
  <c r="BI214" i="3"/>
  <c r="BI215" i="3"/>
  <c r="BI216" i="3"/>
  <c r="BI217" i="3"/>
  <c r="BI218" i="3"/>
  <c r="BI219" i="3"/>
  <c r="BI220" i="3"/>
  <c r="BI221" i="3"/>
  <c r="BI222" i="3"/>
  <c r="BI223" i="3"/>
  <c r="BI224" i="3"/>
  <c r="BI225" i="3"/>
  <c r="BI226" i="3"/>
  <c r="BI227" i="3"/>
  <c r="BI228" i="3"/>
  <c r="BI229" i="3"/>
  <c r="BI230" i="3"/>
  <c r="BI231" i="3"/>
  <c r="BI232" i="3"/>
  <c r="BI233" i="3"/>
  <c r="BI234" i="3"/>
  <c r="BI235" i="3"/>
  <c r="BI236" i="3"/>
  <c r="BI237" i="3"/>
  <c r="BI238" i="3"/>
  <c r="BI239" i="3"/>
  <c r="BI240" i="3"/>
  <c r="BI241" i="3"/>
  <c r="BI242" i="3"/>
  <c r="BI243" i="3"/>
  <c r="BI244" i="3"/>
  <c r="BI245" i="3"/>
  <c r="BI246" i="3"/>
  <c r="BI247" i="3"/>
  <c r="BI248" i="3"/>
  <c r="BI249" i="3"/>
  <c r="BI250" i="3"/>
  <c r="BI251" i="3"/>
  <c r="BI252" i="3"/>
  <c r="BI253" i="3"/>
  <c r="BI254" i="3"/>
  <c r="BI255" i="3"/>
  <c r="BI256" i="3"/>
  <c r="BI257" i="3"/>
  <c r="BI258" i="3"/>
  <c r="BI259" i="3"/>
  <c r="BI260" i="3"/>
  <c r="BI261" i="3"/>
  <c r="BI262" i="3"/>
  <c r="BI263" i="3"/>
  <c r="BI264" i="3"/>
  <c r="BI265" i="3"/>
  <c r="BI266" i="3"/>
  <c r="BI267" i="3"/>
  <c r="BI268" i="3"/>
  <c r="BI269" i="3"/>
  <c r="BI270" i="3"/>
  <c r="BI271" i="3"/>
  <c r="BI272" i="3"/>
  <c r="BI273" i="3"/>
  <c r="BI274" i="3"/>
  <c r="BI275" i="3"/>
  <c r="BI276" i="3"/>
  <c r="BI277" i="3"/>
  <c r="BI278" i="3"/>
  <c r="BI279" i="3"/>
  <c r="BI280" i="3"/>
  <c r="BI281" i="3"/>
  <c r="BI282" i="3"/>
  <c r="BI283" i="3"/>
  <c r="BI284" i="3"/>
  <c r="BI285" i="3"/>
  <c r="BI286" i="3"/>
  <c r="BI287" i="3"/>
  <c r="BI288" i="3"/>
  <c r="BI289" i="3"/>
  <c r="BI290" i="3"/>
  <c r="BI291" i="3"/>
  <c r="BI292" i="3"/>
  <c r="BI293" i="3"/>
  <c r="BI294" i="3"/>
  <c r="BI295" i="3"/>
  <c r="BI296" i="3"/>
  <c r="BI297" i="3"/>
  <c r="BI298" i="3"/>
  <c r="BI299" i="3"/>
  <c r="BI300" i="3"/>
  <c r="BI301" i="3"/>
  <c r="BI302" i="3"/>
  <c r="BI303" i="3"/>
  <c r="BI304" i="3"/>
  <c r="BI305" i="3"/>
  <c r="BI306" i="3"/>
  <c r="BI307" i="3"/>
  <c r="BI308" i="3"/>
  <c r="BI309" i="3"/>
  <c r="BI310" i="3"/>
  <c r="BI311" i="3"/>
  <c r="BI312" i="3"/>
  <c r="BI313" i="3"/>
  <c r="BI314" i="3"/>
  <c r="BI315" i="3"/>
  <c r="BI316" i="3"/>
  <c r="BI317" i="3"/>
  <c r="BI318" i="3"/>
  <c r="BI319" i="3"/>
  <c r="BI320" i="3"/>
  <c r="BI321" i="3"/>
  <c r="BI322" i="3"/>
  <c r="BI323" i="3"/>
  <c r="BI324" i="3"/>
  <c r="BI325" i="3"/>
  <c r="BI326" i="3"/>
  <c r="BI327" i="3"/>
  <c r="BI328" i="3"/>
  <c r="BI329" i="3"/>
  <c r="BI330" i="3"/>
  <c r="BI331" i="3"/>
  <c r="BI332" i="3"/>
  <c r="BI333" i="3"/>
  <c r="BI334" i="3"/>
  <c r="BI335" i="3"/>
  <c r="BI336" i="3"/>
  <c r="BI337" i="3"/>
  <c r="BI338" i="3"/>
  <c r="BI339" i="3"/>
  <c r="BI340" i="3"/>
  <c r="BI341" i="3"/>
  <c r="BI342" i="3"/>
  <c r="BI343" i="3"/>
  <c r="BI344" i="3"/>
  <c r="BI345" i="3"/>
  <c r="BI346" i="3"/>
  <c r="BI347" i="3"/>
  <c r="BI348" i="3"/>
  <c r="BI349" i="3"/>
  <c r="BI350" i="3"/>
  <c r="BI351" i="3"/>
  <c r="BI352" i="3"/>
  <c r="BI353" i="3"/>
  <c r="BI354" i="3"/>
  <c r="BI355" i="3"/>
  <c r="BI356" i="3"/>
  <c r="BI357" i="3"/>
  <c r="BI358" i="3"/>
  <c r="BI359" i="3"/>
  <c r="BI360" i="3"/>
  <c r="BI361" i="3"/>
  <c r="BI362" i="3"/>
  <c r="BI363" i="3"/>
  <c r="BI364" i="3"/>
  <c r="BI365" i="3"/>
  <c r="BI366" i="3"/>
  <c r="BI367" i="3"/>
  <c r="BI368" i="3"/>
  <c r="BI369" i="3"/>
  <c r="BI370" i="3"/>
  <c r="BI371" i="3"/>
  <c r="BI372" i="3"/>
  <c r="BI373" i="3"/>
  <c r="BI374" i="3"/>
  <c r="BI375" i="3"/>
  <c r="BI376" i="3"/>
  <c r="BI377" i="3"/>
  <c r="BI378" i="3"/>
  <c r="BI379" i="3"/>
  <c r="BI380" i="3"/>
  <c r="BI381" i="3"/>
  <c r="BI382" i="3"/>
  <c r="BI383" i="3"/>
  <c r="BI384" i="3"/>
  <c r="BI385" i="3"/>
  <c r="BI386" i="3"/>
  <c r="BI387" i="3"/>
  <c r="BI388" i="3"/>
  <c r="BI389" i="3"/>
  <c r="BI390" i="3"/>
  <c r="BI391" i="3"/>
  <c r="BI392" i="3"/>
  <c r="BI393" i="3"/>
  <c r="BI394" i="3"/>
  <c r="BI395" i="3"/>
  <c r="BI396" i="3"/>
  <c r="BI397" i="3"/>
  <c r="BI398" i="3"/>
  <c r="BI399" i="3"/>
  <c r="BI400" i="3"/>
  <c r="BI401" i="3"/>
  <c r="BI402" i="3"/>
  <c r="BI403" i="3"/>
  <c r="BI404" i="3"/>
  <c r="BI405" i="3"/>
  <c r="BI406" i="3"/>
  <c r="BI407" i="3"/>
  <c r="BI408" i="3"/>
  <c r="BI409" i="3"/>
  <c r="BI410" i="3"/>
  <c r="BI411" i="3"/>
  <c r="BI412" i="3"/>
  <c r="BI413" i="3"/>
  <c r="BI414" i="3"/>
  <c r="BI415" i="3"/>
  <c r="BI416" i="3"/>
  <c r="BI417" i="3"/>
  <c r="BI418" i="3"/>
  <c r="BI419" i="3"/>
  <c r="BI420" i="3"/>
  <c r="BI421" i="3"/>
  <c r="BI422" i="3"/>
  <c r="BI423" i="3"/>
  <c r="BI424" i="3"/>
  <c r="BI425" i="3"/>
  <c r="BI426" i="3"/>
  <c r="BI427" i="3"/>
  <c r="BI428" i="3"/>
  <c r="BI429" i="3"/>
  <c r="BI430" i="3"/>
  <c r="BI431" i="3"/>
  <c r="BI432" i="3"/>
  <c r="BI433" i="3"/>
  <c r="BI434" i="3"/>
  <c r="BI435" i="3"/>
  <c r="BI436" i="3"/>
  <c r="BI437" i="3"/>
  <c r="BI438" i="3"/>
  <c r="BI439" i="3"/>
  <c r="BI440" i="3"/>
  <c r="BI441" i="3"/>
  <c r="BI442" i="3"/>
  <c r="BI443" i="3"/>
  <c r="BI444" i="3"/>
  <c r="BI445" i="3"/>
  <c r="BI446" i="3"/>
  <c r="BI447" i="3"/>
  <c r="BI448" i="3"/>
  <c r="BI449" i="3"/>
  <c r="BI450" i="3"/>
  <c r="BI451" i="3"/>
  <c r="BI452" i="3"/>
  <c r="BI453" i="3"/>
  <c r="BI454" i="3"/>
  <c r="BI455" i="3"/>
  <c r="BI456" i="3"/>
  <c r="BI457" i="3"/>
  <c r="BI458" i="3"/>
  <c r="BI459" i="3"/>
  <c r="BI460" i="3"/>
  <c r="BI461" i="3"/>
  <c r="BI462" i="3"/>
  <c r="BI463" i="3"/>
  <c r="BI464" i="3"/>
  <c r="BI465" i="3"/>
  <c r="BI466" i="3"/>
  <c r="BI467" i="3"/>
  <c r="BI468" i="3"/>
  <c r="BI469" i="3"/>
  <c r="BI470" i="3"/>
  <c r="BI471" i="3"/>
  <c r="BI472" i="3"/>
  <c r="BI473" i="3"/>
  <c r="BI474" i="3"/>
  <c r="BI475" i="3"/>
  <c r="BI476" i="3"/>
  <c r="BI477" i="3"/>
  <c r="BI478" i="3"/>
  <c r="BI479" i="3"/>
  <c r="BI480" i="3"/>
  <c r="BI481" i="3"/>
  <c r="BI482" i="3"/>
  <c r="BI483" i="3"/>
  <c r="BI484" i="3"/>
  <c r="BI485" i="3"/>
  <c r="BI486" i="3"/>
  <c r="BI487" i="3"/>
  <c r="BI488" i="3"/>
  <c r="BI489" i="3"/>
  <c r="BI490" i="3"/>
  <c r="BI491" i="3"/>
  <c r="BI492" i="3"/>
  <c r="BI493" i="3"/>
  <c r="BI494" i="3"/>
  <c r="BI495" i="3"/>
  <c r="BI496" i="3"/>
  <c r="BI497" i="3"/>
  <c r="BI498" i="3"/>
  <c r="BI499" i="3"/>
  <c r="BI500" i="3"/>
  <c r="BI501" i="3"/>
  <c r="BI502" i="3"/>
  <c r="BI503" i="3"/>
  <c r="BI504" i="3"/>
  <c r="BI505" i="3"/>
  <c r="BI506" i="3"/>
  <c r="BI507" i="3"/>
  <c r="BI508" i="3"/>
  <c r="BI509" i="3"/>
  <c r="BI510" i="3"/>
  <c r="BI511" i="3"/>
  <c r="BI512" i="3"/>
  <c r="BI513" i="3"/>
  <c r="BI514" i="3"/>
  <c r="BI515" i="3"/>
  <c r="BI516" i="3"/>
  <c r="BI517" i="3"/>
  <c r="BI518" i="3"/>
  <c r="BI519" i="3"/>
  <c r="BI520" i="3"/>
  <c r="BI521" i="3"/>
  <c r="BI522" i="3"/>
  <c r="BI523" i="3"/>
  <c r="BI524" i="3"/>
  <c r="BI525" i="3"/>
  <c r="BI526" i="3"/>
  <c r="BI527" i="3"/>
  <c r="BI528" i="3"/>
  <c r="BI529" i="3"/>
  <c r="BI530" i="3"/>
  <c r="BI531" i="3"/>
  <c r="BI532" i="3"/>
  <c r="BI533" i="3"/>
  <c r="BI534" i="3"/>
  <c r="BI535" i="3"/>
  <c r="BI536" i="3"/>
  <c r="BI537" i="3"/>
  <c r="BI538" i="3"/>
  <c r="BI539" i="3"/>
  <c r="BI540" i="3"/>
  <c r="BI541" i="3"/>
  <c r="BI542" i="3"/>
  <c r="BI543" i="3"/>
  <c r="BI544" i="3"/>
  <c r="BI545" i="3"/>
  <c r="BI546" i="3"/>
  <c r="BI547" i="3"/>
  <c r="BI548" i="3"/>
  <c r="BI549" i="3"/>
  <c r="BI550" i="3"/>
  <c r="BI551" i="3"/>
  <c r="BI552" i="3"/>
  <c r="BI553" i="3"/>
  <c r="BI554" i="3"/>
  <c r="BI555" i="3"/>
  <c r="BI556" i="3"/>
  <c r="BI557" i="3"/>
  <c r="BI558" i="3"/>
  <c r="BI559" i="3"/>
  <c r="BI560" i="3"/>
  <c r="BI561" i="3"/>
  <c r="BI562" i="3"/>
  <c r="BI563" i="3"/>
  <c r="BI564" i="3"/>
  <c r="BI565" i="3"/>
  <c r="BI566" i="3"/>
  <c r="BI567" i="3"/>
  <c r="BI568" i="3"/>
  <c r="BI569" i="3"/>
  <c r="BI570" i="3"/>
  <c r="BI571" i="3"/>
  <c r="BI572" i="3"/>
  <c r="BI573" i="3"/>
  <c r="BI574" i="3"/>
  <c r="BI575" i="3"/>
  <c r="BI576" i="3"/>
  <c r="BI577" i="3"/>
  <c r="BI578" i="3"/>
  <c r="BI579" i="3"/>
  <c r="BI580" i="3"/>
  <c r="BI581" i="3"/>
  <c r="BI582" i="3"/>
  <c r="BI583" i="3"/>
  <c r="BI584" i="3"/>
  <c r="BI585" i="3"/>
  <c r="BI586" i="3"/>
  <c r="BI587" i="3"/>
  <c r="BI5" i="3"/>
  <c r="BJ13" i="3"/>
  <c r="BJ14" i="3"/>
  <c r="BJ15" i="3"/>
  <c r="BJ16" i="3"/>
  <c r="BJ17" i="3"/>
  <c r="BJ18" i="3"/>
  <c r="BJ19" i="3"/>
  <c r="BJ20" i="3"/>
  <c r="BJ21" i="3"/>
  <c r="BJ22" i="3"/>
  <c r="BJ23" i="3"/>
  <c r="BJ24" i="3"/>
  <c r="BJ25" i="3"/>
  <c r="BJ26" i="3"/>
  <c r="BJ27" i="3"/>
  <c r="BJ28" i="3"/>
  <c r="BJ29" i="3"/>
  <c r="BJ30" i="3"/>
  <c r="BJ31" i="3"/>
  <c r="BJ32" i="3"/>
  <c r="BJ33" i="3"/>
  <c r="BJ34" i="3"/>
  <c r="BJ35" i="3"/>
  <c r="BJ36" i="3"/>
  <c r="BJ37" i="3"/>
  <c r="BJ38" i="3"/>
  <c r="BJ39" i="3"/>
  <c r="BJ40" i="3"/>
  <c r="BJ41" i="3"/>
  <c r="BJ42" i="3"/>
  <c r="BJ43" i="3"/>
  <c r="BJ44" i="3"/>
  <c r="BJ45" i="3"/>
  <c r="BJ46" i="3"/>
  <c r="BJ47" i="3"/>
  <c r="BJ48" i="3"/>
  <c r="BJ49" i="3"/>
  <c r="BJ50" i="3"/>
  <c r="BJ51" i="3"/>
  <c r="BJ52" i="3"/>
  <c r="BJ53" i="3"/>
  <c r="BJ54" i="3"/>
  <c r="BJ55" i="3"/>
  <c r="BJ56" i="3"/>
  <c r="BJ57" i="3"/>
  <c r="BJ58" i="3"/>
  <c r="BJ59" i="3"/>
  <c r="BJ60" i="3"/>
  <c r="BJ61" i="3"/>
  <c r="BJ62" i="3"/>
  <c r="BJ63" i="3"/>
  <c r="BJ64" i="3"/>
  <c r="BJ65" i="3"/>
  <c r="BJ66" i="3"/>
  <c r="BJ67" i="3"/>
  <c r="BJ68" i="3"/>
  <c r="BJ69" i="3"/>
  <c r="BJ70" i="3"/>
  <c r="BJ71" i="3"/>
  <c r="BJ72" i="3"/>
  <c r="BJ73" i="3"/>
  <c r="BJ74" i="3"/>
  <c r="BJ75" i="3"/>
  <c r="BJ76" i="3"/>
  <c r="BJ77" i="3"/>
  <c r="BJ78" i="3"/>
  <c r="BJ79" i="3"/>
  <c r="BJ80" i="3"/>
  <c r="BJ81" i="3"/>
  <c r="BJ82" i="3"/>
  <c r="BJ83" i="3"/>
  <c r="BJ84" i="3"/>
  <c r="BJ85" i="3"/>
  <c r="BJ86" i="3"/>
  <c r="BJ87" i="3"/>
  <c r="BJ88" i="3"/>
  <c r="BJ89" i="3"/>
  <c r="BJ90" i="3"/>
  <c r="BJ91" i="3"/>
  <c r="BJ92" i="3"/>
  <c r="BJ93" i="3"/>
  <c r="BJ94" i="3"/>
  <c r="BJ95" i="3"/>
  <c r="BJ96" i="3"/>
  <c r="BJ97" i="3"/>
  <c r="BJ98" i="3"/>
  <c r="BJ99" i="3"/>
  <c r="BJ100" i="3"/>
  <c r="BJ101" i="3"/>
  <c r="BJ102" i="3"/>
  <c r="BJ103" i="3"/>
  <c r="BJ104" i="3"/>
  <c r="BJ105" i="3"/>
  <c r="BJ106" i="3"/>
  <c r="BJ107" i="3"/>
  <c r="BJ108" i="3"/>
  <c r="BJ109" i="3"/>
  <c r="BJ110" i="3"/>
  <c r="BJ111" i="3"/>
  <c r="BJ112" i="3"/>
  <c r="BJ113" i="3"/>
  <c r="BJ114" i="3"/>
  <c r="BJ115" i="3"/>
  <c r="BJ116" i="3"/>
  <c r="BJ117" i="3"/>
  <c r="BJ118" i="3"/>
  <c r="BJ119" i="3"/>
  <c r="BJ120" i="3"/>
  <c r="BJ121" i="3"/>
  <c r="BJ122" i="3"/>
  <c r="BJ123" i="3"/>
  <c r="BJ124" i="3"/>
  <c r="BJ125" i="3"/>
  <c r="BJ126" i="3"/>
  <c r="BJ127" i="3"/>
  <c r="BJ128" i="3"/>
  <c r="BJ129" i="3"/>
  <c r="BJ130" i="3"/>
  <c r="BJ131" i="3"/>
  <c r="BJ132" i="3"/>
  <c r="BJ133" i="3"/>
  <c r="BJ134" i="3"/>
  <c r="BJ135" i="3"/>
  <c r="BJ136" i="3"/>
  <c r="BJ137" i="3"/>
  <c r="BJ138" i="3"/>
  <c r="BJ139" i="3"/>
  <c r="BJ140" i="3"/>
  <c r="BJ141" i="3"/>
  <c r="BJ142" i="3"/>
  <c r="BJ143" i="3"/>
  <c r="BJ144" i="3"/>
  <c r="BJ145" i="3"/>
  <c r="BJ146" i="3"/>
  <c r="BJ147" i="3"/>
  <c r="BJ148" i="3"/>
  <c r="BJ149" i="3"/>
  <c r="BJ150" i="3"/>
  <c r="BJ151" i="3"/>
  <c r="BJ152" i="3"/>
  <c r="BJ153" i="3"/>
  <c r="BJ154" i="3"/>
  <c r="BJ155" i="3"/>
  <c r="BJ156" i="3"/>
  <c r="BJ157" i="3"/>
  <c r="BJ158" i="3"/>
  <c r="BJ159" i="3"/>
  <c r="BJ160" i="3"/>
  <c r="BJ161" i="3"/>
  <c r="BJ162" i="3"/>
  <c r="BJ163" i="3"/>
  <c r="BJ164" i="3"/>
  <c r="BJ165" i="3"/>
  <c r="BJ166" i="3"/>
  <c r="BJ167" i="3"/>
  <c r="BJ168" i="3"/>
  <c r="BJ169" i="3"/>
  <c r="BJ170" i="3"/>
  <c r="BJ171" i="3"/>
  <c r="BJ172" i="3"/>
  <c r="BJ173" i="3"/>
  <c r="BJ174" i="3"/>
  <c r="BJ175" i="3"/>
  <c r="BJ176" i="3"/>
  <c r="BJ177" i="3"/>
  <c r="BJ178" i="3"/>
  <c r="BJ179" i="3"/>
  <c r="BJ180" i="3"/>
  <c r="BJ181" i="3"/>
  <c r="BJ182" i="3"/>
  <c r="BJ183" i="3"/>
  <c r="BJ184" i="3"/>
  <c r="BJ185" i="3"/>
  <c r="BJ186" i="3"/>
  <c r="BJ187" i="3"/>
  <c r="BJ188" i="3"/>
  <c r="BJ189" i="3"/>
  <c r="BJ190" i="3"/>
  <c r="BJ191" i="3"/>
  <c r="BJ192" i="3"/>
  <c r="BJ193" i="3"/>
  <c r="BJ194" i="3"/>
  <c r="BJ195" i="3"/>
  <c r="BJ196" i="3"/>
  <c r="BJ197" i="3"/>
  <c r="BJ198" i="3"/>
  <c r="BJ199" i="3"/>
  <c r="BJ200" i="3"/>
  <c r="BJ201" i="3"/>
  <c r="BJ202" i="3"/>
  <c r="BJ203" i="3"/>
  <c r="BJ204" i="3"/>
  <c r="BJ205" i="3"/>
  <c r="BJ206" i="3"/>
  <c r="BJ207" i="3"/>
  <c r="BJ208" i="3"/>
  <c r="BJ209" i="3"/>
  <c r="BJ210" i="3"/>
  <c r="BJ211" i="3"/>
  <c r="BJ212" i="3"/>
  <c r="BJ213" i="3"/>
  <c r="BJ214" i="3"/>
  <c r="BJ215" i="3"/>
  <c r="BJ216" i="3"/>
  <c r="BJ217" i="3"/>
  <c r="BJ218" i="3"/>
  <c r="BJ219" i="3"/>
  <c r="BJ220" i="3"/>
  <c r="BJ221" i="3"/>
  <c r="BJ222" i="3"/>
  <c r="BJ223" i="3"/>
  <c r="BJ224" i="3"/>
  <c r="BJ225" i="3"/>
  <c r="BJ226" i="3"/>
  <c r="BJ227" i="3"/>
  <c r="BJ228" i="3"/>
  <c r="BJ229" i="3"/>
  <c r="BJ230" i="3"/>
  <c r="BJ231" i="3"/>
  <c r="BJ232" i="3"/>
  <c r="BJ233" i="3"/>
  <c r="BJ234" i="3"/>
  <c r="BJ235" i="3"/>
  <c r="BJ236" i="3"/>
  <c r="BJ237" i="3"/>
  <c r="BJ238" i="3"/>
  <c r="BJ239" i="3"/>
  <c r="BJ240" i="3"/>
  <c r="BJ241" i="3"/>
  <c r="BJ242" i="3"/>
  <c r="BJ243" i="3"/>
  <c r="BJ244" i="3"/>
  <c r="BJ245" i="3"/>
  <c r="BJ246" i="3"/>
  <c r="BJ247" i="3"/>
  <c r="BJ248" i="3"/>
  <c r="BJ249" i="3"/>
  <c r="BJ250" i="3"/>
  <c r="BJ251" i="3"/>
  <c r="BJ252" i="3"/>
  <c r="BJ253" i="3"/>
  <c r="BJ254" i="3"/>
  <c r="BJ255" i="3"/>
  <c r="BJ256" i="3"/>
  <c r="BJ257" i="3"/>
  <c r="BJ258" i="3"/>
  <c r="BJ259" i="3"/>
  <c r="BJ260" i="3"/>
  <c r="BJ261" i="3"/>
  <c r="BJ262" i="3"/>
  <c r="BJ263" i="3"/>
  <c r="BJ264" i="3"/>
  <c r="BJ265" i="3"/>
  <c r="BJ266" i="3"/>
  <c r="BJ267" i="3"/>
  <c r="BJ268" i="3"/>
  <c r="BJ269" i="3"/>
  <c r="BJ270" i="3"/>
  <c r="BJ271" i="3"/>
  <c r="BJ272" i="3"/>
  <c r="BJ273" i="3"/>
  <c r="BJ274" i="3"/>
  <c r="BJ275" i="3"/>
  <c r="BJ276" i="3"/>
  <c r="BJ277" i="3"/>
  <c r="BJ278" i="3"/>
  <c r="BJ279" i="3"/>
  <c r="BJ280" i="3"/>
  <c r="BJ281" i="3"/>
  <c r="BJ282" i="3"/>
  <c r="BJ283" i="3"/>
  <c r="BJ284" i="3"/>
  <c r="BJ285" i="3"/>
  <c r="BJ286" i="3"/>
  <c r="BJ287" i="3"/>
  <c r="BJ288" i="3"/>
  <c r="BJ289" i="3"/>
  <c r="BJ290" i="3"/>
  <c r="BJ291" i="3"/>
  <c r="BJ292" i="3"/>
  <c r="BJ293" i="3"/>
  <c r="BJ294" i="3"/>
  <c r="BJ295" i="3"/>
  <c r="BJ296" i="3"/>
  <c r="BJ297" i="3"/>
  <c r="BJ298" i="3"/>
  <c r="BJ299" i="3"/>
  <c r="BJ300" i="3"/>
  <c r="BJ301" i="3"/>
  <c r="BJ302" i="3"/>
  <c r="BJ303" i="3"/>
  <c r="BJ304" i="3"/>
  <c r="BJ305" i="3"/>
  <c r="BJ306" i="3"/>
  <c r="BJ307" i="3"/>
  <c r="BJ308" i="3"/>
  <c r="BJ309" i="3"/>
  <c r="BJ310" i="3"/>
  <c r="BJ311" i="3"/>
  <c r="BJ312" i="3"/>
  <c r="BJ313" i="3"/>
  <c r="BJ314" i="3"/>
  <c r="BJ315" i="3"/>
  <c r="BJ316" i="3"/>
  <c r="BJ317" i="3"/>
  <c r="BJ318" i="3"/>
  <c r="BJ319" i="3"/>
  <c r="BJ320" i="3"/>
  <c r="BJ321" i="3"/>
  <c r="BJ322" i="3"/>
  <c r="BJ323" i="3"/>
  <c r="BJ324" i="3"/>
  <c r="BJ325" i="3"/>
  <c r="BJ326" i="3"/>
  <c r="BJ327" i="3"/>
  <c r="BJ328" i="3"/>
  <c r="BJ329" i="3"/>
  <c r="BJ330" i="3"/>
  <c r="BJ331" i="3"/>
  <c r="BJ332" i="3"/>
  <c r="BJ333" i="3"/>
  <c r="BJ334" i="3"/>
  <c r="BJ335" i="3"/>
  <c r="BJ336" i="3"/>
  <c r="BJ337" i="3"/>
  <c r="BJ338" i="3"/>
  <c r="BJ339" i="3"/>
  <c r="BJ340" i="3"/>
  <c r="BJ341" i="3"/>
  <c r="BJ342" i="3"/>
  <c r="BJ343" i="3"/>
  <c r="BJ344" i="3"/>
  <c r="BJ345" i="3"/>
  <c r="BJ346" i="3"/>
  <c r="BJ347" i="3"/>
  <c r="BJ348" i="3"/>
  <c r="BJ349" i="3"/>
  <c r="BJ350" i="3"/>
  <c r="BJ351" i="3"/>
  <c r="BJ352" i="3"/>
  <c r="BJ353" i="3"/>
  <c r="BJ354" i="3"/>
  <c r="BJ355" i="3"/>
  <c r="BJ356" i="3"/>
  <c r="BJ357" i="3"/>
  <c r="BJ358" i="3"/>
  <c r="BJ359" i="3"/>
  <c r="BJ360" i="3"/>
  <c r="BJ361" i="3"/>
  <c r="BJ362" i="3"/>
  <c r="BJ363" i="3"/>
  <c r="BJ364" i="3"/>
  <c r="BJ365" i="3"/>
  <c r="BJ366" i="3"/>
  <c r="BJ367" i="3"/>
  <c r="BJ368" i="3"/>
  <c r="BJ369" i="3"/>
  <c r="BJ370" i="3"/>
  <c r="BJ371" i="3"/>
  <c r="BJ372" i="3"/>
  <c r="BJ373" i="3"/>
  <c r="BJ374" i="3"/>
  <c r="BJ375" i="3"/>
  <c r="BJ376" i="3"/>
  <c r="BJ377" i="3"/>
  <c r="BJ378" i="3"/>
  <c r="BJ379" i="3"/>
  <c r="BJ380" i="3"/>
  <c r="BJ381" i="3"/>
  <c r="BJ382" i="3"/>
  <c r="BJ383" i="3"/>
  <c r="BJ384" i="3"/>
  <c r="BJ385" i="3"/>
  <c r="BJ386" i="3"/>
  <c r="BJ387" i="3"/>
  <c r="BJ388" i="3"/>
  <c r="BJ389" i="3"/>
  <c r="BJ390" i="3"/>
  <c r="BJ391" i="3"/>
  <c r="BJ392" i="3"/>
  <c r="BJ393" i="3"/>
  <c r="BJ394" i="3"/>
  <c r="BJ395" i="3"/>
  <c r="BJ396" i="3"/>
  <c r="BJ397" i="3"/>
  <c r="BJ398" i="3"/>
  <c r="BJ399" i="3"/>
  <c r="BJ400" i="3"/>
  <c r="BJ401" i="3"/>
  <c r="BJ402" i="3"/>
  <c r="BJ403" i="3"/>
  <c r="BJ404" i="3"/>
  <c r="BJ405" i="3"/>
  <c r="BJ406" i="3"/>
  <c r="BJ407" i="3"/>
  <c r="BJ408" i="3"/>
  <c r="BJ409" i="3"/>
  <c r="BJ410" i="3"/>
  <c r="BJ411" i="3"/>
  <c r="BJ412" i="3"/>
  <c r="BJ413" i="3"/>
  <c r="BJ414" i="3"/>
  <c r="BJ415" i="3"/>
  <c r="BJ416" i="3"/>
  <c r="BJ417" i="3"/>
  <c r="BJ418" i="3"/>
  <c r="BJ419" i="3"/>
  <c r="BJ420" i="3"/>
  <c r="BJ421" i="3"/>
  <c r="BJ422" i="3"/>
  <c r="BJ423" i="3"/>
  <c r="BJ424" i="3"/>
  <c r="BJ425" i="3"/>
  <c r="BJ426" i="3"/>
  <c r="BJ427" i="3"/>
  <c r="BJ428" i="3"/>
  <c r="BJ429" i="3"/>
  <c r="BJ430" i="3"/>
  <c r="BJ431" i="3"/>
  <c r="BJ432" i="3"/>
  <c r="BJ433" i="3"/>
  <c r="BJ434" i="3"/>
  <c r="BJ435" i="3"/>
  <c r="BJ436" i="3"/>
  <c r="BJ437" i="3"/>
  <c r="BJ438" i="3"/>
  <c r="BJ439" i="3"/>
  <c r="BJ440" i="3"/>
  <c r="BJ441" i="3"/>
  <c r="BJ442" i="3"/>
  <c r="BJ443" i="3"/>
  <c r="BJ444" i="3"/>
  <c r="BJ445" i="3"/>
  <c r="BJ446" i="3"/>
  <c r="BJ447" i="3"/>
  <c r="BJ448" i="3"/>
  <c r="BJ449" i="3"/>
  <c r="BJ450" i="3"/>
  <c r="BJ451" i="3"/>
  <c r="BJ452" i="3"/>
  <c r="BJ453" i="3"/>
  <c r="BJ454" i="3"/>
  <c r="BJ455" i="3"/>
  <c r="BJ456" i="3"/>
  <c r="BJ457" i="3"/>
  <c r="BJ458" i="3"/>
  <c r="BJ459" i="3"/>
  <c r="BJ460" i="3"/>
  <c r="BJ461" i="3"/>
  <c r="BJ462" i="3"/>
  <c r="BJ463" i="3"/>
  <c r="BJ464" i="3"/>
  <c r="BJ465" i="3"/>
  <c r="BJ466" i="3"/>
  <c r="BJ467" i="3"/>
  <c r="BJ468" i="3"/>
  <c r="BJ469" i="3"/>
  <c r="BJ470" i="3"/>
  <c r="BJ471" i="3"/>
  <c r="BJ472" i="3"/>
  <c r="BJ473" i="3"/>
  <c r="BJ474" i="3"/>
  <c r="BJ475" i="3"/>
  <c r="BJ476" i="3"/>
  <c r="BJ477" i="3"/>
  <c r="BJ478" i="3"/>
  <c r="BJ479" i="3"/>
  <c r="BJ480" i="3"/>
  <c r="BJ481" i="3"/>
  <c r="BJ482" i="3"/>
  <c r="BJ483" i="3"/>
  <c r="BJ484" i="3"/>
  <c r="BJ485" i="3"/>
  <c r="BJ486" i="3"/>
  <c r="BJ487" i="3"/>
  <c r="BJ488" i="3"/>
  <c r="BJ489" i="3"/>
  <c r="BJ490" i="3"/>
  <c r="BJ491" i="3"/>
  <c r="BJ492" i="3"/>
  <c r="BJ493" i="3"/>
  <c r="BJ494" i="3"/>
  <c r="BJ495" i="3"/>
  <c r="BJ496" i="3"/>
  <c r="BJ497" i="3"/>
  <c r="BJ498" i="3"/>
  <c r="BJ499" i="3"/>
  <c r="BJ500" i="3"/>
  <c r="BJ501" i="3"/>
  <c r="BJ502" i="3"/>
  <c r="BJ503" i="3"/>
  <c r="BJ504" i="3"/>
  <c r="BJ505" i="3"/>
  <c r="BJ506" i="3"/>
  <c r="BJ507" i="3"/>
  <c r="BJ508" i="3"/>
  <c r="BJ509" i="3"/>
  <c r="BJ510" i="3"/>
  <c r="BJ511" i="3"/>
  <c r="BJ512" i="3"/>
  <c r="BJ513" i="3"/>
  <c r="BJ514" i="3"/>
  <c r="BJ515" i="3"/>
  <c r="BJ516" i="3"/>
  <c r="BJ517" i="3"/>
  <c r="BJ518" i="3"/>
  <c r="BJ519" i="3"/>
  <c r="BJ520" i="3"/>
  <c r="BJ521" i="3"/>
  <c r="BJ522" i="3"/>
  <c r="BJ523" i="3"/>
  <c r="BJ524" i="3"/>
  <c r="BJ525" i="3"/>
  <c r="BJ526" i="3"/>
  <c r="BJ527" i="3"/>
  <c r="BJ528" i="3"/>
  <c r="BJ529" i="3"/>
  <c r="BJ530" i="3"/>
  <c r="BJ531" i="3"/>
  <c r="BJ532" i="3"/>
  <c r="BJ533" i="3"/>
  <c r="BJ534" i="3"/>
  <c r="BJ535" i="3"/>
  <c r="BJ536" i="3"/>
  <c r="BJ537" i="3"/>
  <c r="BJ538" i="3"/>
  <c r="BJ539" i="3"/>
  <c r="BJ540" i="3"/>
  <c r="BJ541" i="3"/>
  <c r="BJ542" i="3"/>
  <c r="BJ543" i="3"/>
  <c r="BJ544" i="3"/>
  <c r="BJ545" i="3"/>
  <c r="BJ546" i="3"/>
  <c r="BJ547" i="3"/>
  <c r="BJ548" i="3"/>
  <c r="BJ549" i="3"/>
  <c r="BJ550" i="3"/>
  <c r="BJ551" i="3"/>
  <c r="BJ552" i="3"/>
  <c r="BJ553" i="3"/>
  <c r="BJ554" i="3"/>
  <c r="BJ555" i="3"/>
  <c r="BJ556" i="3"/>
  <c r="BJ557" i="3"/>
  <c r="BJ558" i="3"/>
  <c r="BJ559" i="3"/>
  <c r="BJ560" i="3"/>
  <c r="BJ561" i="3"/>
  <c r="BJ562" i="3"/>
  <c r="BJ563" i="3"/>
  <c r="BJ564" i="3"/>
  <c r="BJ565" i="3"/>
  <c r="BJ566" i="3"/>
  <c r="BJ567" i="3"/>
  <c r="BJ568" i="3"/>
  <c r="BJ569" i="3"/>
  <c r="BJ570" i="3"/>
  <c r="BJ571" i="3"/>
  <c r="BJ572" i="3"/>
  <c r="BJ573" i="3"/>
  <c r="BJ574" i="3"/>
  <c r="BJ575" i="3"/>
  <c r="BJ576" i="3"/>
  <c r="BJ577" i="3"/>
  <c r="BJ578" i="3"/>
  <c r="BJ579" i="3"/>
  <c r="BJ580" i="3"/>
  <c r="BJ581" i="3"/>
  <c r="BJ582" i="3"/>
  <c r="BJ583" i="3"/>
  <c r="BJ584" i="3"/>
  <c r="BJ585" i="3"/>
  <c r="BJ586" i="3"/>
  <c r="BJ587" i="3"/>
  <c r="BJ5" i="3"/>
  <c r="BK13" i="3"/>
  <c r="BK14" i="3"/>
  <c r="BK15" i="3"/>
  <c r="BK16" i="3"/>
  <c r="BK17" i="3"/>
  <c r="BK18" i="3"/>
  <c r="BK19" i="3"/>
  <c r="BK20" i="3"/>
  <c r="BK21" i="3"/>
  <c r="BK22" i="3"/>
  <c r="BK23" i="3"/>
  <c r="BK24" i="3"/>
  <c r="BK25" i="3"/>
  <c r="BK26" i="3"/>
  <c r="BK27" i="3"/>
  <c r="BK28" i="3"/>
  <c r="BK29" i="3"/>
  <c r="BK30" i="3"/>
  <c r="BK31" i="3"/>
  <c r="BK32" i="3"/>
  <c r="BK33" i="3"/>
  <c r="BK34" i="3"/>
  <c r="BK35" i="3"/>
  <c r="BK36" i="3"/>
  <c r="BK37" i="3"/>
  <c r="BK38" i="3"/>
  <c r="BK39" i="3"/>
  <c r="BK40" i="3"/>
  <c r="BK41" i="3"/>
  <c r="BK42" i="3"/>
  <c r="BK43" i="3"/>
  <c r="BK44" i="3"/>
  <c r="BK45" i="3"/>
  <c r="BK46" i="3"/>
  <c r="BK47" i="3"/>
  <c r="BK48" i="3"/>
  <c r="BK49" i="3"/>
  <c r="BK50" i="3"/>
  <c r="BK51" i="3"/>
  <c r="BK52" i="3"/>
  <c r="BK53" i="3"/>
  <c r="BK54" i="3"/>
  <c r="BK55" i="3"/>
  <c r="BK56" i="3"/>
  <c r="BK57" i="3"/>
  <c r="BK58" i="3"/>
  <c r="BK59" i="3"/>
  <c r="BK60" i="3"/>
  <c r="BK61" i="3"/>
  <c r="BK62" i="3"/>
  <c r="BK63" i="3"/>
  <c r="BK64" i="3"/>
  <c r="BK65" i="3"/>
  <c r="BK66" i="3"/>
  <c r="BK67" i="3"/>
  <c r="BK68" i="3"/>
  <c r="BK69" i="3"/>
  <c r="BK70" i="3"/>
  <c r="BK71" i="3"/>
  <c r="BK72" i="3"/>
  <c r="BK73" i="3"/>
  <c r="BK74" i="3"/>
  <c r="BK75" i="3"/>
  <c r="BK76" i="3"/>
  <c r="BK77" i="3"/>
  <c r="BK78" i="3"/>
  <c r="BK79" i="3"/>
  <c r="BK80" i="3"/>
  <c r="BK81" i="3"/>
  <c r="BK82" i="3"/>
  <c r="BK83" i="3"/>
  <c r="BK84" i="3"/>
  <c r="BK85" i="3"/>
  <c r="BK86" i="3"/>
  <c r="BK87" i="3"/>
  <c r="BK88" i="3"/>
  <c r="BK89" i="3"/>
  <c r="BK90" i="3"/>
  <c r="BK91" i="3"/>
  <c r="BK92" i="3"/>
  <c r="BK93" i="3"/>
  <c r="BK94" i="3"/>
  <c r="BK95" i="3"/>
  <c r="BK96" i="3"/>
  <c r="BK97" i="3"/>
  <c r="BK98" i="3"/>
  <c r="BK99" i="3"/>
  <c r="BK100" i="3"/>
  <c r="BK101" i="3"/>
  <c r="BK102" i="3"/>
  <c r="BK103" i="3"/>
  <c r="BK104" i="3"/>
  <c r="BK105" i="3"/>
  <c r="BK106" i="3"/>
  <c r="BK107" i="3"/>
  <c r="BK108" i="3"/>
  <c r="BK109" i="3"/>
  <c r="BK110" i="3"/>
  <c r="BK111" i="3"/>
  <c r="BK112" i="3"/>
  <c r="BK113" i="3"/>
  <c r="BK114" i="3"/>
  <c r="BK115" i="3"/>
  <c r="BK116" i="3"/>
  <c r="BK117" i="3"/>
  <c r="BK118" i="3"/>
  <c r="BK119" i="3"/>
  <c r="BK120" i="3"/>
  <c r="BK121" i="3"/>
  <c r="BK122" i="3"/>
  <c r="BK123" i="3"/>
  <c r="BK124" i="3"/>
  <c r="BK125" i="3"/>
  <c r="BK126" i="3"/>
  <c r="BK127" i="3"/>
  <c r="BK128" i="3"/>
  <c r="BK129" i="3"/>
  <c r="BK130" i="3"/>
  <c r="BK131" i="3"/>
  <c r="BK132" i="3"/>
  <c r="BK133" i="3"/>
  <c r="BK134" i="3"/>
  <c r="BK135" i="3"/>
  <c r="BK136" i="3"/>
  <c r="BK137" i="3"/>
  <c r="BK138" i="3"/>
  <c r="BK139" i="3"/>
  <c r="BK140" i="3"/>
  <c r="BK141" i="3"/>
  <c r="BK142" i="3"/>
  <c r="BK143" i="3"/>
  <c r="BK144" i="3"/>
  <c r="BK145" i="3"/>
  <c r="BK146" i="3"/>
  <c r="BK147" i="3"/>
  <c r="BK148" i="3"/>
  <c r="BK149" i="3"/>
  <c r="BK150" i="3"/>
  <c r="BK151" i="3"/>
  <c r="BK152" i="3"/>
  <c r="BK153" i="3"/>
  <c r="BK154" i="3"/>
  <c r="BK155" i="3"/>
  <c r="BK156" i="3"/>
  <c r="BK157" i="3"/>
  <c r="BK158" i="3"/>
  <c r="BK159" i="3"/>
  <c r="BK160" i="3"/>
  <c r="BK161" i="3"/>
  <c r="BK162" i="3"/>
  <c r="BK163" i="3"/>
  <c r="BK164" i="3"/>
  <c r="BK165" i="3"/>
  <c r="BK166" i="3"/>
  <c r="BK167" i="3"/>
  <c r="BK168" i="3"/>
  <c r="BK169" i="3"/>
  <c r="BK170" i="3"/>
  <c r="BK171" i="3"/>
  <c r="BK172" i="3"/>
  <c r="BK173" i="3"/>
  <c r="BK174" i="3"/>
  <c r="BK175" i="3"/>
  <c r="BK176" i="3"/>
  <c r="BK177" i="3"/>
  <c r="BK178" i="3"/>
  <c r="BK179" i="3"/>
  <c r="BK180" i="3"/>
  <c r="BK181" i="3"/>
  <c r="BK182" i="3"/>
  <c r="BK183" i="3"/>
  <c r="BK184" i="3"/>
  <c r="BK185" i="3"/>
  <c r="BK186" i="3"/>
  <c r="BK187" i="3"/>
  <c r="BK188" i="3"/>
  <c r="BK189" i="3"/>
  <c r="BK190" i="3"/>
  <c r="BK191" i="3"/>
  <c r="BK192" i="3"/>
  <c r="BK193" i="3"/>
  <c r="BK194" i="3"/>
  <c r="BK195" i="3"/>
  <c r="BK196" i="3"/>
  <c r="BK197" i="3"/>
  <c r="BK198" i="3"/>
  <c r="BK199" i="3"/>
  <c r="BK200" i="3"/>
  <c r="BK201" i="3"/>
  <c r="BK202" i="3"/>
  <c r="BK203" i="3"/>
  <c r="BK204" i="3"/>
  <c r="BK205" i="3"/>
  <c r="BK206" i="3"/>
  <c r="BK207" i="3"/>
  <c r="BK208" i="3"/>
  <c r="BK209" i="3"/>
  <c r="BK210" i="3"/>
  <c r="BK211" i="3"/>
  <c r="BK212" i="3"/>
  <c r="BK213" i="3"/>
  <c r="BK214" i="3"/>
  <c r="BK215" i="3"/>
  <c r="BK216" i="3"/>
  <c r="BK217" i="3"/>
  <c r="BK218" i="3"/>
  <c r="BK219" i="3"/>
  <c r="BK220" i="3"/>
  <c r="BK221" i="3"/>
  <c r="BK222" i="3"/>
  <c r="BK223" i="3"/>
  <c r="BK224" i="3"/>
  <c r="BK225" i="3"/>
  <c r="BK226" i="3"/>
  <c r="BK227" i="3"/>
  <c r="BK228" i="3"/>
  <c r="BK229" i="3"/>
  <c r="BK230" i="3"/>
  <c r="BK231" i="3"/>
  <c r="BK232" i="3"/>
  <c r="BK233" i="3"/>
  <c r="BK234" i="3"/>
  <c r="BK235" i="3"/>
  <c r="BK236" i="3"/>
  <c r="BK237" i="3"/>
  <c r="BK238" i="3"/>
  <c r="BK239" i="3"/>
  <c r="BK240" i="3"/>
  <c r="BK241" i="3"/>
  <c r="BK242" i="3"/>
  <c r="BK243" i="3"/>
  <c r="BK244" i="3"/>
  <c r="BK245" i="3"/>
  <c r="BK246" i="3"/>
  <c r="BK247" i="3"/>
  <c r="BK248" i="3"/>
  <c r="BK249" i="3"/>
  <c r="BK250" i="3"/>
  <c r="BK251" i="3"/>
  <c r="BK252" i="3"/>
  <c r="BK253" i="3"/>
  <c r="BK254" i="3"/>
  <c r="BK255" i="3"/>
  <c r="BK256" i="3"/>
  <c r="BK257" i="3"/>
  <c r="BK258" i="3"/>
  <c r="BK259" i="3"/>
  <c r="BK260" i="3"/>
  <c r="BK261" i="3"/>
  <c r="BK262" i="3"/>
  <c r="BK263" i="3"/>
  <c r="BK264" i="3"/>
  <c r="BK265" i="3"/>
  <c r="BK266" i="3"/>
  <c r="BK267" i="3"/>
  <c r="BK268" i="3"/>
  <c r="BK269" i="3"/>
  <c r="BK270" i="3"/>
  <c r="BK271" i="3"/>
  <c r="BK272" i="3"/>
  <c r="BK273" i="3"/>
  <c r="BK274" i="3"/>
  <c r="BK275" i="3"/>
  <c r="BK276" i="3"/>
  <c r="BK277" i="3"/>
  <c r="BK278" i="3"/>
  <c r="BK279" i="3"/>
  <c r="BK280" i="3"/>
  <c r="BK281" i="3"/>
  <c r="BK282" i="3"/>
  <c r="BK283" i="3"/>
  <c r="BK284" i="3"/>
  <c r="BK285" i="3"/>
  <c r="BK286" i="3"/>
  <c r="BK287" i="3"/>
  <c r="BK288" i="3"/>
  <c r="BK289" i="3"/>
  <c r="BK290" i="3"/>
  <c r="BK291" i="3"/>
  <c r="BK292" i="3"/>
  <c r="BK293" i="3"/>
  <c r="BK294" i="3"/>
  <c r="BK295" i="3"/>
  <c r="BK296" i="3"/>
  <c r="BK297" i="3"/>
  <c r="BK298" i="3"/>
  <c r="BK299" i="3"/>
  <c r="BK300" i="3"/>
  <c r="BK301" i="3"/>
  <c r="BK302" i="3"/>
  <c r="BK303" i="3"/>
  <c r="BK304" i="3"/>
  <c r="BK305" i="3"/>
  <c r="BK306" i="3"/>
  <c r="BK307" i="3"/>
  <c r="BK308" i="3"/>
  <c r="BK309" i="3"/>
  <c r="BK310" i="3"/>
  <c r="BK311" i="3"/>
  <c r="BK312" i="3"/>
  <c r="BK313" i="3"/>
  <c r="BK314" i="3"/>
  <c r="BK315" i="3"/>
  <c r="BK316" i="3"/>
  <c r="BK317" i="3"/>
  <c r="BK318" i="3"/>
  <c r="BK319" i="3"/>
  <c r="BK320" i="3"/>
  <c r="BK321" i="3"/>
  <c r="BK322" i="3"/>
  <c r="BK323" i="3"/>
  <c r="BK324" i="3"/>
  <c r="BK325" i="3"/>
  <c r="BK326" i="3"/>
  <c r="BK327" i="3"/>
  <c r="BK328" i="3"/>
  <c r="BK329" i="3"/>
  <c r="BK330" i="3"/>
  <c r="BK331" i="3"/>
  <c r="BK332" i="3"/>
  <c r="BK333" i="3"/>
  <c r="BK334" i="3"/>
  <c r="BK335" i="3"/>
  <c r="BK336" i="3"/>
  <c r="BK337" i="3"/>
  <c r="BK338" i="3"/>
  <c r="BK339" i="3"/>
  <c r="BK340" i="3"/>
  <c r="BK341" i="3"/>
  <c r="BK342" i="3"/>
  <c r="BK343" i="3"/>
  <c r="BK344" i="3"/>
  <c r="BK345" i="3"/>
  <c r="BK346" i="3"/>
  <c r="BK347" i="3"/>
  <c r="BK348" i="3"/>
  <c r="BK349" i="3"/>
  <c r="BK350" i="3"/>
  <c r="BK351" i="3"/>
  <c r="BK352" i="3"/>
  <c r="BK353" i="3"/>
  <c r="BK354" i="3"/>
  <c r="BK355" i="3"/>
  <c r="BK356" i="3"/>
  <c r="BK357" i="3"/>
  <c r="BK358" i="3"/>
  <c r="BK359" i="3"/>
  <c r="BK360" i="3"/>
  <c r="BK361" i="3"/>
  <c r="BK362" i="3"/>
  <c r="BK363" i="3"/>
  <c r="BK364" i="3"/>
  <c r="BK365" i="3"/>
  <c r="BK366" i="3"/>
  <c r="BK367" i="3"/>
  <c r="BK368" i="3"/>
  <c r="BK369" i="3"/>
  <c r="BK370" i="3"/>
  <c r="BK371" i="3"/>
  <c r="BK372" i="3"/>
  <c r="BK373" i="3"/>
  <c r="BK374" i="3"/>
  <c r="BK375" i="3"/>
  <c r="BK376" i="3"/>
  <c r="BK377" i="3"/>
  <c r="BK378" i="3"/>
  <c r="BK379" i="3"/>
  <c r="BK380" i="3"/>
  <c r="BK381" i="3"/>
  <c r="BK382" i="3"/>
  <c r="BK383" i="3"/>
  <c r="BK384" i="3"/>
  <c r="BK385" i="3"/>
  <c r="BK386" i="3"/>
  <c r="BK387" i="3"/>
  <c r="BK388" i="3"/>
  <c r="BK389" i="3"/>
  <c r="BK390" i="3"/>
  <c r="BK391" i="3"/>
  <c r="BK392" i="3"/>
  <c r="BK393" i="3"/>
  <c r="BK394" i="3"/>
  <c r="BK395" i="3"/>
  <c r="BK396" i="3"/>
  <c r="BK397" i="3"/>
  <c r="BK398" i="3"/>
  <c r="BK399" i="3"/>
  <c r="BK400" i="3"/>
  <c r="BK401" i="3"/>
  <c r="BK402" i="3"/>
  <c r="BK403" i="3"/>
  <c r="BK404" i="3"/>
  <c r="BK405" i="3"/>
  <c r="BK406" i="3"/>
  <c r="BK407" i="3"/>
  <c r="BK408" i="3"/>
  <c r="BK409" i="3"/>
  <c r="BK410" i="3"/>
  <c r="BK411" i="3"/>
  <c r="BK412" i="3"/>
  <c r="BK413" i="3"/>
  <c r="BK414" i="3"/>
  <c r="BK415" i="3"/>
  <c r="BK416" i="3"/>
  <c r="BK417" i="3"/>
  <c r="BK418" i="3"/>
  <c r="BK419" i="3"/>
  <c r="BK420" i="3"/>
  <c r="BK421" i="3"/>
  <c r="BK422" i="3"/>
  <c r="BK423" i="3"/>
  <c r="BK424" i="3"/>
  <c r="BK425" i="3"/>
  <c r="BK426" i="3"/>
  <c r="BK427" i="3"/>
  <c r="BK428" i="3"/>
  <c r="BK429" i="3"/>
  <c r="BK430" i="3"/>
  <c r="BK431" i="3"/>
  <c r="BK432" i="3"/>
  <c r="BK433" i="3"/>
  <c r="BK434" i="3"/>
  <c r="BK435" i="3"/>
  <c r="BK436" i="3"/>
  <c r="BK437" i="3"/>
  <c r="BK438" i="3"/>
  <c r="BK439" i="3"/>
  <c r="BK440" i="3"/>
  <c r="BK441" i="3"/>
  <c r="BK442" i="3"/>
  <c r="BK443" i="3"/>
  <c r="BK444" i="3"/>
  <c r="BK445" i="3"/>
  <c r="BK446" i="3"/>
  <c r="BK447" i="3"/>
  <c r="BK448" i="3"/>
  <c r="BK449" i="3"/>
  <c r="BK450" i="3"/>
  <c r="BK451" i="3"/>
  <c r="BK452" i="3"/>
  <c r="BK453" i="3"/>
  <c r="BK454" i="3"/>
  <c r="BK455" i="3"/>
  <c r="BK456" i="3"/>
  <c r="BK457" i="3"/>
  <c r="BK458" i="3"/>
  <c r="BK459" i="3"/>
  <c r="BK460" i="3"/>
  <c r="BK461" i="3"/>
  <c r="BK462" i="3"/>
  <c r="BK463" i="3"/>
  <c r="BK464" i="3"/>
  <c r="BK465" i="3"/>
  <c r="BK466" i="3"/>
  <c r="BK467" i="3"/>
  <c r="BK468" i="3"/>
  <c r="BK469" i="3"/>
  <c r="BK470" i="3"/>
  <c r="BK471" i="3"/>
  <c r="BK472" i="3"/>
  <c r="BK473" i="3"/>
  <c r="BK474" i="3"/>
  <c r="BK475" i="3"/>
  <c r="BK476" i="3"/>
  <c r="BK477" i="3"/>
  <c r="BK478" i="3"/>
  <c r="BK479" i="3"/>
  <c r="BK480" i="3"/>
  <c r="BK481" i="3"/>
  <c r="BK482" i="3"/>
  <c r="BK483" i="3"/>
  <c r="BK484" i="3"/>
  <c r="BK485" i="3"/>
  <c r="BK486" i="3"/>
  <c r="BK487" i="3"/>
  <c r="BK488" i="3"/>
  <c r="BK489" i="3"/>
  <c r="BK490" i="3"/>
  <c r="BK491" i="3"/>
  <c r="BK492" i="3"/>
  <c r="BK493" i="3"/>
  <c r="BK494" i="3"/>
  <c r="BK495" i="3"/>
  <c r="BK496" i="3"/>
  <c r="BK497" i="3"/>
  <c r="BK498" i="3"/>
  <c r="BK499" i="3"/>
  <c r="BK500" i="3"/>
  <c r="BK501" i="3"/>
  <c r="BK502" i="3"/>
  <c r="BK503" i="3"/>
  <c r="BK504" i="3"/>
  <c r="BK505" i="3"/>
  <c r="BK506" i="3"/>
  <c r="BK507" i="3"/>
  <c r="BK508" i="3"/>
  <c r="BK509" i="3"/>
  <c r="BK510" i="3"/>
  <c r="BK511" i="3"/>
  <c r="BK512" i="3"/>
  <c r="BK513" i="3"/>
  <c r="BK514" i="3"/>
  <c r="BK515" i="3"/>
  <c r="BK516" i="3"/>
  <c r="BK517" i="3"/>
  <c r="BK518" i="3"/>
  <c r="BK519" i="3"/>
  <c r="BK520" i="3"/>
  <c r="BK521" i="3"/>
  <c r="BK522" i="3"/>
  <c r="BK523" i="3"/>
  <c r="BK524" i="3"/>
  <c r="BK525" i="3"/>
  <c r="BK526" i="3"/>
  <c r="BK527" i="3"/>
  <c r="BK528" i="3"/>
  <c r="BK529" i="3"/>
  <c r="BK530" i="3"/>
  <c r="BK531" i="3"/>
  <c r="BK532" i="3"/>
  <c r="BK533" i="3"/>
  <c r="BK534" i="3"/>
  <c r="BK535" i="3"/>
  <c r="BK536" i="3"/>
  <c r="BK537" i="3"/>
  <c r="BK538" i="3"/>
  <c r="BK539" i="3"/>
  <c r="BK540" i="3"/>
  <c r="BK541" i="3"/>
  <c r="BK542" i="3"/>
  <c r="BK543" i="3"/>
  <c r="BK544" i="3"/>
  <c r="BK545" i="3"/>
  <c r="BK546" i="3"/>
  <c r="BK547" i="3"/>
  <c r="BK548" i="3"/>
  <c r="BK549" i="3"/>
  <c r="BK550" i="3"/>
  <c r="BK551" i="3"/>
  <c r="BK552" i="3"/>
  <c r="BK553" i="3"/>
  <c r="BK554" i="3"/>
  <c r="BK555" i="3"/>
  <c r="BK556" i="3"/>
  <c r="BK557" i="3"/>
  <c r="BK558" i="3"/>
  <c r="BK559" i="3"/>
  <c r="BK560" i="3"/>
  <c r="BK561" i="3"/>
  <c r="BK562" i="3"/>
  <c r="BK563" i="3"/>
  <c r="BK564" i="3"/>
  <c r="BK565" i="3"/>
  <c r="BK566" i="3"/>
  <c r="BK567" i="3"/>
  <c r="BK568" i="3"/>
  <c r="BK569" i="3"/>
  <c r="BK570" i="3"/>
  <c r="BK571" i="3"/>
  <c r="BK572" i="3"/>
  <c r="BK573" i="3"/>
  <c r="BK574" i="3"/>
  <c r="BK575" i="3"/>
  <c r="BK576" i="3"/>
  <c r="BK577" i="3"/>
  <c r="BK578" i="3"/>
  <c r="BK579" i="3"/>
  <c r="BK580" i="3"/>
  <c r="BK581" i="3"/>
  <c r="BK582" i="3"/>
  <c r="BK583" i="3"/>
  <c r="BK584" i="3"/>
  <c r="BK585" i="3"/>
  <c r="BK586" i="3"/>
  <c r="BK587" i="3"/>
  <c r="BK5" i="3"/>
  <c r="E8" i="6"/>
  <c r="F27" i="6"/>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M13" i="3"/>
  <c r="BM14" i="3"/>
  <c r="BM15" i="3"/>
  <c r="BM16" i="3"/>
  <c r="BM17" i="3"/>
  <c r="BM18" i="3"/>
  <c r="BM19" i="3"/>
  <c r="BM20" i="3"/>
  <c r="BM21" i="3"/>
  <c r="BM22" i="3"/>
  <c r="BM23" i="3"/>
  <c r="BM24" i="3"/>
  <c r="BM25" i="3"/>
  <c r="BM26" i="3"/>
  <c r="BM27" i="3"/>
  <c r="BM28" i="3"/>
  <c r="BM29" i="3"/>
  <c r="BM30" i="3"/>
  <c r="BM31" i="3"/>
  <c r="BM32" i="3"/>
  <c r="BM33" i="3"/>
  <c r="BM34" i="3"/>
  <c r="BM35" i="3"/>
  <c r="BM36" i="3"/>
  <c r="BM37" i="3"/>
  <c r="BM38" i="3"/>
  <c r="BM39" i="3"/>
  <c r="BM40" i="3"/>
  <c r="BM41" i="3"/>
  <c r="BM42" i="3"/>
  <c r="BM43" i="3"/>
  <c r="BM44" i="3"/>
  <c r="BM45" i="3"/>
  <c r="BM46" i="3"/>
  <c r="BM47" i="3"/>
  <c r="BM48" i="3"/>
  <c r="BM49" i="3"/>
  <c r="BM50" i="3"/>
  <c r="BM51" i="3"/>
  <c r="BM52" i="3"/>
  <c r="BM53" i="3"/>
  <c r="BM54" i="3"/>
  <c r="BM55" i="3"/>
  <c r="BM56" i="3"/>
  <c r="BM57" i="3"/>
  <c r="BM58" i="3"/>
  <c r="BM59" i="3"/>
  <c r="BM60" i="3"/>
  <c r="BM61" i="3"/>
  <c r="BM62" i="3"/>
  <c r="BM63" i="3"/>
  <c r="BM64" i="3"/>
  <c r="BM65" i="3"/>
  <c r="BM66" i="3"/>
  <c r="BM67" i="3"/>
  <c r="BM68" i="3"/>
  <c r="BM69" i="3"/>
  <c r="BM70" i="3"/>
  <c r="BM71" i="3"/>
  <c r="BM72" i="3"/>
  <c r="BM73" i="3"/>
  <c r="BM74" i="3"/>
  <c r="BM75" i="3"/>
  <c r="BM76" i="3"/>
  <c r="BM77" i="3"/>
  <c r="BM78" i="3"/>
  <c r="BM79" i="3"/>
  <c r="BM80" i="3"/>
  <c r="BM81" i="3"/>
  <c r="BM82" i="3"/>
  <c r="BM83" i="3"/>
  <c r="BM84" i="3"/>
  <c r="BM85" i="3"/>
  <c r="BM86" i="3"/>
  <c r="BM87" i="3"/>
  <c r="BM88" i="3"/>
  <c r="BM89" i="3"/>
  <c r="BM90" i="3"/>
  <c r="BM91" i="3"/>
  <c r="BM92" i="3"/>
  <c r="BM93" i="3"/>
  <c r="BM94" i="3"/>
  <c r="BM95" i="3"/>
  <c r="BM96" i="3"/>
  <c r="BM97" i="3"/>
  <c r="BM98" i="3"/>
  <c r="BM99" i="3"/>
  <c r="BM100" i="3"/>
  <c r="BM101" i="3"/>
  <c r="BM102" i="3"/>
  <c r="BM103" i="3"/>
  <c r="BM104" i="3"/>
  <c r="BM105" i="3"/>
  <c r="BM106" i="3"/>
  <c r="BM107" i="3"/>
  <c r="BM108" i="3"/>
  <c r="BM109" i="3"/>
  <c r="BM110" i="3"/>
  <c r="BM111" i="3"/>
  <c r="BM112" i="3"/>
  <c r="BM113" i="3"/>
  <c r="BM114" i="3"/>
  <c r="BM115" i="3"/>
  <c r="BM116" i="3"/>
  <c r="BM117" i="3"/>
  <c r="BM118" i="3"/>
  <c r="BM119" i="3"/>
  <c r="BM120" i="3"/>
  <c r="BM121" i="3"/>
  <c r="BM122" i="3"/>
  <c r="BM123" i="3"/>
  <c r="BM124" i="3"/>
  <c r="BM125" i="3"/>
  <c r="BM126" i="3"/>
  <c r="BM127" i="3"/>
  <c r="BM128" i="3"/>
  <c r="BM129" i="3"/>
  <c r="BM130" i="3"/>
  <c r="BM131" i="3"/>
  <c r="BM132" i="3"/>
  <c r="BM133" i="3"/>
  <c r="BM134" i="3"/>
  <c r="BM135" i="3"/>
  <c r="BM136" i="3"/>
  <c r="BM137" i="3"/>
  <c r="BM138" i="3"/>
  <c r="BM139" i="3"/>
  <c r="BM140" i="3"/>
  <c r="BM141" i="3"/>
  <c r="BM142" i="3"/>
  <c r="BM143" i="3"/>
  <c r="BM144" i="3"/>
  <c r="BM145" i="3"/>
  <c r="BM146" i="3"/>
  <c r="BM147" i="3"/>
  <c r="BM148" i="3"/>
  <c r="BM149" i="3"/>
  <c r="BM150" i="3"/>
  <c r="BM151" i="3"/>
  <c r="BM152" i="3"/>
  <c r="BM153" i="3"/>
  <c r="BM154" i="3"/>
  <c r="BM155" i="3"/>
  <c r="BM156" i="3"/>
  <c r="BM157" i="3"/>
  <c r="BM158" i="3"/>
  <c r="BM159" i="3"/>
  <c r="BM160" i="3"/>
  <c r="BM161" i="3"/>
  <c r="BM162" i="3"/>
  <c r="BM163" i="3"/>
  <c r="BM164" i="3"/>
  <c r="BM165" i="3"/>
  <c r="BM166" i="3"/>
  <c r="BM167" i="3"/>
  <c r="BM168" i="3"/>
  <c r="BM169" i="3"/>
  <c r="BM170" i="3"/>
  <c r="BM171" i="3"/>
  <c r="BM172" i="3"/>
  <c r="BM173" i="3"/>
  <c r="BM174" i="3"/>
  <c r="BM175" i="3"/>
  <c r="BM176" i="3"/>
  <c r="BM177" i="3"/>
  <c r="BM178" i="3"/>
  <c r="BM179" i="3"/>
  <c r="BM180" i="3"/>
  <c r="BM181" i="3"/>
  <c r="BM182" i="3"/>
  <c r="BM183" i="3"/>
  <c r="BM184" i="3"/>
  <c r="BM185" i="3"/>
  <c r="BM186" i="3"/>
  <c r="BM187" i="3"/>
  <c r="BM188" i="3"/>
  <c r="BM189" i="3"/>
  <c r="BM190" i="3"/>
  <c r="BM191" i="3"/>
  <c r="BM192" i="3"/>
  <c r="BM193" i="3"/>
  <c r="BM194" i="3"/>
  <c r="BM195" i="3"/>
  <c r="BM196" i="3"/>
  <c r="BM197" i="3"/>
  <c r="BM198" i="3"/>
  <c r="BM199" i="3"/>
  <c r="BM200" i="3"/>
  <c r="BM201" i="3"/>
  <c r="BM202" i="3"/>
  <c r="BM203" i="3"/>
  <c r="BM204" i="3"/>
  <c r="BM205" i="3"/>
  <c r="BM206" i="3"/>
  <c r="BM207" i="3"/>
  <c r="BM208" i="3"/>
  <c r="BM209" i="3"/>
  <c r="BM210" i="3"/>
  <c r="BM211" i="3"/>
  <c r="BM212" i="3"/>
  <c r="BM213" i="3"/>
  <c r="BM214" i="3"/>
  <c r="BM215" i="3"/>
  <c r="BM216" i="3"/>
  <c r="BM217" i="3"/>
  <c r="BM218" i="3"/>
  <c r="BM219" i="3"/>
  <c r="BM220" i="3"/>
  <c r="BM221" i="3"/>
  <c r="BM222" i="3"/>
  <c r="BM223" i="3"/>
  <c r="BM224" i="3"/>
  <c r="BM225" i="3"/>
  <c r="BM226" i="3"/>
  <c r="BM227" i="3"/>
  <c r="BM228" i="3"/>
  <c r="BM229" i="3"/>
  <c r="BM230" i="3"/>
  <c r="BM231" i="3"/>
  <c r="BM232" i="3"/>
  <c r="BM233" i="3"/>
  <c r="BM234" i="3"/>
  <c r="BM235" i="3"/>
  <c r="BM236" i="3"/>
  <c r="BM237" i="3"/>
  <c r="BM238" i="3"/>
  <c r="BM239" i="3"/>
  <c r="BM240" i="3"/>
  <c r="BM241" i="3"/>
  <c r="BM242" i="3"/>
  <c r="BM243" i="3"/>
  <c r="BM244" i="3"/>
  <c r="BM245" i="3"/>
  <c r="BM246" i="3"/>
  <c r="BM247" i="3"/>
  <c r="BM248" i="3"/>
  <c r="BM249" i="3"/>
  <c r="BM250" i="3"/>
  <c r="BM251" i="3"/>
  <c r="BM252" i="3"/>
  <c r="BM253" i="3"/>
  <c r="BM254" i="3"/>
  <c r="BM255" i="3"/>
  <c r="BM256" i="3"/>
  <c r="BM257" i="3"/>
  <c r="BM258" i="3"/>
  <c r="BM259" i="3"/>
  <c r="BM260" i="3"/>
  <c r="BM261" i="3"/>
  <c r="BM262" i="3"/>
  <c r="BM263" i="3"/>
  <c r="BM264" i="3"/>
  <c r="BM265" i="3"/>
  <c r="BM266" i="3"/>
  <c r="BM267" i="3"/>
  <c r="BM268" i="3"/>
  <c r="BM269" i="3"/>
  <c r="BM270" i="3"/>
  <c r="BM271" i="3"/>
  <c r="BM272" i="3"/>
  <c r="BM273" i="3"/>
  <c r="BM274" i="3"/>
  <c r="BM275" i="3"/>
  <c r="BM276" i="3"/>
  <c r="BM277" i="3"/>
  <c r="BM278" i="3"/>
  <c r="BM279" i="3"/>
  <c r="BM280" i="3"/>
  <c r="BM281" i="3"/>
  <c r="BM282" i="3"/>
  <c r="BM283" i="3"/>
  <c r="BM284" i="3"/>
  <c r="BM285" i="3"/>
  <c r="BM286" i="3"/>
  <c r="BM287" i="3"/>
  <c r="BM288" i="3"/>
  <c r="BM289" i="3"/>
  <c r="BM290" i="3"/>
  <c r="BM291" i="3"/>
  <c r="BM292" i="3"/>
  <c r="BM293" i="3"/>
  <c r="BM294" i="3"/>
  <c r="BM295" i="3"/>
  <c r="BM296" i="3"/>
  <c r="BM297" i="3"/>
  <c r="BM298" i="3"/>
  <c r="BM299" i="3"/>
  <c r="BM300" i="3"/>
  <c r="BM301" i="3"/>
  <c r="BM302" i="3"/>
  <c r="BM303" i="3"/>
  <c r="BM304" i="3"/>
  <c r="BM305" i="3"/>
  <c r="BM306" i="3"/>
  <c r="BM307" i="3"/>
  <c r="BM308" i="3"/>
  <c r="BM309" i="3"/>
  <c r="BM310" i="3"/>
  <c r="BM311" i="3"/>
  <c r="BM312" i="3"/>
  <c r="BM313" i="3"/>
  <c r="BM314" i="3"/>
  <c r="BM315" i="3"/>
  <c r="BM316" i="3"/>
  <c r="BM317" i="3"/>
  <c r="BM318" i="3"/>
  <c r="BM319" i="3"/>
  <c r="BM320" i="3"/>
  <c r="BM321" i="3"/>
  <c r="BM322" i="3"/>
  <c r="BM323" i="3"/>
  <c r="BM324" i="3"/>
  <c r="BM325" i="3"/>
  <c r="BM326" i="3"/>
  <c r="BM327" i="3"/>
  <c r="BM328" i="3"/>
  <c r="BM329" i="3"/>
  <c r="BM330" i="3"/>
  <c r="BM331" i="3"/>
  <c r="BM332" i="3"/>
  <c r="BM333" i="3"/>
  <c r="BM334" i="3"/>
  <c r="BM335" i="3"/>
  <c r="BM336" i="3"/>
  <c r="BM337" i="3"/>
  <c r="BM338" i="3"/>
  <c r="BM339" i="3"/>
  <c r="BM340" i="3"/>
  <c r="BM341" i="3"/>
  <c r="BM342" i="3"/>
  <c r="BM343" i="3"/>
  <c r="BM344" i="3"/>
  <c r="BM345" i="3"/>
  <c r="BM346" i="3"/>
  <c r="BM347" i="3"/>
  <c r="BM348" i="3"/>
  <c r="BM349" i="3"/>
  <c r="BM350" i="3"/>
  <c r="BM351" i="3"/>
  <c r="BM352" i="3"/>
  <c r="BM353" i="3"/>
  <c r="BM354" i="3"/>
  <c r="BM355" i="3"/>
  <c r="BM356" i="3"/>
  <c r="BM357" i="3"/>
  <c r="BM358" i="3"/>
  <c r="BM359" i="3"/>
  <c r="BM360" i="3"/>
  <c r="BM361" i="3"/>
  <c r="BM362" i="3"/>
  <c r="BM363" i="3"/>
  <c r="BM364" i="3"/>
  <c r="BM365" i="3"/>
  <c r="BM366" i="3"/>
  <c r="BM367" i="3"/>
  <c r="BM368" i="3"/>
  <c r="BM369" i="3"/>
  <c r="BM370" i="3"/>
  <c r="BM371" i="3"/>
  <c r="BM372" i="3"/>
  <c r="BM373" i="3"/>
  <c r="BM374" i="3"/>
  <c r="BM375" i="3"/>
  <c r="BM376" i="3"/>
  <c r="BM377" i="3"/>
  <c r="BM378" i="3"/>
  <c r="BM379" i="3"/>
  <c r="BM380" i="3"/>
  <c r="BM381" i="3"/>
  <c r="BM382" i="3"/>
  <c r="BM383" i="3"/>
  <c r="BM384" i="3"/>
  <c r="BM385" i="3"/>
  <c r="BM386" i="3"/>
  <c r="BM387" i="3"/>
  <c r="BM388" i="3"/>
  <c r="BM389" i="3"/>
  <c r="BM390" i="3"/>
  <c r="BM391" i="3"/>
  <c r="BM392" i="3"/>
  <c r="BM393" i="3"/>
  <c r="BM394" i="3"/>
  <c r="BM395" i="3"/>
  <c r="BM396" i="3"/>
  <c r="BM397" i="3"/>
  <c r="BM398" i="3"/>
  <c r="BM399" i="3"/>
  <c r="BM400" i="3"/>
  <c r="BM401" i="3"/>
  <c r="BM402" i="3"/>
  <c r="BM403" i="3"/>
  <c r="BM404" i="3"/>
  <c r="BM405" i="3"/>
  <c r="BM406" i="3"/>
  <c r="BM407" i="3"/>
  <c r="BM408" i="3"/>
  <c r="BM409" i="3"/>
  <c r="BM410" i="3"/>
  <c r="BM411" i="3"/>
  <c r="BM412" i="3"/>
  <c r="BM413" i="3"/>
  <c r="BM414" i="3"/>
  <c r="BM415" i="3"/>
  <c r="BM416" i="3"/>
  <c r="BM417" i="3"/>
  <c r="BM418" i="3"/>
  <c r="BM419" i="3"/>
  <c r="BM420" i="3"/>
  <c r="BM421" i="3"/>
  <c r="BM422" i="3"/>
  <c r="BM423" i="3"/>
  <c r="BM424" i="3"/>
  <c r="BM425" i="3"/>
  <c r="BM426" i="3"/>
  <c r="BM427" i="3"/>
  <c r="BM428" i="3"/>
  <c r="BM429" i="3"/>
  <c r="BM430" i="3"/>
  <c r="BM431" i="3"/>
  <c r="BM432" i="3"/>
  <c r="BM433" i="3"/>
  <c r="BM434" i="3"/>
  <c r="BM435" i="3"/>
  <c r="BM436" i="3"/>
  <c r="BM437" i="3"/>
  <c r="BM438" i="3"/>
  <c r="BM439" i="3"/>
  <c r="BM440" i="3"/>
  <c r="BM441" i="3"/>
  <c r="BM442" i="3"/>
  <c r="BM443" i="3"/>
  <c r="BM444" i="3"/>
  <c r="BM445" i="3"/>
  <c r="BM446" i="3"/>
  <c r="BM447" i="3"/>
  <c r="BM448" i="3"/>
  <c r="BM449" i="3"/>
  <c r="BM450" i="3"/>
  <c r="BM451" i="3"/>
  <c r="BM452" i="3"/>
  <c r="BM453" i="3"/>
  <c r="BM454" i="3"/>
  <c r="BM455" i="3"/>
  <c r="BM456" i="3"/>
  <c r="BM457" i="3"/>
  <c r="BM458" i="3"/>
  <c r="BM459" i="3"/>
  <c r="BM460" i="3"/>
  <c r="BM461" i="3"/>
  <c r="BM462" i="3"/>
  <c r="BM463" i="3"/>
  <c r="BM464" i="3"/>
  <c r="BM465" i="3"/>
  <c r="BM466" i="3"/>
  <c r="BM467" i="3"/>
  <c r="BM468" i="3"/>
  <c r="BM469" i="3"/>
  <c r="BM470" i="3"/>
  <c r="BM471" i="3"/>
  <c r="BM472" i="3"/>
  <c r="BM473" i="3"/>
  <c r="BM474" i="3"/>
  <c r="BM475" i="3"/>
  <c r="BM476" i="3"/>
  <c r="BM477" i="3"/>
  <c r="BM478" i="3"/>
  <c r="BM479" i="3"/>
  <c r="BM480" i="3"/>
  <c r="BM481" i="3"/>
  <c r="BM482" i="3"/>
  <c r="BM483" i="3"/>
  <c r="BM484" i="3"/>
  <c r="BM485" i="3"/>
  <c r="BM486" i="3"/>
  <c r="BM487" i="3"/>
  <c r="BM488" i="3"/>
  <c r="BM489" i="3"/>
  <c r="BM490" i="3"/>
  <c r="BM491" i="3"/>
  <c r="BM492" i="3"/>
  <c r="BM493" i="3"/>
  <c r="BM494" i="3"/>
  <c r="BM495" i="3"/>
  <c r="BM496" i="3"/>
  <c r="BM497" i="3"/>
  <c r="BM498" i="3"/>
  <c r="BM499" i="3"/>
  <c r="BM500" i="3"/>
  <c r="BM501" i="3"/>
  <c r="BM502" i="3"/>
  <c r="BM503" i="3"/>
  <c r="BM504" i="3"/>
  <c r="BM505" i="3"/>
  <c r="BM506" i="3"/>
  <c r="BM507" i="3"/>
  <c r="BM508" i="3"/>
  <c r="BM509" i="3"/>
  <c r="BM510" i="3"/>
  <c r="BM511" i="3"/>
  <c r="BM512" i="3"/>
  <c r="BM513" i="3"/>
  <c r="BM514" i="3"/>
  <c r="BM515" i="3"/>
  <c r="BM516" i="3"/>
  <c r="BM517" i="3"/>
  <c r="BM518" i="3"/>
  <c r="BM519" i="3"/>
  <c r="BM520" i="3"/>
  <c r="BM521" i="3"/>
  <c r="BM522" i="3"/>
  <c r="BM523" i="3"/>
  <c r="BM524" i="3"/>
  <c r="BM525" i="3"/>
  <c r="BM526" i="3"/>
  <c r="BM527" i="3"/>
  <c r="BM528" i="3"/>
  <c r="BM529" i="3"/>
  <c r="BM530" i="3"/>
  <c r="BM531" i="3"/>
  <c r="BM532" i="3"/>
  <c r="BM533" i="3"/>
  <c r="BM534" i="3"/>
  <c r="BM535" i="3"/>
  <c r="BM536" i="3"/>
  <c r="BM537" i="3"/>
  <c r="BM538" i="3"/>
  <c r="BM539" i="3"/>
  <c r="BM540" i="3"/>
  <c r="BM541" i="3"/>
  <c r="BM542" i="3"/>
  <c r="BM543" i="3"/>
  <c r="BM544" i="3"/>
  <c r="BM545" i="3"/>
  <c r="BM546" i="3"/>
  <c r="BM547" i="3"/>
  <c r="BM548" i="3"/>
  <c r="BM549" i="3"/>
  <c r="BM550" i="3"/>
  <c r="BM551" i="3"/>
  <c r="BM552" i="3"/>
  <c r="BM553" i="3"/>
  <c r="BM554" i="3"/>
  <c r="BM555" i="3"/>
  <c r="BM556" i="3"/>
  <c r="BM557" i="3"/>
  <c r="BM558" i="3"/>
  <c r="BM559" i="3"/>
  <c r="BM560" i="3"/>
  <c r="BM561" i="3"/>
  <c r="BM562" i="3"/>
  <c r="BM563" i="3"/>
  <c r="BM564" i="3"/>
  <c r="BM565" i="3"/>
  <c r="BM566" i="3"/>
  <c r="BM567" i="3"/>
  <c r="BM568" i="3"/>
  <c r="BM569" i="3"/>
  <c r="BM570" i="3"/>
  <c r="BM571" i="3"/>
  <c r="BM572" i="3"/>
  <c r="BM573" i="3"/>
  <c r="BM574" i="3"/>
  <c r="BM575" i="3"/>
  <c r="BM576" i="3"/>
  <c r="BM577" i="3"/>
  <c r="BM578" i="3"/>
  <c r="BM579" i="3"/>
  <c r="BM580" i="3"/>
  <c r="BM581" i="3"/>
  <c r="BM582" i="3"/>
  <c r="BM583" i="3"/>
  <c r="BM584" i="3"/>
  <c r="BM585" i="3"/>
  <c r="BM586" i="3"/>
  <c r="BM587" i="3"/>
  <c r="BM5" i="3"/>
  <c r="BO13" i="3"/>
  <c r="BO14" i="3"/>
  <c r="BO15" i="3"/>
  <c r="BO16" i="3"/>
  <c r="BO17" i="3"/>
  <c r="BO18" i="3"/>
  <c r="BO19" i="3"/>
  <c r="BO20" i="3"/>
  <c r="BO21" i="3"/>
  <c r="BO22" i="3"/>
  <c r="BO23" i="3"/>
  <c r="BO24" i="3"/>
  <c r="BO25" i="3"/>
  <c r="BO26" i="3"/>
  <c r="BO27" i="3"/>
  <c r="BO28" i="3"/>
  <c r="BO29" i="3"/>
  <c r="BO30" i="3"/>
  <c r="BO31" i="3"/>
  <c r="BO32" i="3"/>
  <c r="BO33" i="3"/>
  <c r="BO34" i="3"/>
  <c r="BO35" i="3"/>
  <c r="BO36" i="3"/>
  <c r="BO37" i="3"/>
  <c r="BO38" i="3"/>
  <c r="BO39" i="3"/>
  <c r="BO40" i="3"/>
  <c r="BO41" i="3"/>
  <c r="BO42" i="3"/>
  <c r="BO43" i="3"/>
  <c r="BO44" i="3"/>
  <c r="BO45" i="3"/>
  <c r="BO46" i="3"/>
  <c r="BO47" i="3"/>
  <c r="BO48" i="3"/>
  <c r="BO49" i="3"/>
  <c r="BO50" i="3"/>
  <c r="BO51" i="3"/>
  <c r="BO52" i="3"/>
  <c r="BO53" i="3"/>
  <c r="BO54" i="3"/>
  <c r="BO55" i="3"/>
  <c r="BO56" i="3"/>
  <c r="BO57" i="3"/>
  <c r="BO58" i="3"/>
  <c r="BO59" i="3"/>
  <c r="BO60" i="3"/>
  <c r="BO61" i="3"/>
  <c r="BO62" i="3"/>
  <c r="BO63" i="3"/>
  <c r="BO64" i="3"/>
  <c r="BO65" i="3"/>
  <c r="BO66" i="3"/>
  <c r="BO67" i="3"/>
  <c r="BO68" i="3"/>
  <c r="BO69" i="3"/>
  <c r="BO70" i="3"/>
  <c r="BO71" i="3"/>
  <c r="BO72" i="3"/>
  <c r="BO73" i="3"/>
  <c r="BO74" i="3"/>
  <c r="BO75" i="3"/>
  <c r="BO76" i="3"/>
  <c r="BO77" i="3"/>
  <c r="BO78" i="3"/>
  <c r="BO79" i="3"/>
  <c r="BO80" i="3"/>
  <c r="BO81" i="3"/>
  <c r="BO82" i="3"/>
  <c r="BO83" i="3"/>
  <c r="BO84" i="3"/>
  <c r="BO85" i="3"/>
  <c r="BO86" i="3"/>
  <c r="BO87" i="3"/>
  <c r="BO88" i="3"/>
  <c r="BO89" i="3"/>
  <c r="BO90" i="3"/>
  <c r="BO91" i="3"/>
  <c r="BO92" i="3"/>
  <c r="BO93" i="3"/>
  <c r="BO94" i="3"/>
  <c r="BO95" i="3"/>
  <c r="BO96" i="3"/>
  <c r="BO97" i="3"/>
  <c r="BO98" i="3"/>
  <c r="BO99" i="3"/>
  <c r="BO100" i="3"/>
  <c r="BO101" i="3"/>
  <c r="BO102" i="3"/>
  <c r="BO103" i="3"/>
  <c r="BO104" i="3"/>
  <c r="BO105" i="3"/>
  <c r="BO106" i="3"/>
  <c r="BO107" i="3"/>
  <c r="BO108" i="3"/>
  <c r="BO109" i="3"/>
  <c r="BO110" i="3"/>
  <c r="BO111" i="3"/>
  <c r="BO112" i="3"/>
  <c r="BO113" i="3"/>
  <c r="BO114" i="3"/>
  <c r="BO115" i="3"/>
  <c r="BO116" i="3"/>
  <c r="BO117" i="3"/>
  <c r="BO118" i="3"/>
  <c r="BO119" i="3"/>
  <c r="BO120" i="3"/>
  <c r="BO121" i="3"/>
  <c r="BO122" i="3"/>
  <c r="BO123" i="3"/>
  <c r="BO124" i="3"/>
  <c r="BO125" i="3"/>
  <c r="BO126" i="3"/>
  <c r="BO127" i="3"/>
  <c r="BO128" i="3"/>
  <c r="BO129" i="3"/>
  <c r="BO130" i="3"/>
  <c r="BO131" i="3"/>
  <c r="BO132" i="3"/>
  <c r="BO133" i="3"/>
  <c r="BO134" i="3"/>
  <c r="BO135" i="3"/>
  <c r="BO136" i="3"/>
  <c r="BO137" i="3"/>
  <c r="BO138" i="3"/>
  <c r="BO139" i="3"/>
  <c r="BO140" i="3"/>
  <c r="BO141" i="3"/>
  <c r="BO142" i="3"/>
  <c r="BO143" i="3"/>
  <c r="BO144" i="3"/>
  <c r="BO145" i="3"/>
  <c r="BO146" i="3"/>
  <c r="BO147" i="3"/>
  <c r="BO148" i="3"/>
  <c r="BO149" i="3"/>
  <c r="BO150" i="3"/>
  <c r="BO151" i="3"/>
  <c r="BO152" i="3"/>
  <c r="BO153" i="3"/>
  <c r="BO154" i="3"/>
  <c r="BO155" i="3"/>
  <c r="BO156" i="3"/>
  <c r="BO157" i="3"/>
  <c r="BO158" i="3"/>
  <c r="BO159" i="3"/>
  <c r="BO160" i="3"/>
  <c r="BO161" i="3"/>
  <c r="BO162" i="3"/>
  <c r="BO163" i="3"/>
  <c r="BO164" i="3"/>
  <c r="BO165" i="3"/>
  <c r="BO166" i="3"/>
  <c r="BO167" i="3"/>
  <c r="BO168" i="3"/>
  <c r="BO169" i="3"/>
  <c r="BO170" i="3"/>
  <c r="BO171" i="3"/>
  <c r="BO172" i="3"/>
  <c r="BO173" i="3"/>
  <c r="BO174" i="3"/>
  <c r="BO175" i="3"/>
  <c r="BO176" i="3"/>
  <c r="BO177" i="3"/>
  <c r="BO178" i="3"/>
  <c r="BO179" i="3"/>
  <c r="BO180" i="3"/>
  <c r="BO181" i="3"/>
  <c r="BO182" i="3"/>
  <c r="BO183" i="3"/>
  <c r="BO184" i="3"/>
  <c r="BO185" i="3"/>
  <c r="BO186" i="3"/>
  <c r="BO187" i="3"/>
  <c r="BO188" i="3"/>
  <c r="BO189" i="3"/>
  <c r="BO190" i="3"/>
  <c r="BO191" i="3"/>
  <c r="BO192" i="3"/>
  <c r="BO193" i="3"/>
  <c r="BO194" i="3"/>
  <c r="BO195" i="3"/>
  <c r="BO196" i="3"/>
  <c r="BO197" i="3"/>
  <c r="BO198" i="3"/>
  <c r="BO199" i="3"/>
  <c r="BO200" i="3"/>
  <c r="BO201" i="3"/>
  <c r="BO202" i="3"/>
  <c r="BO203" i="3"/>
  <c r="BO204" i="3"/>
  <c r="BO205" i="3"/>
  <c r="BO206" i="3"/>
  <c r="BO207" i="3"/>
  <c r="BO208" i="3"/>
  <c r="BO209" i="3"/>
  <c r="BO210" i="3"/>
  <c r="BO211" i="3"/>
  <c r="BO212" i="3"/>
  <c r="BO213" i="3"/>
  <c r="BO214" i="3"/>
  <c r="BO215" i="3"/>
  <c r="BO216" i="3"/>
  <c r="BO217" i="3"/>
  <c r="BO218" i="3"/>
  <c r="BO219" i="3"/>
  <c r="BO220" i="3"/>
  <c r="BO221" i="3"/>
  <c r="BO222" i="3"/>
  <c r="BO223" i="3"/>
  <c r="BO224" i="3"/>
  <c r="BO225" i="3"/>
  <c r="BO226" i="3"/>
  <c r="BO227" i="3"/>
  <c r="BO228" i="3"/>
  <c r="BO229" i="3"/>
  <c r="BO230" i="3"/>
  <c r="BO231" i="3"/>
  <c r="BO232" i="3"/>
  <c r="BO233" i="3"/>
  <c r="BO234" i="3"/>
  <c r="BO235" i="3"/>
  <c r="BO236" i="3"/>
  <c r="BO237" i="3"/>
  <c r="BO238" i="3"/>
  <c r="BO239" i="3"/>
  <c r="BO240" i="3"/>
  <c r="BO241" i="3"/>
  <c r="BO242" i="3"/>
  <c r="BO243" i="3"/>
  <c r="BO244" i="3"/>
  <c r="BO245" i="3"/>
  <c r="BO246" i="3"/>
  <c r="BO247" i="3"/>
  <c r="BO248" i="3"/>
  <c r="BO249" i="3"/>
  <c r="BO250" i="3"/>
  <c r="BO251" i="3"/>
  <c r="BO252" i="3"/>
  <c r="BO253" i="3"/>
  <c r="BO254" i="3"/>
  <c r="BO255" i="3"/>
  <c r="BO256" i="3"/>
  <c r="BO257" i="3"/>
  <c r="BO258" i="3"/>
  <c r="BO259" i="3"/>
  <c r="BO260" i="3"/>
  <c r="BO261" i="3"/>
  <c r="BO262" i="3"/>
  <c r="BO263" i="3"/>
  <c r="BO264" i="3"/>
  <c r="BO265" i="3"/>
  <c r="BO266" i="3"/>
  <c r="BO267" i="3"/>
  <c r="BO268" i="3"/>
  <c r="BO269" i="3"/>
  <c r="BO270" i="3"/>
  <c r="BO271" i="3"/>
  <c r="BO272" i="3"/>
  <c r="BO273" i="3"/>
  <c r="BO274" i="3"/>
  <c r="BO275" i="3"/>
  <c r="BO276" i="3"/>
  <c r="BO277" i="3"/>
  <c r="BO278" i="3"/>
  <c r="BO279" i="3"/>
  <c r="BO280" i="3"/>
  <c r="BO281" i="3"/>
  <c r="BO282" i="3"/>
  <c r="BO283" i="3"/>
  <c r="BO284" i="3"/>
  <c r="BO285" i="3"/>
  <c r="BO286" i="3"/>
  <c r="BO287" i="3"/>
  <c r="BO288" i="3"/>
  <c r="BO289" i="3"/>
  <c r="BO290" i="3"/>
  <c r="BO291" i="3"/>
  <c r="BO292" i="3"/>
  <c r="BO293" i="3"/>
  <c r="BO294" i="3"/>
  <c r="BO295" i="3"/>
  <c r="BO296" i="3"/>
  <c r="BO297" i="3"/>
  <c r="BO298" i="3"/>
  <c r="BO299" i="3"/>
  <c r="BO300" i="3"/>
  <c r="BO301" i="3"/>
  <c r="BO302" i="3"/>
  <c r="BO303" i="3"/>
  <c r="BO304" i="3"/>
  <c r="BO305" i="3"/>
  <c r="BO306" i="3"/>
  <c r="BO307" i="3"/>
  <c r="BO308" i="3"/>
  <c r="BO309" i="3"/>
  <c r="BO310" i="3"/>
  <c r="BO311" i="3"/>
  <c r="BO312" i="3"/>
  <c r="BO313" i="3"/>
  <c r="BO314" i="3"/>
  <c r="BO315" i="3"/>
  <c r="BO316" i="3"/>
  <c r="BO317" i="3"/>
  <c r="BO318" i="3"/>
  <c r="BO319" i="3"/>
  <c r="BO320" i="3"/>
  <c r="BO321" i="3"/>
  <c r="BO322" i="3"/>
  <c r="BO323" i="3"/>
  <c r="BO324" i="3"/>
  <c r="BO325" i="3"/>
  <c r="BO326" i="3"/>
  <c r="BO327" i="3"/>
  <c r="BO328" i="3"/>
  <c r="BO329" i="3"/>
  <c r="BO330" i="3"/>
  <c r="BO331" i="3"/>
  <c r="BO332" i="3"/>
  <c r="BO333" i="3"/>
  <c r="BO334" i="3"/>
  <c r="BO335" i="3"/>
  <c r="BO336" i="3"/>
  <c r="BO337" i="3"/>
  <c r="BO338" i="3"/>
  <c r="BO339" i="3"/>
  <c r="BO340" i="3"/>
  <c r="BO341" i="3"/>
  <c r="BO342" i="3"/>
  <c r="BO343" i="3"/>
  <c r="BO344" i="3"/>
  <c r="BO345" i="3"/>
  <c r="BO346" i="3"/>
  <c r="BO347" i="3"/>
  <c r="BO348" i="3"/>
  <c r="BO349" i="3"/>
  <c r="BO350" i="3"/>
  <c r="BO351" i="3"/>
  <c r="BO352" i="3"/>
  <c r="BO353" i="3"/>
  <c r="BO354" i="3"/>
  <c r="BO355" i="3"/>
  <c r="BO356" i="3"/>
  <c r="BO357" i="3"/>
  <c r="BO358" i="3"/>
  <c r="BO359" i="3"/>
  <c r="BO360" i="3"/>
  <c r="BO361" i="3"/>
  <c r="BO362" i="3"/>
  <c r="BO363" i="3"/>
  <c r="BO364" i="3"/>
  <c r="BO365" i="3"/>
  <c r="BO366" i="3"/>
  <c r="BO367" i="3"/>
  <c r="BO368" i="3"/>
  <c r="BO369" i="3"/>
  <c r="BO370" i="3"/>
  <c r="BO371" i="3"/>
  <c r="BO372" i="3"/>
  <c r="BO373" i="3"/>
  <c r="BO374" i="3"/>
  <c r="BO375" i="3"/>
  <c r="BO376" i="3"/>
  <c r="BO377" i="3"/>
  <c r="BO378" i="3"/>
  <c r="BO379" i="3"/>
  <c r="BO380" i="3"/>
  <c r="BO381" i="3"/>
  <c r="BO382" i="3"/>
  <c r="BO383" i="3"/>
  <c r="BO384" i="3"/>
  <c r="BO385" i="3"/>
  <c r="BO386" i="3"/>
  <c r="BO387" i="3"/>
  <c r="BO388" i="3"/>
  <c r="BO389" i="3"/>
  <c r="BO390" i="3"/>
  <c r="BO391" i="3"/>
  <c r="BO392" i="3"/>
  <c r="BO393" i="3"/>
  <c r="BO394" i="3"/>
  <c r="BO395" i="3"/>
  <c r="BO396" i="3"/>
  <c r="BO397" i="3"/>
  <c r="BO398" i="3"/>
  <c r="BO399" i="3"/>
  <c r="BO400" i="3"/>
  <c r="BO401" i="3"/>
  <c r="BO402" i="3"/>
  <c r="BO403" i="3"/>
  <c r="BO404" i="3"/>
  <c r="BO405" i="3"/>
  <c r="BO406" i="3"/>
  <c r="BO407" i="3"/>
  <c r="BO408" i="3"/>
  <c r="BO409" i="3"/>
  <c r="BO410" i="3"/>
  <c r="BO411" i="3"/>
  <c r="BO412" i="3"/>
  <c r="BO413" i="3"/>
  <c r="BO414" i="3"/>
  <c r="BO415" i="3"/>
  <c r="BO416" i="3"/>
  <c r="BO417" i="3"/>
  <c r="BO418" i="3"/>
  <c r="BO419" i="3"/>
  <c r="BO420" i="3"/>
  <c r="BO421" i="3"/>
  <c r="BO422" i="3"/>
  <c r="BO423" i="3"/>
  <c r="BO424" i="3"/>
  <c r="BO425" i="3"/>
  <c r="BO426" i="3"/>
  <c r="BO427" i="3"/>
  <c r="BO428" i="3"/>
  <c r="BO429" i="3"/>
  <c r="BO430" i="3"/>
  <c r="BO431" i="3"/>
  <c r="BO432" i="3"/>
  <c r="BO433" i="3"/>
  <c r="BO434" i="3"/>
  <c r="BO435" i="3"/>
  <c r="BO436" i="3"/>
  <c r="BO437" i="3"/>
  <c r="BO438" i="3"/>
  <c r="BO439" i="3"/>
  <c r="BO440" i="3"/>
  <c r="BO441" i="3"/>
  <c r="BO442" i="3"/>
  <c r="BO443" i="3"/>
  <c r="BO444" i="3"/>
  <c r="BO445" i="3"/>
  <c r="BO446" i="3"/>
  <c r="BO447" i="3"/>
  <c r="BO448" i="3"/>
  <c r="BO449" i="3"/>
  <c r="BO450" i="3"/>
  <c r="BO451" i="3"/>
  <c r="BO452" i="3"/>
  <c r="BO453" i="3"/>
  <c r="BO454" i="3"/>
  <c r="BO455" i="3"/>
  <c r="BO456" i="3"/>
  <c r="BO457" i="3"/>
  <c r="BO458" i="3"/>
  <c r="BO459" i="3"/>
  <c r="BO460" i="3"/>
  <c r="BO461" i="3"/>
  <c r="BO462" i="3"/>
  <c r="BO463" i="3"/>
  <c r="BO464" i="3"/>
  <c r="BO465" i="3"/>
  <c r="BO466" i="3"/>
  <c r="BO467" i="3"/>
  <c r="BO468" i="3"/>
  <c r="BO469" i="3"/>
  <c r="BO470" i="3"/>
  <c r="BO471" i="3"/>
  <c r="BO472" i="3"/>
  <c r="BO473" i="3"/>
  <c r="BO474" i="3"/>
  <c r="BO475" i="3"/>
  <c r="BO476" i="3"/>
  <c r="BO477" i="3"/>
  <c r="BO478" i="3"/>
  <c r="BO479" i="3"/>
  <c r="BO480" i="3"/>
  <c r="BO481" i="3"/>
  <c r="BO482" i="3"/>
  <c r="BO483" i="3"/>
  <c r="BO484" i="3"/>
  <c r="BO485" i="3"/>
  <c r="BO486" i="3"/>
  <c r="BO487" i="3"/>
  <c r="BO488" i="3"/>
  <c r="BO489" i="3"/>
  <c r="BO490" i="3"/>
  <c r="BO491" i="3"/>
  <c r="BO492" i="3"/>
  <c r="BO493" i="3"/>
  <c r="BO494" i="3"/>
  <c r="BO495" i="3"/>
  <c r="BO496" i="3"/>
  <c r="BO497" i="3"/>
  <c r="BO498" i="3"/>
  <c r="BO499" i="3"/>
  <c r="BO500" i="3"/>
  <c r="BO501" i="3"/>
  <c r="BO502" i="3"/>
  <c r="BO503" i="3"/>
  <c r="BO504" i="3"/>
  <c r="BO505" i="3"/>
  <c r="BO506" i="3"/>
  <c r="BO507" i="3"/>
  <c r="BO508" i="3"/>
  <c r="BO509" i="3"/>
  <c r="BO510" i="3"/>
  <c r="BO511" i="3"/>
  <c r="BO512" i="3"/>
  <c r="BO513" i="3"/>
  <c r="BO514" i="3"/>
  <c r="BO515" i="3"/>
  <c r="BO516" i="3"/>
  <c r="BO517" i="3"/>
  <c r="BO518" i="3"/>
  <c r="BO519" i="3"/>
  <c r="BO520" i="3"/>
  <c r="BO521" i="3"/>
  <c r="BO522" i="3"/>
  <c r="BO523" i="3"/>
  <c r="BO524" i="3"/>
  <c r="BO525" i="3"/>
  <c r="BO526" i="3"/>
  <c r="BO527" i="3"/>
  <c r="BO528" i="3"/>
  <c r="BO529" i="3"/>
  <c r="BO530" i="3"/>
  <c r="BO531" i="3"/>
  <c r="BO532" i="3"/>
  <c r="BO533" i="3"/>
  <c r="BO534" i="3"/>
  <c r="BO535" i="3"/>
  <c r="BO536" i="3"/>
  <c r="BO537" i="3"/>
  <c r="BO538" i="3"/>
  <c r="BO539" i="3"/>
  <c r="BO540" i="3"/>
  <c r="BO541" i="3"/>
  <c r="BO542" i="3"/>
  <c r="BO543" i="3"/>
  <c r="BO544" i="3"/>
  <c r="BO545" i="3"/>
  <c r="BO546" i="3"/>
  <c r="BO547" i="3"/>
  <c r="BO548" i="3"/>
  <c r="BO549" i="3"/>
  <c r="BO550" i="3"/>
  <c r="BO551" i="3"/>
  <c r="BO552" i="3"/>
  <c r="BO553" i="3"/>
  <c r="BO554" i="3"/>
  <c r="BO555" i="3"/>
  <c r="BO556" i="3"/>
  <c r="BO557" i="3"/>
  <c r="BO558" i="3"/>
  <c r="BO559" i="3"/>
  <c r="BO560" i="3"/>
  <c r="BO561" i="3"/>
  <c r="BO562" i="3"/>
  <c r="BO563" i="3"/>
  <c r="BO564" i="3"/>
  <c r="BO565" i="3"/>
  <c r="BO566" i="3"/>
  <c r="BO567" i="3"/>
  <c r="BO568" i="3"/>
  <c r="BO569" i="3"/>
  <c r="BO570" i="3"/>
  <c r="BO571" i="3"/>
  <c r="BO572" i="3"/>
  <c r="BO573" i="3"/>
  <c r="BO574" i="3"/>
  <c r="BO575" i="3"/>
  <c r="BO576" i="3"/>
  <c r="BO577" i="3"/>
  <c r="BO578" i="3"/>
  <c r="BO579" i="3"/>
  <c r="BO580" i="3"/>
  <c r="BO581" i="3"/>
  <c r="BO582" i="3"/>
  <c r="BO583" i="3"/>
  <c r="BO584" i="3"/>
  <c r="BO585" i="3"/>
  <c r="BO586" i="3"/>
  <c r="BO587" i="3"/>
  <c r="BO5" i="3"/>
  <c r="F29" i="6"/>
  <c r="F30" i="6"/>
  <c r="F31" i="6"/>
  <c r="BA13" i="3"/>
  <c r="BN13" i="3"/>
  <c r="BP13" i="3"/>
  <c r="BR13" i="3"/>
  <c r="BT13" i="3"/>
  <c r="BL13" i="3"/>
  <c r="AZ13" i="3"/>
  <c r="BA14" i="3"/>
  <c r="BN14" i="3"/>
  <c r="BP14" i="3"/>
  <c r="BR14" i="3"/>
  <c r="BT14" i="3"/>
  <c r="BL14" i="3"/>
  <c r="AZ14" i="3"/>
  <c r="BA15" i="3"/>
  <c r="BN15" i="3"/>
  <c r="BP15" i="3"/>
  <c r="BR15" i="3"/>
  <c r="BT15" i="3"/>
  <c r="BL15" i="3"/>
  <c r="AZ15" i="3"/>
  <c r="BA16" i="3"/>
  <c r="BN16" i="3"/>
  <c r="BP16" i="3"/>
  <c r="BR16" i="3"/>
  <c r="BT16" i="3"/>
  <c r="BL16" i="3"/>
  <c r="AZ16" i="3"/>
  <c r="BA17" i="3"/>
  <c r="BN17" i="3"/>
  <c r="BP17" i="3"/>
  <c r="BR17" i="3"/>
  <c r="BT17" i="3"/>
  <c r="BL17" i="3"/>
  <c r="AZ17" i="3"/>
  <c r="BA18" i="3"/>
  <c r="BN18" i="3"/>
  <c r="BP18" i="3"/>
  <c r="BR18" i="3"/>
  <c r="BT18" i="3"/>
  <c r="BL18" i="3"/>
  <c r="AZ18" i="3"/>
  <c r="BA19" i="3"/>
  <c r="BN19" i="3"/>
  <c r="BP19" i="3"/>
  <c r="BR19" i="3"/>
  <c r="BT19" i="3"/>
  <c r="BL19" i="3"/>
  <c r="AZ19" i="3"/>
  <c r="BA20" i="3"/>
  <c r="BN20" i="3"/>
  <c r="BP20" i="3"/>
  <c r="BR20" i="3"/>
  <c r="BT20" i="3"/>
  <c r="BL20" i="3"/>
  <c r="AZ20" i="3"/>
  <c r="BA21" i="3"/>
  <c r="BN21" i="3"/>
  <c r="BP21" i="3"/>
  <c r="BR21" i="3"/>
  <c r="BT21" i="3"/>
  <c r="BL21" i="3"/>
  <c r="AZ21" i="3"/>
  <c r="BA22" i="3"/>
  <c r="BN22" i="3"/>
  <c r="BP22" i="3"/>
  <c r="BR22" i="3"/>
  <c r="BT22" i="3"/>
  <c r="BL22" i="3"/>
  <c r="AZ22" i="3"/>
  <c r="BA23" i="3"/>
  <c r="BN23" i="3"/>
  <c r="BP23" i="3"/>
  <c r="BR23" i="3"/>
  <c r="BT23" i="3"/>
  <c r="BL23" i="3"/>
  <c r="AZ23" i="3"/>
  <c r="BA24" i="3"/>
  <c r="BN24" i="3"/>
  <c r="BP24" i="3"/>
  <c r="BR24" i="3"/>
  <c r="BT24" i="3"/>
  <c r="BL24" i="3"/>
  <c r="AZ24" i="3"/>
  <c r="BA25" i="3"/>
  <c r="BN25" i="3"/>
  <c r="BP25" i="3"/>
  <c r="BR25" i="3"/>
  <c r="BT25" i="3"/>
  <c r="BL25" i="3"/>
  <c r="AZ25" i="3"/>
  <c r="BA26" i="3"/>
  <c r="BN26" i="3"/>
  <c r="BP26" i="3"/>
  <c r="BR26" i="3"/>
  <c r="BT26" i="3"/>
  <c r="BL26" i="3"/>
  <c r="AZ26" i="3"/>
  <c r="BA27" i="3"/>
  <c r="BN27" i="3"/>
  <c r="BP27" i="3"/>
  <c r="BR27" i="3"/>
  <c r="BT27" i="3"/>
  <c r="BL27" i="3"/>
  <c r="AZ27" i="3"/>
  <c r="BA28" i="3"/>
  <c r="BN28" i="3"/>
  <c r="BP28" i="3"/>
  <c r="BR28" i="3"/>
  <c r="BT28" i="3"/>
  <c r="BL28" i="3"/>
  <c r="AZ28" i="3"/>
  <c r="BA29" i="3"/>
  <c r="BN29" i="3"/>
  <c r="BP29" i="3"/>
  <c r="BR29" i="3"/>
  <c r="BT29" i="3"/>
  <c r="BL29" i="3"/>
  <c r="AZ29" i="3"/>
  <c r="BA30" i="3"/>
  <c r="BN30" i="3"/>
  <c r="BP30" i="3"/>
  <c r="BR30" i="3"/>
  <c r="BT30" i="3"/>
  <c r="BL30" i="3"/>
  <c r="AZ30" i="3"/>
  <c r="BA31" i="3"/>
  <c r="BN31" i="3"/>
  <c r="BP31" i="3"/>
  <c r="BR31" i="3"/>
  <c r="BT31" i="3"/>
  <c r="BL31" i="3"/>
  <c r="AZ31" i="3"/>
  <c r="BA32" i="3"/>
  <c r="BN32" i="3"/>
  <c r="BP32" i="3"/>
  <c r="BR32" i="3"/>
  <c r="BT32" i="3"/>
  <c r="BL32" i="3"/>
  <c r="AZ32" i="3"/>
  <c r="BA33" i="3"/>
  <c r="BN33" i="3"/>
  <c r="BP33" i="3"/>
  <c r="BR33" i="3"/>
  <c r="BT33" i="3"/>
  <c r="BL33" i="3"/>
  <c r="AZ33" i="3"/>
  <c r="BA34" i="3"/>
  <c r="BN34" i="3"/>
  <c r="BP34" i="3"/>
  <c r="BR34" i="3"/>
  <c r="BT34" i="3"/>
  <c r="BL34" i="3"/>
  <c r="AZ34" i="3"/>
  <c r="BA35" i="3"/>
  <c r="BN35" i="3"/>
  <c r="BP35" i="3"/>
  <c r="BR35" i="3"/>
  <c r="BT35" i="3"/>
  <c r="BL35" i="3"/>
  <c r="AZ35" i="3"/>
  <c r="BA36" i="3"/>
  <c r="BN36" i="3"/>
  <c r="BP36" i="3"/>
  <c r="BR36" i="3"/>
  <c r="BT36" i="3"/>
  <c r="BL36" i="3"/>
  <c r="AZ36" i="3"/>
  <c r="BA37" i="3"/>
  <c r="BN37" i="3"/>
  <c r="BP37" i="3"/>
  <c r="BR37" i="3"/>
  <c r="BT37" i="3"/>
  <c r="BL37" i="3"/>
  <c r="AZ37" i="3"/>
  <c r="BA38" i="3"/>
  <c r="BN38" i="3"/>
  <c r="BP38" i="3"/>
  <c r="BR38" i="3"/>
  <c r="BT38" i="3"/>
  <c r="BL38" i="3"/>
  <c r="AZ38" i="3"/>
  <c r="BA39" i="3"/>
  <c r="BN39" i="3"/>
  <c r="BP39" i="3"/>
  <c r="BR39" i="3"/>
  <c r="BT39" i="3"/>
  <c r="BL39" i="3"/>
  <c r="AZ39" i="3"/>
  <c r="BA40" i="3"/>
  <c r="BN40" i="3"/>
  <c r="BP40" i="3"/>
  <c r="BR40" i="3"/>
  <c r="BT40" i="3"/>
  <c r="BL40" i="3"/>
  <c r="AZ40" i="3"/>
  <c r="BA41" i="3"/>
  <c r="BN41" i="3"/>
  <c r="BP41" i="3"/>
  <c r="BR41" i="3"/>
  <c r="BT41" i="3"/>
  <c r="BL41" i="3"/>
  <c r="AZ41" i="3"/>
  <c r="BA42" i="3"/>
  <c r="BN42" i="3"/>
  <c r="BP42" i="3"/>
  <c r="BR42" i="3"/>
  <c r="BT42" i="3"/>
  <c r="BL42" i="3"/>
  <c r="AZ42" i="3"/>
  <c r="BA43" i="3"/>
  <c r="BN43" i="3"/>
  <c r="BP43" i="3"/>
  <c r="BR43" i="3"/>
  <c r="BT43" i="3"/>
  <c r="BL43" i="3"/>
  <c r="AZ43" i="3"/>
  <c r="BA44" i="3"/>
  <c r="BN44" i="3"/>
  <c r="BP44" i="3"/>
  <c r="BR44" i="3"/>
  <c r="BT44" i="3"/>
  <c r="BL44" i="3"/>
  <c r="AZ44" i="3"/>
  <c r="BA45" i="3"/>
  <c r="BN45" i="3"/>
  <c r="BP45" i="3"/>
  <c r="BR45" i="3"/>
  <c r="BT45" i="3"/>
  <c r="BL45" i="3"/>
  <c r="AZ45" i="3"/>
  <c r="BA46" i="3"/>
  <c r="BN46" i="3"/>
  <c r="BP46" i="3"/>
  <c r="BR46" i="3"/>
  <c r="BT46" i="3"/>
  <c r="BL46" i="3"/>
  <c r="AZ46" i="3"/>
  <c r="BA47" i="3"/>
  <c r="BN47" i="3"/>
  <c r="BP47" i="3"/>
  <c r="BR47" i="3"/>
  <c r="BT47" i="3"/>
  <c r="BL47" i="3"/>
  <c r="AZ47" i="3"/>
  <c r="BA48" i="3"/>
  <c r="BN48" i="3"/>
  <c r="BP48" i="3"/>
  <c r="BR48" i="3"/>
  <c r="BT48" i="3"/>
  <c r="BL48" i="3"/>
  <c r="AZ48" i="3"/>
  <c r="BA49" i="3"/>
  <c r="BN49" i="3"/>
  <c r="BP49" i="3"/>
  <c r="BR49" i="3"/>
  <c r="BT49" i="3"/>
  <c r="BL49" i="3"/>
  <c r="AZ49" i="3"/>
  <c r="BA50" i="3"/>
  <c r="BN50" i="3"/>
  <c r="BP50" i="3"/>
  <c r="BR50" i="3"/>
  <c r="BT50" i="3"/>
  <c r="BL50" i="3"/>
  <c r="AZ50" i="3"/>
  <c r="BA51" i="3"/>
  <c r="BN51" i="3"/>
  <c r="BP51" i="3"/>
  <c r="BR51" i="3"/>
  <c r="BT51" i="3"/>
  <c r="BL51" i="3"/>
  <c r="AZ51" i="3"/>
  <c r="BA52" i="3"/>
  <c r="BN52" i="3"/>
  <c r="BP52" i="3"/>
  <c r="BR52" i="3"/>
  <c r="BT52" i="3"/>
  <c r="BL52" i="3"/>
  <c r="AZ52" i="3"/>
  <c r="BA53" i="3"/>
  <c r="BN53" i="3"/>
  <c r="BP53" i="3"/>
  <c r="BR53" i="3"/>
  <c r="BT53" i="3"/>
  <c r="BL53" i="3"/>
  <c r="AZ53" i="3"/>
  <c r="BA54" i="3"/>
  <c r="BN54" i="3"/>
  <c r="BP54" i="3"/>
  <c r="BR54" i="3"/>
  <c r="BT54" i="3"/>
  <c r="BL54" i="3"/>
  <c r="AZ54" i="3"/>
  <c r="BA55" i="3"/>
  <c r="BN55" i="3"/>
  <c r="BP55" i="3"/>
  <c r="BR55" i="3"/>
  <c r="BT55" i="3"/>
  <c r="BL55" i="3"/>
  <c r="AZ55" i="3"/>
  <c r="BA56" i="3"/>
  <c r="BN56" i="3"/>
  <c r="BP56" i="3"/>
  <c r="BR56" i="3"/>
  <c r="BT56" i="3"/>
  <c r="BL56" i="3"/>
  <c r="AZ56" i="3"/>
  <c r="BA57" i="3"/>
  <c r="BN57" i="3"/>
  <c r="BP57" i="3"/>
  <c r="BR57" i="3"/>
  <c r="BT57" i="3"/>
  <c r="BL57" i="3"/>
  <c r="AZ57" i="3"/>
  <c r="BA58" i="3"/>
  <c r="BN58" i="3"/>
  <c r="BP58" i="3"/>
  <c r="BR58" i="3"/>
  <c r="BT58" i="3"/>
  <c r="BL58" i="3"/>
  <c r="AZ58" i="3"/>
  <c r="BA59" i="3"/>
  <c r="BN59" i="3"/>
  <c r="BP59" i="3"/>
  <c r="BR59" i="3"/>
  <c r="BT59" i="3"/>
  <c r="BL59" i="3"/>
  <c r="AZ59" i="3"/>
  <c r="BA60" i="3"/>
  <c r="BN60" i="3"/>
  <c r="BP60" i="3"/>
  <c r="BR60" i="3"/>
  <c r="BT60" i="3"/>
  <c r="BL60" i="3"/>
  <c r="AZ60" i="3"/>
  <c r="BA61" i="3"/>
  <c r="BN61" i="3"/>
  <c r="BP61" i="3"/>
  <c r="BR61" i="3"/>
  <c r="BT61" i="3"/>
  <c r="BL61" i="3"/>
  <c r="AZ61" i="3"/>
  <c r="BA62" i="3"/>
  <c r="BN62" i="3"/>
  <c r="BP62" i="3"/>
  <c r="BR62" i="3"/>
  <c r="BT62" i="3"/>
  <c r="BL62" i="3"/>
  <c r="AZ62" i="3"/>
  <c r="BA63" i="3"/>
  <c r="BN63" i="3"/>
  <c r="BP63" i="3"/>
  <c r="BR63" i="3"/>
  <c r="BT63" i="3"/>
  <c r="BL63" i="3"/>
  <c r="AZ63" i="3"/>
  <c r="BA64" i="3"/>
  <c r="BN64" i="3"/>
  <c r="BP64" i="3"/>
  <c r="BR64" i="3"/>
  <c r="BT64" i="3"/>
  <c r="BL64" i="3"/>
  <c r="AZ64" i="3"/>
  <c r="BA65" i="3"/>
  <c r="BN65" i="3"/>
  <c r="BP65" i="3"/>
  <c r="BR65" i="3"/>
  <c r="BT65" i="3"/>
  <c r="BL65" i="3"/>
  <c r="AZ65" i="3"/>
  <c r="BA66" i="3"/>
  <c r="BN66" i="3"/>
  <c r="BP66" i="3"/>
  <c r="BR66" i="3"/>
  <c r="BT66" i="3"/>
  <c r="BL66" i="3"/>
  <c r="AZ66" i="3"/>
  <c r="BA67" i="3"/>
  <c r="BN67" i="3"/>
  <c r="BP67" i="3"/>
  <c r="BR67" i="3"/>
  <c r="BT67" i="3"/>
  <c r="BL67" i="3"/>
  <c r="AZ67" i="3"/>
  <c r="BA68" i="3"/>
  <c r="BN68" i="3"/>
  <c r="BP68" i="3"/>
  <c r="BR68" i="3"/>
  <c r="BT68" i="3"/>
  <c r="BL68" i="3"/>
  <c r="AZ68" i="3"/>
  <c r="BA69" i="3"/>
  <c r="BN69" i="3"/>
  <c r="BP69" i="3"/>
  <c r="BR69" i="3"/>
  <c r="BT69" i="3"/>
  <c r="BL69" i="3"/>
  <c r="AZ69" i="3"/>
  <c r="BA70" i="3"/>
  <c r="BN70" i="3"/>
  <c r="BP70" i="3"/>
  <c r="BR70" i="3"/>
  <c r="BT70" i="3"/>
  <c r="BL70" i="3"/>
  <c r="AZ70" i="3"/>
  <c r="BA71" i="3"/>
  <c r="BN71" i="3"/>
  <c r="BP71" i="3"/>
  <c r="BR71" i="3"/>
  <c r="BT71" i="3"/>
  <c r="BL71" i="3"/>
  <c r="AZ71" i="3"/>
  <c r="BA72" i="3"/>
  <c r="BN72" i="3"/>
  <c r="BP72" i="3"/>
  <c r="BR72" i="3"/>
  <c r="BT72" i="3"/>
  <c r="BL72" i="3"/>
  <c r="AZ72" i="3"/>
  <c r="BA73" i="3"/>
  <c r="BN73" i="3"/>
  <c r="BP73" i="3"/>
  <c r="BR73" i="3"/>
  <c r="BT73" i="3"/>
  <c r="BL73" i="3"/>
  <c r="AZ73" i="3"/>
  <c r="BA74" i="3"/>
  <c r="BN74" i="3"/>
  <c r="BP74" i="3"/>
  <c r="BR74" i="3"/>
  <c r="BT74" i="3"/>
  <c r="BL74" i="3"/>
  <c r="AZ74" i="3"/>
  <c r="BA75" i="3"/>
  <c r="BN75" i="3"/>
  <c r="BP75" i="3"/>
  <c r="BR75" i="3"/>
  <c r="BT75" i="3"/>
  <c r="BL75" i="3"/>
  <c r="AZ75" i="3"/>
  <c r="BA76" i="3"/>
  <c r="BN76" i="3"/>
  <c r="BP76" i="3"/>
  <c r="BR76" i="3"/>
  <c r="BT76" i="3"/>
  <c r="BL76" i="3"/>
  <c r="AZ76" i="3"/>
  <c r="BA77" i="3"/>
  <c r="BN77" i="3"/>
  <c r="BP77" i="3"/>
  <c r="BR77" i="3"/>
  <c r="BT77" i="3"/>
  <c r="BL77" i="3"/>
  <c r="AZ77" i="3"/>
  <c r="BA78" i="3"/>
  <c r="BN78" i="3"/>
  <c r="BP78" i="3"/>
  <c r="BR78" i="3"/>
  <c r="BT78" i="3"/>
  <c r="BL78" i="3"/>
  <c r="AZ78" i="3"/>
  <c r="BA79" i="3"/>
  <c r="BN79" i="3"/>
  <c r="BP79" i="3"/>
  <c r="BR79" i="3"/>
  <c r="BT79" i="3"/>
  <c r="BL79" i="3"/>
  <c r="AZ79" i="3"/>
  <c r="BA80" i="3"/>
  <c r="BN80" i="3"/>
  <c r="BP80" i="3"/>
  <c r="BR80" i="3"/>
  <c r="BT80" i="3"/>
  <c r="BL80" i="3"/>
  <c r="AZ80" i="3"/>
  <c r="BA81" i="3"/>
  <c r="BN81" i="3"/>
  <c r="BP81" i="3"/>
  <c r="BR81" i="3"/>
  <c r="BT81" i="3"/>
  <c r="BL81" i="3"/>
  <c r="AZ81" i="3"/>
  <c r="BA82" i="3"/>
  <c r="BN82" i="3"/>
  <c r="BP82" i="3"/>
  <c r="BR82" i="3"/>
  <c r="BT82" i="3"/>
  <c r="BL82" i="3"/>
  <c r="AZ82" i="3"/>
  <c r="BA83" i="3"/>
  <c r="BN83" i="3"/>
  <c r="BP83" i="3"/>
  <c r="BR83" i="3"/>
  <c r="BT83" i="3"/>
  <c r="BL83" i="3"/>
  <c r="AZ83" i="3"/>
  <c r="BA84" i="3"/>
  <c r="BN84" i="3"/>
  <c r="BP84" i="3"/>
  <c r="BR84" i="3"/>
  <c r="BT84" i="3"/>
  <c r="BL84" i="3"/>
  <c r="AZ84" i="3"/>
  <c r="BA85" i="3"/>
  <c r="BN85" i="3"/>
  <c r="BP85" i="3"/>
  <c r="BR85" i="3"/>
  <c r="BT85" i="3"/>
  <c r="BL85" i="3"/>
  <c r="AZ85" i="3"/>
  <c r="BA86" i="3"/>
  <c r="BN86" i="3"/>
  <c r="BP86" i="3"/>
  <c r="BR86" i="3"/>
  <c r="BT86" i="3"/>
  <c r="BL86" i="3"/>
  <c r="AZ86" i="3"/>
  <c r="BA87" i="3"/>
  <c r="BN87" i="3"/>
  <c r="BP87" i="3"/>
  <c r="BR87" i="3"/>
  <c r="BT87" i="3"/>
  <c r="BL87" i="3"/>
  <c r="AZ87" i="3"/>
  <c r="BA88" i="3"/>
  <c r="BN88" i="3"/>
  <c r="BP88" i="3"/>
  <c r="BR88" i="3"/>
  <c r="BT88" i="3"/>
  <c r="BL88" i="3"/>
  <c r="AZ88" i="3"/>
  <c r="BA89" i="3"/>
  <c r="BN89" i="3"/>
  <c r="BP89" i="3"/>
  <c r="BR89" i="3"/>
  <c r="BT89" i="3"/>
  <c r="BL89" i="3"/>
  <c r="AZ89" i="3"/>
  <c r="BA90" i="3"/>
  <c r="BN90" i="3"/>
  <c r="BP90" i="3"/>
  <c r="BR90" i="3"/>
  <c r="BT90" i="3"/>
  <c r="BL90" i="3"/>
  <c r="AZ90" i="3"/>
  <c r="BA91" i="3"/>
  <c r="BN91" i="3"/>
  <c r="BP91" i="3"/>
  <c r="BR91" i="3"/>
  <c r="BT91" i="3"/>
  <c r="BL91" i="3"/>
  <c r="AZ91" i="3"/>
  <c r="BA92" i="3"/>
  <c r="BN92" i="3"/>
  <c r="BP92" i="3"/>
  <c r="BR92" i="3"/>
  <c r="BT92" i="3"/>
  <c r="BL92" i="3"/>
  <c r="AZ92" i="3"/>
  <c r="BA93" i="3"/>
  <c r="BN93" i="3"/>
  <c r="BP93" i="3"/>
  <c r="BR93" i="3"/>
  <c r="BT93" i="3"/>
  <c r="BL93" i="3"/>
  <c r="AZ93" i="3"/>
  <c r="BA94" i="3"/>
  <c r="BN94" i="3"/>
  <c r="BP94" i="3"/>
  <c r="BR94" i="3"/>
  <c r="BT94" i="3"/>
  <c r="BL94" i="3"/>
  <c r="AZ94" i="3"/>
  <c r="BA95" i="3"/>
  <c r="BN95" i="3"/>
  <c r="BP95" i="3"/>
  <c r="BR95" i="3"/>
  <c r="BT95" i="3"/>
  <c r="BL95" i="3"/>
  <c r="AZ95" i="3"/>
  <c r="BA96" i="3"/>
  <c r="BN96" i="3"/>
  <c r="BP96" i="3"/>
  <c r="BR96" i="3"/>
  <c r="BT96" i="3"/>
  <c r="BL96" i="3"/>
  <c r="AZ96" i="3"/>
  <c r="BA97" i="3"/>
  <c r="BN97" i="3"/>
  <c r="BP97" i="3"/>
  <c r="BR97" i="3"/>
  <c r="BT97" i="3"/>
  <c r="BL97" i="3"/>
  <c r="AZ97" i="3"/>
  <c r="BA98" i="3"/>
  <c r="BN98" i="3"/>
  <c r="BP98" i="3"/>
  <c r="BR98" i="3"/>
  <c r="BT98" i="3"/>
  <c r="BL98" i="3"/>
  <c r="AZ98" i="3"/>
  <c r="BA99" i="3"/>
  <c r="BN99" i="3"/>
  <c r="BP99" i="3"/>
  <c r="BR99" i="3"/>
  <c r="BT99" i="3"/>
  <c r="BL99" i="3"/>
  <c r="AZ99" i="3"/>
  <c r="BA100" i="3"/>
  <c r="BN100" i="3"/>
  <c r="BP100" i="3"/>
  <c r="BR100" i="3"/>
  <c r="BT100" i="3"/>
  <c r="BL100" i="3"/>
  <c r="AZ100" i="3"/>
  <c r="BA101" i="3"/>
  <c r="BN101" i="3"/>
  <c r="BP101" i="3"/>
  <c r="BR101" i="3"/>
  <c r="BT101" i="3"/>
  <c r="BL101" i="3"/>
  <c r="AZ101" i="3"/>
  <c r="BA102" i="3"/>
  <c r="BN102" i="3"/>
  <c r="BP102" i="3"/>
  <c r="BR102" i="3"/>
  <c r="BT102" i="3"/>
  <c r="BL102" i="3"/>
  <c r="AZ102" i="3"/>
  <c r="BA103" i="3"/>
  <c r="BN103" i="3"/>
  <c r="BP103" i="3"/>
  <c r="BR103" i="3"/>
  <c r="BT103" i="3"/>
  <c r="BL103" i="3"/>
  <c r="AZ103" i="3"/>
  <c r="BA104" i="3"/>
  <c r="BN104" i="3"/>
  <c r="BP104" i="3"/>
  <c r="BR104" i="3"/>
  <c r="BT104" i="3"/>
  <c r="BL104" i="3"/>
  <c r="AZ104" i="3"/>
  <c r="BA105" i="3"/>
  <c r="BN105" i="3"/>
  <c r="BP105" i="3"/>
  <c r="BR105" i="3"/>
  <c r="BT105" i="3"/>
  <c r="BL105" i="3"/>
  <c r="AZ105" i="3"/>
  <c r="BA106" i="3"/>
  <c r="BN106" i="3"/>
  <c r="BP106" i="3"/>
  <c r="BR106" i="3"/>
  <c r="BT106" i="3"/>
  <c r="BL106" i="3"/>
  <c r="AZ106" i="3"/>
  <c r="BA107" i="3"/>
  <c r="BN107" i="3"/>
  <c r="BP107" i="3"/>
  <c r="BR107" i="3"/>
  <c r="BT107" i="3"/>
  <c r="BL107" i="3"/>
  <c r="AZ107" i="3"/>
  <c r="BA108" i="3"/>
  <c r="BN108" i="3"/>
  <c r="BP108" i="3"/>
  <c r="BR108" i="3"/>
  <c r="BT108" i="3"/>
  <c r="BL108" i="3"/>
  <c r="AZ108" i="3"/>
  <c r="BA109" i="3"/>
  <c r="BN109" i="3"/>
  <c r="BP109" i="3"/>
  <c r="BR109" i="3"/>
  <c r="BT109" i="3"/>
  <c r="BL109" i="3"/>
  <c r="AZ109" i="3"/>
  <c r="BA110" i="3"/>
  <c r="BN110" i="3"/>
  <c r="BP110" i="3"/>
  <c r="BR110" i="3"/>
  <c r="BT110" i="3"/>
  <c r="BL110" i="3"/>
  <c r="AZ110" i="3"/>
  <c r="BA111" i="3"/>
  <c r="BN111" i="3"/>
  <c r="BP111" i="3"/>
  <c r="BR111" i="3"/>
  <c r="BT111" i="3"/>
  <c r="BL111" i="3"/>
  <c r="AZ111" i="3"/>
  <c r="BA112" i="3"/>
  <c r="BN112" i="3"/>
  <c r="BP112" i="3"/>
  <c r="BR112" i="3"/>
  <c r="BT112" i="3"/>
  <c r="BL112" i="3"/>
  <c r="AZ112" i="3"/>
  <c r="BA113" i="3"/>
  <c r="BN113" i="3"/>
  <c r="BP113" i="3"/>
  <c r="BR113" i="3"/>
  <c r="BT113" i="3"/>
  <c r="BL113" i="3"/>
  <c r="AZ113" i="3"/>
  <c r="BA114" i="3"/>
  <c r="BN114" i="3"/>
  <c r="BP114" i="3"/>
  <c r="BR114" i="3"/>
  <c r="BT114" i="3"/>
  <c r="BL114" i="3"/>
  <c r="AZ114" i="3"/>
  <c r="BA115" i="3"/>
  <c r="BN115" i="3"/>
  <c r="BP115" i="3"/>
  <c r="BR115" i="3"/>
  <c r="BT115" i="3"/>
  <c r="BL115" i="3"/>
  <c r="AZ115" i="3"/>
  <c r="BA116" i="3"/>
  <c r="BN116" i="3"/>
  <c r="BP116" i="3"/>
  <c r="BR116" i="3"/>
  <c r="BT116" i="3"/>
  <c r="BL116" i="3"/>
  <c r="AZ116" i="3"/>
  <c r="BA117" i="3"/>
  <c r="BN117" i="3"/>
  <c r="BP117" i="3"/>
  <c r="BR117" i="3"/>
  <c r="BT117" i="3"/>
  <c r="BL117" i="3"/>
  <c r="AZ117" i="3"/>
  <c r="BA118" i="3"/>
  <c r="BN118" i="3"/>
  <c r="BP118" i="3"/>
  <c r="BR118" i="3"/>
  <c r="BT118" i="3"/>
  <c r="BL118" i="3"/>
  <c r="AZ118" i="3"/>
  <c r="BA119" i="3"/>
  <c r="BN119" i="3"/>
  <c r="BP119" i="3"/>
  <c r="BR119" i="3"/>
  <c r="BT119" i="3"/>
  <c r="BL119" i="3"/>
  <c r="AZ119" i="3"/>
  <c r="BA120" i="3"/>
  <c r="BN120" i="3"/>
  <c r="BP120" i="3"/>
  <c r="BR120" i="3"/>
  <c r="BT120" i="3"/>
  <c r="BL120" i="3"/>
  <c r="AZ120" i="3"/>
  <c r="BA121" i="3"/>
  <c r="BN121" i="3"/>
  <c r="BP121" i="3"/>
  <c r="BR121" i="3"/>
  <c r="BT121" i="3"/>
  <c r="BL121" i="3"/>
  <c r="AZ121" i="3"/>
  <c r="BA122" i="3"/>
  <c r="BN122" i="3"/>
  <c r="BP122" i="3"/>
  <c r="BR122" i="3"/>
  <c r="BT122" i="3"/>
  <c r="BL122" i="3"/>
  <c r="AZ122" i="3"/>
  <c r="BA123" i="3"/>
  <c r="BN123" i="3"/>
  <c r="BP123" i="3"/>
  <c r="BR123" i="3"/>
  <c r="BT123" i="3"/>
  <c r="BL123" i="3"/>
  <c r="AZ123" i="3"/>
  <c r="BA124" i="3"/>
  <c r="BN124" i="3"/>
  <c r="BP124" i="3"/>
  <c r="BR124" i="3"/>
  <c r="BT124" i="3"/>
  <c r="BL124" i="3"/>
  <c r="AZ124" i="3"/>
  <c r="BA125" i="3"/>
  <c r="BN125" i="3"/>
  <c r="BP125" i="3"/>
  <c r="BR125" i="3"/>
  <c r="BT125" i="3"/>
  <c r="BL125" i="3"/>
  <c r="AZ125" i="3"/>
  <c r="BA126" i="3"/>
  <c r="BN126" i="3"/>
  <c r="BP126" i="3"/>
  <c r="BR126" i="3"/>
  <c r="BT126" i="3"/>
  <c r="BL126" i="3"/>
  <c r="AZ126" i="3"/>
  <c r="BA127" i="3"/>
  <c r="BN127" i="3"/>
  <c r="BP127" i="3"/>
  <c r="BR127" i="3"/>
  <c r="BT127" i="3"/>
  <c r="BL127" i="3"/>
  <c r="AZ127" i="3"/>
  <c r="BA128" i="3"/>
  <c r="BN128" i="3"/>
  <c r="BP128" i="3"/>
  <c r="BR128" i="3"/>
  <c r="BT128" i="3"/>
  <c r="BL128" i="3"/>
  <c r="AZ128" i="3"/>
  <c r="BA129" i="3"/>
  <c r="BN129" i="3"/>
  <c r="BP129" i="3"/>
  <c r="BR129" i="3"/>
  <c r="BT129" i="3"/>
  <c r="BL129" i="3"/>
  <c r="AZ129" i="3"/>
  <c r="BA130" i="3"/>
  <c r="BN130" i="3"/>
  <c r="BP130" i="3"/>
  <c r="BR130" i="3"/>
  <c r="BT130" i="3"/>
  <c r="BL130" i="3"/>
  <c r="AZ130" i="3"/>
  <c r="BA131" i="3"/>
  <c r="BN131" i="3"/>
  <c r="BP131" i="3"/>
  <c r="BR131" i="3"/>
  <c r="BT131" i="3"/>
  <c r="BL131" i="3"/>
  <c r="AZ131" i="3"/>
  <c r="BA132" i="3"/>
  <c r="BN132" i="3"/>
  <c r="BP132" i="3"/>
  <c r="BR132" i="3"/>
  <c r="BT132" i="3"/>
  <c r="BL132" i="3"/>
  <c r="AZ132" i="3"/>
  <c r="BA133" i="3"/>
  <c r="BN133" i="3"/>
  <c r="BP133" i="3"/>
  <c r="BR133" i="3"/>
  <c r="BT133" i="3"/>
  <c r="BL133" i="3"/>
  <c r="AZ133" i="3"/>
  <c r="BA134" i="3"/>
  <c r="BN134" i="3"/>
  <c r="BP134" i="3"/>
  <c r="BR134" i="3"/>
  <c r="BT134" i="3"/>
  <c r="BL134" i="3"/>
  <c r="AZ134" i="3"/>
  <c r="BA135" i="3"/>
  <c r="BN135" i="3"/>
  <c r="BP135" i="3"/>
  <c r="BR135" i="3"/>
  <c r="BT135" i="3"/>
  <c r="BL135" i="3"/>
  <c r="AZ135" i="3"/>
  <c r="BA136" i="3"/>
  <c r="BN136" i="3"/>
  <c r="BP136" i="3"/>
  <c r="BR136" i="3"/>
  <c r="BT136" i="3"/>
  <c r="BL136" i="3"/>
  <c r="AZ136" i="3"/>
  <c r="BA137" i="3"/>
  <c r="BN137" i="3"/>
  <c r="BP137" i="3"/>
  <c r="BR137" i="3"/>
  <c r="BT137" i="3"/>
  <c r="BL137" i="3"/>
  <c r="AZ137" i="3"/>
  <c r="BA138" i="3"/>
  <c r="BN138" i="3"/>
  <c r="BP138" i="3"/>
  <c r="BR138" i="3"/>
  <c r="BT138" i="3"/>
  <c r="BL138" i="3"/>
  <c r="AZ138" i="3"/>
  <c r="BA139" i="3"/>
  <c r="BN139" i="3"/>
  <c r="BP139" i="3"/>
  <c r="BR139" i="3"/>
  <c r="BT139" i="3"/>
  <c r="BL139" i="3"/>
  <c r="AZ139" i="3"/>
  <c r="BA140" i="3"/>
  <c r="BN140" i="3"/>
  <c r="BP140" i="3"/>
  <c r="BR140" i="3"/>
  <c r="BT140" i="3"/>
  <c r="BL140" i="3"/>
  <c r="AZ140" i="3"/>
  <c r="BA141" i="3"/>
  <c r="BN141" i="3"/>
  <c r="BP141" i="3"/>
  <c r="BR141" i="3"/>
  <c r="BT141" i="3"/>
  <c r="BL141" i="3"/>
  <c r="AZ141" i="3"/>
  <c r="BA142" i="3"/>
  <c r="BN142" i="3"/>
  <c r="BP142" i="3"/>
  <c r="BR142" i="3"/>
  <c r="BT142" i="3"/>
  <c r="BL142" i="3"/>
  <c r="AZ142" i="3"/>
  <c r="BA143" i="3"/>
  <c r="BN143" i="3"/>
  <c r="BP143" i="3"/>
  <c r="BR143" i="3"/>
  <c r="BT143" i="3"/>
  <c r="BL143" i="3"/>
  <c r="AZ143" i="3"/>
  <c r="BA144" i="3"/>
  <c r="BN144" i="3"/>
  <c r="BP144" i="3"/>
  <c r="BR144" i="3"/>
  <c r="BT144" i="3"/>
  <c r="BL144" i="3"/>
  <c r="AZ144" i="3"/>
  <c r="BA145" i="3"/>
  <c r="BN145" i="3"/>
  <c r="BP145" i="3"/>
  <c r="BR145" i="3"/>
  <c r="BT145" i="3"/>
  <c r="BL145" i="3"/>
  <c r="AZ145" i="3"/>
  <c r="BA146" i="3"/>
  <c r="BN146" i="3"/>
  <c r="BP146" i="3"/>
  <c r="BR146" i="3"/>
  <c r="BT146" i="3"/>
  <c r="BL146" i="3"/>
  <c r="AZ146" i="3"/>
  <c r="BA147" i="3"/>
  <c r="BN147" i="3"/>
  <c r="BP147" i="3"/>
  <c r="BR147" i="3"/>
  <c r="BT147" i="3"/>
  <c r="BL147" i="3"/>
  <c r="AZ147" i="3"/>
  <c r="BA148" i="3"/>
  <c r="BN148" i="3"/>
  <c r="BP148" i="3"/>
  <c r="BR148" i="3"/>
  <c r="BT148" i="3"/>
  <c r="BL148" i="3"/>
  <c r="AZ148" i="3"/>
  <c r="BA149" i="3"/>
  <c r="BN149" i="3"/>
  <c r="BP149" i="3"/>
  <c r="BR149" i="3"/>
  <c r="BT149" i="3"/>
  <c r="BL149" i="3"/>
  <c r="AZ149" i="3"/>
  <c r="BA150" i="3"/>
  <c r="BN150" i="3"/>
  <c r="BP150" i="3"/>
  <c r="BR150" i="3"/>
  <c r="BT150" i="3"/>
  <c r="BL150" i="3"/>
  <c r="AZ150" i="3"/>
  <c r="BA151" i="3"/>
  <c r="BN151" i="3"/>
  <c r="BP151" i="3"/>
  <c r="BR151" i="3"/>
  <c r="BT151" i="3"/>
  <c r="BL151" i="3"/>
  <c r="AZ151" i="3"/>
  <c r="BA152" i="3"/>
  <c r="BN152" i="3"/>
  <c r="BP152" i="3"/>
  <c r="BR152" i="3"/>
  <c r="BT152" i="3"/>
  <c r="BL152" i="3"/>
  <c r="AZ152" i="3"/>
  <c r="BA153" i="3"/>
  <c r="BN153" i="3"/>
  <c r="BP153" i="3"/>
  <c r="BR153" i="3"/>
  <c r="BT153" i="3"/>
  <c r="BL153" i="3"/>
  <c r="AZ153" i="3"/>
  <c r="BA154" i="3"/>
  <c r="BN154" i="3"/>
  <c r="BP154" i="3"/>
  <c r="BR154" i="3"/>
  <c r="BT154" i="3"/>
  <c r="BL154" i="3"/>
  <c r="AZ154" i="3"/>
  <c r="BA155" i="3"/>
  <c r="BN155" i="3"/>
  <c r="BP155" i="3"/>
  <c r="BR155" i="3"/>
  <c r="BT155" i="3"/>
  <c r="BL155" i="3"/>
  <c r="AZ155" i="3"/>
  <c r="BA156" i="3"/>
  <c r="BN156" i="3"/>
  <c r="BP156" i="3"/>
  <c r="BR156" i="3"/>
  <c r="BT156" i="3"/>
  <c r="BL156" i="3"/>
  <c r="AZ156" i="3"/>
  <c r="BA157" i="3"/>
  <c r="BN157" i="3"/>
  <c r="BP157" i="3"/>
  <c r="BR157" i="3"/>
  <c r="BT157" i="3"/>
  <c r="BL157" i="3"/>
  <c r="AZ157" i="3"/>
  <c r="BA158" i="3"/>
  <c r="BN158" i="3"/>
  <c r="BP158" i="3"/>
  <c r="BR158" i="3"/>
  <c r="BT158" i="3"/>
  <c r="BL158" i="3"/>
  <c r="AZ158" i="3"/>
  <c r="BA159" i="3"/>
  <c r="BN159" i="3"/>
  <c r="BP159" i="3"/>
  <c r="BR159" i="3"/>
  <c r="BT159" i="3"/>
  <c r="BL159" i="3"/>
  <c r="AZ159" i="3"/>
  <c r="BA160" i="3"/>
  <c r="BN160" i="3"/>
  <c r="BP160" i="3"/>
  <c r="BR160" i="3"/>
  <c r="BT160" i="3"/>
  <c r="BL160" i="3"/>
  <c r="AZ160" i="3"/>
  <c r="BA161" i="3"/>
  <c r="BN161" i="3"/>
  <c r="BP161" i="3"/>
  <c r="BR161" i="3"/>
  <c r="BT161" i="3"/>
  <c r="BL161" i="3"/>
  <c r="AZ161" i="3"/>
  <c r="BA162" i="3"/>
  <c r="BN162" i="3"/>
  <c r="BP162" i="3"/>
  <c r="BR162" i="3"/>
  <c r="BT162" i="3"/>
  <c r="BL162" i="3"/>
  <c r="AZ162" i="3"/>
  <c r="BA163" i="3"/>
  <c r="BN163" i="3"/>
  <c r="BP163" i="3"/>
  <c r="BR163" i="3"/>
  <c r="BT163" i="3"/>
  <c r="BL163" i="3"/>
  <c r="AZ163" i="3"/>
  <c r="BA164" i="3"/>
  <c r="BN164" i="3"/>
  <c r="BP164" i="3"/>
  <c r="BR164" i="3"/>
  <c r="BT164" i="3"/>
  <c r="BL164" i="3"/>
  <c r="AZ164" i="3"/>
  <c r="BA165" i="3"/>
  <c r="BN165" i="3"/>
  <c r="BP165" i="3"/>
  <c r="BR165" i="3"/>
  <c r="BT165" i="3"/>
  <c r="BL165" i="3"/>
  <c r="AZ165" i="3"/>
  <c r="BA166" i="3"/>
  <c r="BN166" i="3"/>
  <c r="BP166" i="3"/>
  <c r="BR166" i="3"/>
  <c r="BT166" i="3"/>
  <c r="BL166" i="3"/>
  <c r="AZ166" i="3"/>
  <c r="BA167" i="3"/>
  <c r="BN167" i="3"/>
  <c r="BP167" i="3"/>
  <c r="BR167" i="3"/>
  <c r="BT167" i="3"/>
  <c r="BL167" i="3"/>
  <c r="AZ167" i="3"/>
  <c r="BA168" i="3"/>
  <c r="BN168" i="3"/>
  <c r="BP168" i="3"/>
  <c r="BR168" i="3"/>
  <c r="BT168" i="3"/>
  <c r="BL168" i="3"/>
  <c r="AZ168" i="3"/>
  <c r="BA169" i="3"/>
  <c r="BN169" i="3"/>
  <c r="BP169" i="3"/>
  <c r="BR169" i="3"/>
  <c r="BT169" i="3"/>
  <c r="BL169" i="3"/>
  <c r="AZ169" i="3"/>
  <c r="BA170" i="3"/>
  <c r="BN170" i="3"/>
  <c r="BP170" i="3"/>
  <c r="BR170" i="3"/>
  <c r="BT170" i="3"/>
  <c r="BL170" i="3"/>
  <c r="AZ170" i="3"/>
  <c r="BA171" i="3"/>
  <c r="BN171" i="3"/>
  <c r="BP171" i="3"/>
  <c r="BR171" i="3"/>
  <c r="BT171" i="3"/>
  <c r="BL171" i="3"/>
  <c r="AZ171" i="3"/>
  <c r="BA172" i="3"/>
  <c r="BN172" i="3"/>
  <c r="BP172" i="3"/>
  <c r="BR172" i="3"/>
  <c r="BT172" i="3"/>
  <c r="BL172" i="3"/>
  <c r="AZ172" i="3"/>
  <c r="BA173" i="3"/>
  <c r="BN173" i="3"/>
  <c r="BP173" i="3"/>
  <c r="BR173" i="3"/>
  <c r="BT173" i="3"/>
  <c r="BL173" i="3"/>
  <c r="AZ173" i="3"/>
  <c r="BA174" i="3"/>
  <c r="BN174" i="3"/>
  <c r="BP174" i="3"/>
  <c r="BR174" i="3"/>
  <c r="BT174" i="3"/>
  <c r="BL174" i="3"/>
  <c r="AZ174" i="3"/>
  <c r="BA175" i="3"/>
  <c r="BN175" i="3"/>
  <c r="BP175" i="3"/>
  <c r="BR175" i="3"/>
  <c r="BT175" i="3"/>
  <c r="BL175" i="3"/>
  <c r="AZ175" i="3"/>
  <c r="BA176" i="3"/>
  <c r="BN176" i="3"/>
  <c r="BP176" i="3"/>
  <c r="BR176" i="3"/>
  <c r="BT176" i="3"/>
  <c r="BL176" i="3"/>
  <c r="AZ176" i="3"/>
  <c r="BA177" i="3"/>
  <c r="BN177" i="3"/>
  <c r="BP177" i="3"/>
  <c r="BR177" i="3"/>
  <c r="BT177" i="3"/>
  <c r="BL177" i="3"/>
  <c r="AZ177" i="3"/>
  <c r="BA178" i="3"/>
  <c r="BN178" i="3"/>
  <c r="BP178" i="3"/>
  <c r="BR178" i="3"/>
  <c r="BT178" i="3"/>
  <c r="BL178" i="3"/>
  <c r="AZ178" i="3"/>
  <c r="BA179" i="3"/>
  <c r="BN179" i="3"/>
  <c r="BP179" i="3"/>
  <c r="BR179" i="3"/>
  <c r="BT179" i="3"/>
  <c r="BL179" i="3"/>
  <c r="AZ179" i="3"/>
  <c r="BA180" i="3"/>
  <c r="BN180" i="3"/>
  <c r="BP180" i="3"/>
  <c r="BR180" i="3"/>
  <c r="BT180" i="3"/>
  <c r="BL180" i="3"/>
  <c r="AZ180" i="3"/>
  <c r="BA181" i="3"/>
  <c r="BN181" i="3"/>
  <c r="BP181" i="3"/>
  <c r="BR181" i="3"/>
  <c r="BT181" i="3"/>
  <c r="BL181" i="3"/>
  <c r="AZ181" i="3"/>
  <c r="BA182" i="3"/>
  <c r="BN182" i="3"/>
  <c r="BP182" i="3"/>
  <c r="BR182" i="3"/>
  <c r="BT182" i="3"/>
  <c r="BL182" i="3"/>
  <c r="AZ182" i="3"/>
  <c r="BA183" i="3"/>
  <c r="BN183" i="3"/>
  <c r="BP183" i="3"/>
  <c r="BR183" i="3"/>
  <c r="BT183" i="3"/>
  <c r="BL183" i="3"/>
  <c r="AZ183" i="3"/>
  <c r="BA184" i="3"/>
  <c r="BN184" i="3"/>
  <c r="BP184" i="3"/>
  <c r="BR184" i="3"/>
  <c r="BT184" i="3"/>
  <c r="BL184" i="3"/>
  <c r="AZ184" i="3"/>
  <c r="BA185" i="3"/>
  <c r="BN185" i="3"/>
  <c r="BP185" i="3"/>
  <c r="BR185" i="3"/>
  <c r="BT185" i="3"/>
  <c r="BL185" i="3"/>
  <c r="AZ185" i="3"/>
  <c r="BA186" i="3"/>
  <c r="BN186" i="3"/>
  <c r="BP186" i="3"/>
  <c r="BR186" i="3"/>
  <c r="BT186" i="3"/>
  <c r="BL186" i="3"/>
  <c r="AZ186" i="3"/>
  <c r="BA187" i="3"/>
  <c r="BN187" i="3"/>
  <c r="BP187" i="3"/>
  <c r="BR187" i="3"/>
  <c r="BT187" i="3"/>
  <c r="BL187" i="3"/>
  <c r="AZ187" i="3"/>
  <c r="BA188" i="3"/>
  <c r="BN188" i="3"/>
  <c r="BP188" i="3"/>
  <c r="BR188" i="3"/>
  <c r="BT188" i="3"/>
  <c r="BL188" i="3"/>
  <c r="AZ188" i="3"/>
  <c r="BA189" i="3"/>
  <c r="BN189" i="3"/>
  <c r="BP189" i="3"/>
  <c r="BR189" i="3"/>
  <c r="BT189" i="3"/>
  <c r="BL189" i="3"/>
  <c r="AZ189" i="3"/>
  <c r="BA190" i="3"/>
  <c r="BN190" i="3"/>
  <c r="BP190" i="3"/>
  <c r="BR190" i="3"/>
  <c r="BT190" i="3"/>
  <c r="BL190" i="3"/>
  <c r="AZ190" i="3"/>
  <c r="BA191" i="3"/>
  <c r="BN191" i="3"/>
  <c r="BP191" i="3"/>
  <c r="BR191" i="3"/>
  <c r="BT191" i="3"/>
  <c r="BL191" i="3"/>
  <c r="AZ191" i="3"/>
  <c r="BA192" i="3"/>
  <c r="BN192" i="3"/>
  <c r="BP192" i="3"/>
  <c r="BR192" i="3"/>
  <c r="BT192" i="3"/>
  <c r="BL192" i="3"/>
  <c r="AZ192" i="3"/>
  <c r="BA193" i="3"/>
  <c r="BN193" i="3"/>
  <c r="BP193" i="3"/>
  <c r="BR193" i="3"/>
  <c r="BT193" i="3"/>
  <c r="BL193" i="3"/>
  <c r="AZ193" i="3"/>
  <c r="BA194" i="3"/>
  <c r="BN194" i="3"/>
  <c r="BP194" i="3"/>
  <c r="BR194" i="3"/>
  <c r="BT194" i="3"/>
  <c r="BL194" i="3"/>
  <c r="AZ194" i="3"/>
  <c r="BA195" i="3"/>
  <c r="BN195" i="3"/>
  <c r="BP195" i="3"/>
  <c r="BR195" i="3"/>
  <c r="BT195" i="3"/>
  <c r="BL195" i="3"/>
  <c r="AZ195" i="3"/>
  <c r="BA196" i="3"/>
  <c r="BN196" i="3"/>
  <c r="BP196" i="3"/>
  <c r="BR196" i="3"/>
  <c r="BT196" i="3"/>
  <c r="BL196" i="3"/>
  <c r="AZ196" i="3"/>
  <c r="BA197" i="3"/>
  <c r="BN197" i="3"/>
  <c r="BP197" i="3"/>
  <c r="BR197" i="3"/>
  <c r="BT197" i="3"/>
  <c r="BL197" i="3"/>
  <c r="AZ197" i="3"/>
  <c r="BA198" i="3"/>
  <c r="BN198" i="3"/>
  <c r="BP198" i="3"/>
  <c r="BR198" i="3"/>
  <c r="BT198" i="3"/>
  <c r="BL198" i="3"/>
  <c r="AZ198" i="3"/>
  <c r="BA199" i="3"/>
  <c r="BN199" i="3"/>
  <c r="BP199" i="3"/>
  <c r="BR199" i="3"/>
  <c r="BT199" i="3"/>
  <c r="BL199" i="3"/>
  <c r="AZ199" i="3"/>
  <c r="BA200" i="3"/>
  <c r="BN200" i="3"/>
  <c r="BP200" i="3"/>
  <c r="BR200" i="3"/>
  <c r="BT200" i="3"/>
  <c r="BL200" i="3"/>
  <c r="AZ200" i="3"/>
  <c r="BA201" i="3"/>
  <c r="BN201" i="3"/>
  <c r="BP201" i="3"/>
  <c r="BR201" i="3"/>
  <c r="BT201" i="3"/>
  <c r="BL201" i="3"/>
  <c r="AZ201" i="3"/>
  <c r="BA202" i="3"/>
  <c r="BN202" i="3"/>
  <c r="BP202" i="3"/>
  <c r="BR202" i="3"/>
  <c r="BT202" i="3"/>
  <c r="BL202" i="3"/>
  <c r="AZ202" i="3"/>
  <c r="BA203" i="3"/>
  <c r="BN203" i="3"/>
  <c r="BP203" i="3"/>
  <c r="BR203" i="3"/>
  <c r="BT203" i="3"/>
  <c r="BL203" i="3"/>
  <c r="AZ203" i="3"/>
  <c r="BA204" i="3"/>
  <c r="BN204" i="3"/>
  <c r="BP204" i="3"/>
  <c r="BR204" i="3"/>
  <c r="BT204" i="3"/>
  <c r="BL204" i="3"/>
  <c r="AZ204" i="3"/>
  <c r="BA205" i="3"/>
  <c r="BN205" i="3"/>
  <c r="BP205" i="3"/>
  <c r="BR205" i="3"/>
  <c r="BT205" i="3"/>
  <c r="BL205" i="3"/>
  <c r="AZ205" i="3"/>
  <c r="BA206" i="3"/>
  <c r="BN206" i="3"/>
  <c r="BP206" i="3"/>
  <c r="BR206" i="3"/>
  <c r="BT206" i="3"/>
  <c r="BL206" i="3"/>
  <c r="AZ206" i="3"/>
  <c r="BA207" i="3"/>
  <c r="BN207" i="3"/>
  <c r="BP207" i="3"/>
  <c r="BR207" i="3"/>
  <c r="BT207" i="3"/>
  <c r="BL207" i="3"/>
  <c r="AZ207" i="3"/>
  <c r="BA208" i="3"/>
  <c r="BN208" i="3"/>
  <c r="BP208" i="3"/>
  <c r="BR208" i="3"/>
  <c r="BT208" i="3"/>
  <c r="BL208" i="3"/>
  <c r="AZ208" i="3"/>
  <c r="BA209" i="3"/>
  <c r="BN209" i="3"/>
  <c r="BP209" i="3"/>
  <c r="BR209" i="3"/>
  <c r="BT209" i="3"/>
  <c r="BL209" i="3"/>
  <c r="AZ209" i="3"/>
  <c r="BA210" i="3"/>
  <c r="BN210" i="3"/>
  <c r="BP210" i="3"/>
  <c r="BR210" i="3"/>
  <c r="BT210" i="3"/>
  <c r="BL210" i="3"/>
  <c r="AZ210" i="3"/>
  <c r="BA211" i="3"/>
  <c r="BN211" i="3"/>
  <c r="BP211" i="3"/>
  <c r="BR211" i="3"/>
  <c r="BT211" i="3"/>
  <c r="BL211" i="3"/>
  <c r="AZ211" i="3"/>
  <c r="BA212" i="3"/>
  <c r="BN212" i="3"/>
  <c r="BP212" i="3"/>
  <c r="BR212" i="3"/>
  <c r="BT212" i="3"/>
  <c r="BL212" i="3"/>
  <c r="AZ212" i="3"/>
  <c r="BA213" i="3"/>
  <c r="BN213" i="3"/>
  <c r="BP213" i="3"/>
  <c r="BR213" i="3"/>
  <c r="BT213" i="3"/>
  <c r="BL213" i="3"/>
  <c r="AZ213" i="3"/>
  <c r="BA214" i="3"/>
  <c r="BN214" i="3"/>
  <c r="BP214" i="3"/>
  <c r="BR214" i="3"/>
  <c r="BT214" i="3"/>
  <c r="BL214" i="3"/>
  <c r="AZ214" i="3"/>
  <c r="BA215" i="3"/>
  <c r="BN215" i="3"/>
  <c r="BP215" i="3"/>
  <c r="BR215" i="3"/>
  <c r="BT215" i="3"/>
  <c r="BL215" i="3"/>
  <c r="AZ215" i="3"/>
  <c r="BA216" i="3"/>
  <c r="BN216" i="3"/>
  <c r="BP216" i="3"/>
  <c r="BR216" i="3"/>
  <c r="BT216" i="3"/>
  <c r="BL216" i="3"/>
  <c r="AZ216" i="3"/>
  <c r="BA217" i="3"/>
  <c r="BN217" i="3"/>
  <c r="BP217" i="3"/>
  <c r="BR217" i="3"/>
  <c r="BT217" i="3"/>
  <c r="BL217" i="3"/>
  <c r="AZ217" i="3"/>
  <c r="BA218" i="3"/>
  <c r="BN218" i="3"/>
  <c r="BP218" i="3"/>
  <c r="BR218" i="3"/>
  <c r="BT218" i="3"/>
  <c r="BL218" i="3"/>
  <c r="AZ218" i="3"/>
  <c r="BA219" i="3"/>
  <c r="BN219" i="3"/>
  <c r="BP219" i="3"/>
  <c r="BR219" i="3"/>
  <c r="BT219" i="3"/>
  <c r="BL219" i="3"/>
  <c r="AZ219" i="3"/>
  <c r="BA220" i="3"/>
  <c r="BN220" i="3"/>
  <c r="BP220" i="3"/>
  <c r="BR220" i="3"/>
  <c r="BT220" i="3"/>
  <c r="BL220" i="3"/>
  <c r="AZ220" i="3"/>
  <c r="BA221" i="3"/>
  <c r="BN221" i="3"/>
  <c r="BP221" i="3"/>
  <c r="BR221" i="3"/>
  <c r="BT221" i="3"/>
  <c r="BL221" i="3"/>
  <c r="AZ221" i="3"/>
  <c r="BA222" i="3"/>
  <c r="BN222" i="3"/>
  <c r="BP222" i="3"/>
  <c r="BR222" i="3"/>
  <c r="BT222" i="3"/>
  <c r="BL222" i="3"/>
  <c r="AZ222" i="3"/>
  <c r="BA223" i="3"/>
  <c r="BN223" i="3"/>
  <c r="BP223" i="3"/>
  <c r="BR223" i="3"/>
  <c r="BT223" i="3"/>
  <c r="BL223" i="3"/>
  <c r="AZ223" i="3"/>
  <c r="BA224" i="3"/>
  <c r="BN224" i="3"/>
  <c r="BP224" i="3"/>
  <c r="BR224" i="3"/>
  <c r="BT224" i="3"/>
  <c r="BL224" i="3"/>
  <c r="AZ224" i="3"/>
  <c r="BA225" i="3"/>
  <c r="BN225" i="3"/>
  <c r="BP225" i="3"/>
  <c r="BR225" i="3"/>
  <c r="BT225" i="3"/>
  <c r="BL225" i="3"/>
  <c r="AZ225" i="3"/>
  <c r="BA226" i="3"/>
  <c r="BN226" i="3"/>
  <c r="BP226" i="3"/>
  <c r="BR226" i="3"/>
  <c r="BT226" i="3"/>
  <c r="BL226" i="3"/>
  <c r="AZ226" i="3"/>
  <c r="BA227" i="3"/>
  <c r="BN227" i="3"/>
  <c r="BP227" i="3"/>
  <c r="BR227" i="3"/>
  <c r="BT227" i="3"/>
  <c r="BL227" i="3"/>
  <c r="AZ227" i="3"/>
  <c r="BA228" i="3"/>
  <c r="BN228" i="3"/>
  <c r="BP228" i="3"/>
  <c r="BR228" i="3"/>
  <c r="BT228" i="3"/>
  <c r="BL228" i="3"/>
  <c r="AZ228" i="3"/>
  <c r="BA229" i="3"/>
  <c r="BN229" i="3"/>
  <c r="BP229" i="3"/>
  <c r="BR229" i="3"/>
  <c r="BT229" i="3"/>
  <c r="BL229" i="3"/>
  <c r="AZ229" i="3"/>
  <c r="BA230" i="3"/>
  <c r="BN230" i="3"/>
  <c r="BP230" i="3"/>
  <c r="BR230" i="3"/>
  <c r="BT230" i="3"/>
  <c r="BL230" i="3"/>
  <c r="AZ230" i="3"/>
  <c r="BA231" i="3"/>
  <c r="BN231" i="3"/>
  <c r="BP231" i="3"/>
  <c r="BR231" i="3"/>
  <c r="BT231" i="3"/>
  <c r="BL231" i="3"/>
  <c r="AZ231" i="3"/>
  <c r="BA232" i="3"/>
  <c r="BN232" i="3"/>
  <c r="BP232" i="3"/>
  <c r="BR232" i="3"/>
  <c r="BT232" i="3"/>
  <c r="BL232" i="3"/>
  <c r="AZ232" i="3"/>
  <c r="BA233" i="3"/>
  <c r="BN233" i="3"/>
  <c r="BP233" i="3"/>
  <c r="BR233" i="3"/>
  <c r="BT233" i="3"/>
  <c r="BL233" i="3"/>
  <c r="AZ233" i="3"/>
  <c r="BA234" i="3"/>
  <c r="BN234" i="3"/>
  <c r="BP234" i="3"/>
  <c r="BR234" i="3"/>
  <c r="BT234" i="3"/>
  <c r="BL234" i="3"/>
  <c r="AZ234" i="3"/>
  <c r="BA235" i="3"/>
  <c r="BN235" i="3"/>
  <c r="BP235" i="3"/>
  <c r="BR235" i="3"/>
  <c r="BT235" i="3"/>
  <c r="BL235" i="3"/>
  <c r="AZ235" i="3"/>
  <c r="BA236" i="3"/>
  <c r="BN236" i="3"/>
  <c r="BP236" i="3"/>
  <c r="BR236" i="3"/>
  <c r="BT236" i="3"/>
  <c r="BL236" i="3"/>
  <c r="AZ236" i="3"/>
  <c r="BA237" i="3"/>
  <c r="BN237" i="3"/>
  <c r="BP237" i="3"/>
  <c r="BR237" i="3"/>
  <c r="BT237" i="3"/>
  <c r="BL237" i="3"/>
  <c r="AZ237" i="3"/>
  <c r="BA238" i="3"/>
  <c r="BN238" i="3"/>
  <c r="BP238" i="3"/>
  <c r="BR238" i="3"/>
  <c r="BT238" i="3"/>
  <c r="BL238" i="3"/>
  <c r="AZ238" i="3"/>
  <c r="BA239" i="3"/>
  <c r="BN239" i="3"/>
  <c r="BP239" i="3"/>
  <c r="BR239" i="3"/>
  <c r="BT239" i="3"/>
  <c r="BL239" i="3"/>
  <c r="AZ239" i="3"/>
  <c r="BA240" i="3"/>
  <c r="BN240" i="3"/>
  <c r="BP240" i="3"/>
  <c r="BR240" i="3"/>
  <c r="BT240" i="3"/>
  <c r="BL240" i="3"/>
  <c r="AZ240" i="3"/>
  <c r="BA241" i="3"/>
  <c r="BN241" i="3"/>
  <c r="BP241" i="3"/>
  <c r="BR241" i="3"/>
  <c r="BT241" i="3"/>
  <c r="BL241" i="3"/>
  <c r="AZ241" i="3"/>
  <c r="BA242" i="3"/>
  <c r="BN242" i="3"/>
  <c r="BP242" i="3"/>
  <c r="BR242" i="3"/>
  <c r="BT242" i="3"/>
  <c r="BL242" i="3"/>
  <c r="AZ242" i="3"/>
  <c r="BA243" i="3"/>
  <c r="BN243" i="3"/>
  <c r="BP243" i="3"/>
  <c r="BR243" i="3"/>
  <c r="BT243" i="3"/>
  <c r="BL243" i="3"/>
  <c r="AZ243" i="3"/>
  <c r="BA244" i="3"/>
  <c r="BN244" i="3"/>
  <c r="BP244" i="3"/>
  <c r="BR244" i="3"/>
  <c r="BT244" i="3"/>
  <c r="BL244" i="3"/>
  <c r="AZ244" i="3"/>
  <c r="BA245" i="3"/>
  <c r="BN245" i="3"/>
  <c r="BP245" i="3"/>
  <c r="BR245" i="3"/>
  <c r="BT245" i="3"/>
  <c r="BL245" i="3"/>
  <c r="AZ245" i="3"/>
  <c r="BA246" i="3"/>
  <c r="BN246" i="3"/>
  <c r="BP246" i="3"/>
  <c r="BR246" i="3"/>
  <c r="BT246" i="3"/>
  <c r="BL246" i="3"/>
  <c r="AZ246" i="3"/>
  <c r="BA247" i="3"/>
  <c r="BN247" i="3"/>
  <c r="BP247" i="3"/>
  <c r="BR247" i="3"/>
  <c r="BT247" i="3"/>
  <c r="BL247" i="3"/>
  <c r="AZ247" i="3"/>
  <c r="BA248" i="3"/>
  <c r="BN248" i="3"/>
  <c r="BP248" i="3"/>
  <c r="BR248" i="3"/>
  <c r="BT248" i="3"/>
  <c r="BL248" i="3"/>
  <c r="AZ248" i="3"/>
  <c r="BA249" i="3"/>
  <c r="BN249" i="3"/>
  <c r="BP249" i="3"/>
  <c r="BR249" i="3"/>
  <c r="BT249" i="3"/>
  <c r="BL249" i="3"/>
  <c r="AZ249" i="3"/>
  <c r="BA250" i="3"/>
  <c r="BN250" i="3"/>
  <c r="BP250" i="3"/>
  <c r="BR250" i="3"/>
  <c r="BT250" i="3"/>
  <c r="BL250" i="3"/>
  <c r="AZ250" i="3"/>
  <c r="BA251" i="3"/>
  <c r="BN251" i="3"/>
  <c r="BP251" i="3"/>
  <c r="BR251" i="3"/>
  <c r="BT251" i="3"/>
  <c r="BL251" i="3"/>
  <c r="AZ251" i="3"/>
  <c r="BA252" i="3"/>
  <c r="BN252" i="3"/>
  <c r="BP252" i="3"/>
  <c r="BR252" i="3"/>
  <c r="BT252" i="3"/>
  <c r="BL252" i="3"/>
  <c r="AZ252" i="3"/>
  <c r="BA253" i="3"/>
  <c r="BN253" i="3"/>
  <c r="BP253" i="3"/>
  <c r="BR253" i="3"/>
  <c r="BT253" i="3"/>
  <c r="BL253" i="3"/>
  <c r="AZ253" i="3"/>
  <c r="BA254" i="3"/>
  <c r="BN254" i="3"/>
  <c r="BP254" i="3"/>
  <c r="BR254" i="3"/>
  <c r="BT254" i="3"/>
  <c r="BL254" i="3"/>
  <c r="AZ254" i="3"/>
  <c r="BA255" i="3"/>
  <c r="BN255" i="3"/>
  <c r="BP255" i="3"/>
  <c r="BR255" i="3"/>
  <c r="BT255" i="3"/>
  <c r="BL255" i="3"/>
  <c r="AZ255" i="3"/>
  <c r="BA256" i="3"/>
  <c r="BN256" i="3"/>
  <c r="BP256" i="3"/>
  <c r="BR256" i="3"/>
  <c r="BT256" i="3"/>
  <c r="BL256" i="3"/>
  <c r="AZ256" i="3"/>
  <c r="BA257" i="3"/>
  <c r="BN257" i="3"/>
  <c r="BP257" i="3"/>
  <c r="BR257" i="3"/>
  <c r="BT257" i="3"/>
  <c r="BL257" i="3"/>
  <c r="AZ257" i="3"/>
  <c r="BA258" i="3"/>
  <c r="BN258" i="3"/>
  <c r="BP258" i="3"/>
  <c r="BR258" i="3"/>
  <c r="BT258" i="3"/>
  <c r="BL258" i="3"/>
  <c r="AZ258" i="3"/>
  <c r="BA259" i="3"/>
  <c r="BN259" i="3"/>
  <c r="BP259" i="3"/>
  <c r="BR259" i="3"/>
  <c r="BT259" i="3"/>
  <c r="BL259" i="3"/>
  <c r="AZ259" i="3"/>
  <c r="BA260" i="3"/>
  <c r="BN260" i="3"/>
  <c r="BP260" i="3"/>
  <c r="BR260" i="3"/>
  <c r="BT260" i="3"/>
  <c r="BL260" i="3"/>
  <c r="AZ260" i="3"/>
  <c r="BA261" i="3"/>
  <c r="BN261" i="3"/>
  <c r="BP261" i="3"/>
  <c r="BR261" i="3"/>
  <c r="BT261" i="3"/>
  <c r="BL261" i="3"/>
  <c r="AZ261" i="3"/>
  <c r="BA262" i="3"/>
  <c r="BN262" i="3"/>
  <c r="BP262" i="3"/>
  <c r="BR262" i="3"/>
  <c r="BT262" i="3"/>
  <c r="BL262" i="3"/>
  <c r="AZ262" i="3"/>
  <c r="BA263" i="3"/>
  <c r="BN263" i="3"/>
  <c r="BP263" i="3"/>
  <c r="BR263" i="3"/>
  <c r="BT263" i="3"/>
  <c r="BL263" i="3"/>
  <c r="AZ263" i="3"/>
  <c r="BA264" i="3"/>
  <c r="BN264" i="3"/>
  <c r="BP264" i="3"/>
  <c r="BR264" i="3"/>
  <c r="BT264" i="3"/>
  <c r="BL264" i="3"/>
  <c r="AZ264" i="3"/>
  <c r="BA265" i="3"/>
  <c r="BN265" i="3"/>
  <c r="BP265" i="3"/>
  <c r="BR265" i="3"/>
  <c r="BT265" i="3"/>
  <c r="BL265" i="3"/>
  <c r="AZ265" i="3"/>
  <c r="BA266" i="3"/>
  <c r="BN266" i="3"/>
  <c r="BP266" i="3"/>
  <c r="BR266" i="3"/>
  <c r="BT266" i="3"/>
  <c r="BL266" i="3"/>
  <c r="AZ266" i="3"/>
  <c r="BA267" i="3"/>
  <c r="BN267" i="3"/>
  <c r="BP267" i="3"/>
  <c r="BR267" i="3"/>
  <c r="BT267" i="3"/>
  <c r="BL267" i="3"/>
  <c r="AZ267" i="3"/>
  <c r="BA268" i="3"/>
  <c r="BN268" i="3"/>
  <c r="BP268" i="3"/>
  <c r="BR268" i="3"/>
  <c r="BT268" i="3"/>
  <c r="BL268" i="3"/>
  <c r="AZ268" i="3"/>
  <c r="BA269" i="3"/>
  <c r="BN269" i="3"/>
  <c r="BP269" i="3"/>
  <c r="BR269" i="3"/>
  <c r="BT269" i="3"/>
  <c r="BL269" i="3"/>
  <c r="AZ269" i="3"/>
  <c r="BA270" i="3"/>
  <c r="BN270" i="3"/>
  <c r="BP270" i="3"/>
  <c r="BR270" i="3"/>
  <c r="BT270" i="3"/>
  <c r="BL270" i="3"/>
  <c r="AZ270" i="3"/>
  <c r="BA271" i="3"/>
  <c r="BN271" i="3"/>
  <c r="BP271" i="3"/>
  <c r="BR271" i="3"/>
  <c r="BT271" i="3"/>
  <c r="BL271" i="3"/>
  <c r="AZ271" i="3"/>
  <c r="BA272" i="3"/>
  <c r="BN272" i="3"/>
  <c r="BP272" i="3"/>
  <c r="BR272" i="3"/>
  <c r="BT272" i="3"/>
  <c r="BL272" i="3"/>
  <c r="AZ272" i="3"/>
  <c r="BA273" i="3"/>
  <c r="BN273" i="3"/>
  <c r="BP273" i="3"/>
  <c r="BR273" i="3"/>
  <c r="BT273" i="3"/>
  <c r="BL273" i="3"/>
  <c r="AZ273" i="3"/>
  <c r="BA274" i="3"/>
  <c r="BN274" i="3"/>
  <c r="BP274" i="3"/>
  <c r="BR274" i="3"/>
  <c r="BT274" i="3"/>
  <c r="BL274" i="3"/>
  <c r="AZ274" i="3"/>
  <c r="BA275" i="3"/>
  <c r="BN275" i="3"/>
  <c r="BP275" i="3"/>
  <c r="BR275" i="3"/>
  <c r="BT275" i="3"/>
  <c r="BL275" i="3"/>
  <c r="AZ275" i="3"/>
  <c r="BA276" i="3"/>
  <c r="BN276" i="3"/>
  <c r="BP276" i="3"/>
  <c r="BR276" i="3"/>
  <c r="BT276" i="3"/>
  <c r="BL276" i="3"/>
  <c r="AZ276" i="3"/>
  <c r="BA277" i="3"/>
  <c r="BN277" i="3"/>
  <c r="BP277" i="3"/>
  <c r="BR277" i="3"/>
  <c r="BT277" i="3"/>
  <c r="BL277" i="3"/>
  <c r="AZ277" i="3"/>
  <c r="BA278" i="3"/>
  <c r="BN278" i="3"/>
  <c r="BP278" i="3"/>
  <c r="BR278" i="3"/>
  <c r="BT278" i="3"/>
  <c r="BL278" i="3"/>
  <c r="AZ278" i="3"/>
  <c r="BA279" i="3"/>
  <c r="BN279" i="3"/>
  <c r="BP279" i="3"/>
  <c r="BR279" i="3"/>
  <c r="BT279" i="3"/>
  <c r="BL279" i="3"/>
  <c r="AZ279" i="3"/>
  <c r="BA280" i="3"/>
  <c r="BN280" i="3"/>
  <c r="BP280" i="3"/>
  <c r="BR280" i="3"/>
  <c r="BT280" i="3"/>
  <c r="BL280" i="3"/>
  <c r="AZ280" i="3"/>
  <c r="BA281" i="3"/>
  <c r="BN281" i="3"/>
  <c r="BP281" i="3"/>
  <c r="BR281" i="3"/>
  <c r="BT281" i="3"/>
  <c r="BL281" i="3"/>
  <c r="AZ281" i="3"/>
  <c r="BA282" i="3"/>
  <c r="BN282" i="3"/>
  <c r="BP282" i="3"/>
  <c r="BR282" i="3"/>
  <c r="BT282" i="3"/>
  <c r="BL282" i="3"/>
  <c r="AZ282" i="3"/>
  <c r="BA283" i="3"/>
  <c r="BN283" i="3"/>
  <c r="BP283" i="3"/>
  <c r="BR283" i="3"/>
  <c r="BT283" i="3"/>
  <c r="BL283" i="3"/>
  <c r="AZ283" i="3"/>
  <c r="BA284" i="3"/>
  <c r="BN284" i="3"/>
  <c r="BP284" i="3"/>
  <c r="BR284" i="3"/>
  <c r="BT284" i="3"/>
  <c r="BL284" i="3"/>
  <c r="AZ284" i="3"/>
  <c r="BA285" i="3"/>
  <c r="BN285" i="3"/>
  <c r="BP285" i="3"/>
  <c r="BR285" i="3"/>
  <c r="BT285" i="3"/>
  <c r="BL285" i="3"/>
  <c r="AZ285" i="3"/>
  <c r="BA286" i="3"/>
  <c r="BN286" i="3"/>
  <c r="BP286" i="3"/>
  <c r="BR286" i="3"/>
  <c r="BT286" i="3"/>
  <c r="BL286" i="3"/>
  <c r="AZ286" i="3"/>
  <c r="BA287" i="3"/>
  <c r="BN287" i="3"/>
  <c r="BP287" i="3"/>
  <c r="BR287" i="3"/>
  <c r="BT287" i="3"/>
  <c r="BL287" i="3"/>
  <c r="AZ287" i="3"/>
  <c r="BA288" i="3"/>
  <c r="BN288" i="3"/>
  <c r="BP288" i="3"/>
  <c r="BR288" i="3"/>
  <c r="BT288" i="3"/>
  <c r="BL288" i="3"/>
  <c r="AZ288" i="3"/>
  <c r="BA289" i="3"/>
  <c r="BN289" i="3"/>
  <c r="BP289" i="3"/>
  <c r="BR289" i="3"/>
  <c r="BT289" i="3"/>
  <c r="BL289" i="3"/>
  <c r="AZ289" i="3"/>
  <c r="BA290" i="3"/>
  <c r="BN290" i="3"/>
  <c r="BP290" i="3"/>
  <c r="BR290" i="3"/>
  <c r="BT290" i="3"/>
  <c r="BL290" i="3"/>
  <c r="AZ290" i="3"/>
  <c r="BA291" i="3"/>
  <c r="BN291" i="3"/>
  <c r="BP291" i="3"/>
  <c r="BR291" i="3"/>
  <c r="BT291" i="3"/>
  <c r="BL291" i="3"/>
  <c r="AZ291" i="3"/>
  <c r="BA292" i="3"/>
  <c r="BN292" i="3"/>
  <c r="BP292" i="3"/>
  <c r="BR292" i="3"/>
  <c r="BT292" i="3"/>
  <c r="BL292" i="3"/>
  <c r="AZ292" i="3"/>
  <c r="BA293" i="3"/>
  <c r="BN293" i="3"/>
  <c r="BP293" i="3"/>
  <c r="BR293" i="3"/>
  <c r="BT293" i="3"/>
  <c r="BL293" i="3"/>
  <c r="AZ293" i="3"/>
  <c r="BA294" i="3"/>
  <c r="BN294" i="3"/>
  <c r="BP294" i="3"/>
  <c r="BR294" i="3"/>
  <c r="BT294" i="3"/>
  <c r="BL294" i="3"/>
  <c r="AZ294" i="3"/>
  <c r="BA295" i="3"/>
  <c r="BN295" i="3"/>
  <c r="BP295" i="3"/>
  <c r="BR295" i="3"/>
  <c r="BT295" i="3"/>
  <c r="BL295" i="3"/>
  <c r="AZ295" i="3"/>
  <c r="BA296" i="3"/>
  <c r="BN296" i="3"/>
  <c r="BP296" i="3"/>
  <c r="BR296" i="3"/>
  <c r="BT296" i="3"/>
  <c r="BL296" i="3"/>
  <c r="AZ296" i="3"/>
  <c r="BA297" i="3"/>
  <c r="BN297" i="3"/>
  <c r="BP297" i="3"/>
  <c r="BR297" i="3"/>
  <c r="BT297" i="3"/>
  <c r="BL297" i="3"/>
  <c r="AZ297" i="3"/>
  <c r="BA298" i="3"/>
  <c r="BN298" i="3"/>
  <c r="BP298" i="3"/>
  <c r="BR298" i="3"/>
  <c r="BT298" i="3"/>
  <c r="BL298" i="3"/>
  <c r="AZ298" i="3"/>
  <c r="BA299" i="3"/>
  <c r="BN299" i="3"/>
  <c r="BP299" i="3"/>
  <c r="BR299" i="3"/>
  <c r="BT299" i="3"/>
  <c r="BL299" i="3"/>
  <c r="AZ299" i="3"/>
  <c r="BA300" i="3"/>
  <c r="BN300" i="3"/>
  <c r="BP300" i="3"/>
  <c r="BR300" i="3"/>
  <c r="BT300" i="3"/>
  <c r="BL300" i="3"/>
  <c r="AZ300" i="3"/>
  <c r="BA301" i="3"/>
  <c r="BN301" i="3"/>
  <c r="BP301" i="3"/>
  <c r="BR301" i="3"/>
  <c r="BT301" i="3"/>
  <c r="BL301" i="3"/>
  <c r="AZ301" i="3"/>
  <c r="BA302" i="3"/>
  <c r="BN302" i="3"/>
  <c r="BP302" i="3"/>
  <c r="BR302" i="3"/>
  <c r="BT302" i="3"/>
  <c r="BL302" i="3"/>
  <c r="AZ302" i="3"/>
  <c r="BA303" i="3"/>
  <c r="BN303" i="3"/>
  <c r="BP303" i="3"/>
  <c r="BR303" i="3"/>
  <c r="BT303" i="3"/>
  <c r="BL303" i="3"/>
  <c r="AZ303" i="3"/>
  <c r="BA304" i="3"/>
  <c r="BN304" i="3"/>
  <c r="BP304" i="3"/>
  <c r="BR304" i="3"/>
  <c r="BT304" i="3"/>
  <c r="BL304" i="3"/>
  <c r="AZ304" i="3"/>
  <c r="BA305" i="3"/>
  <c r="BN305" i="3"/>
  <c r="BP305" i="3"/>
  <c r="BR305" i="3"/>
  <c r="BT305" i="3"/>
  <c r="BL305" i="3"/>
  <c r="AZ305" i="3"/>
  <c r="BA306" i="3"/>
  <c r="BN306" i="3"/>
  <c r="BP306" i="3"/>
  <c r="BR306" i="3"/>
  <c r="BT306" i="3"/>
  <c r="BL306" i="3"/>
  <c r="AZ306" i="3"/>
  <c r="BA307" i="3"/>
  <c r="BN307" i="3"/>
  <c r="BP307" i="3"/>
  <c r="BR307" i="3"/>
  <c r="BT307" i="3"/>
  <c r="BL307" i="3"/>
  <c r="AZ307" i="3"/>
  <c r="BA308" i="3"/>
  <c r="BN308" i="3"/>
  <c r="BP308" i="3"/>
  <c r="BR308" i="3"/>
  <c r="BT308" i="3"/>
  <c r="BL308" i="3"/>
  <c r="AZ308" i="3"/>
  <c r="BA309" i="3"/>
  <c r="BN309" i="3"/>
  <c r="BP309" i="3"/>
  <c r="BR309" i="3"/>
  <c r="BT309" i="3"/>
  <c r="BL309" i="3"/>
  <c r="AZ309" i="3"/>
  <c r="BA310" i="3"/>
  <c r="BN310" i="3"/>
  <c r="BP310" i="3"/>
  <c r="BR310" i="3"/>
  <c r="BT310" i="3"/>
  <c r="BL310" i="3"/>
  <c r="AZ310" i="3"/>
  <c r="BA311" i="3"/>
  <c r="BN311" i="3"/>
  <c r="BP311" i="3"/>
  <c r="BR311" i="3"/>
  <c r="BT311" i="3"/>
  <c r="BL311" i="3"/>
  <c r="AZ311" i="3"/>
  <c r="BA312" i="3"/>
  <c r="BN312" i="3"/>
  <c r="BP312" i="3"/>
  <c r="BR312" i="3"/>
  <c r="BT312" i="3"/>
  <c r="BL312" i="3"/>
  <c r="AZ312" i="3"/>
  <c r="BA313" i="3"/>
  <c r="BN313" i="3"/>
  <c r="BP313" i="3"/>
  <c r="BR313" i="3"/>
  <c r="BT313" i="3"/>
  <c r="BL313" i="3"/>
  <c r="AZ313" i="3"/>
  <c r="BA314" i="3"/>
  <c r="BN314" i="3"/>
  <c r="BP314" i="3"/>
  <c r="BR314" i="3"/>
  <c r="BT314" i="3"/>
  <c r="BL314" i="3"/>
  <c r="AZ314" i="3"/>
  <c r="BA315" i="3"/>
  <c r="BN315" i="3"/>
  <c r="BP315" i="3"/>
  <c r="BR315" i="3"/>
  <c r="BT315" i="3"/>
  <c r="BL315" i="3"/>
  <c r="AZ315" i="3"/>
  <c r="BA316" i="3"/>
  <c r="BN316" i="3"/>
  <c r="BP316" i="3"/>
  <c r="BR316" i="3"/>
  <c r="BT316" i="3"/>
  <c r="BL316" i="3"/>
  <c r="AZ316" i="3"/>
  <c r="BA317" i="3"/>
  <c r="BN317" i="3"/>
  <c r="BP317" i="3"/>
  <c r="BR317" i="3"/>
  <c r="BT317" i="3"/>
  <c r="BL317" i="3"/>
  <c r="AZ317" i="3"/>
  <c r="BA318" i="3"/>
  <c r="BN318" i="3"/>
  <c r="BP318" i="3"/>
  <c r="BR318" i="3"/>
  <c r="BT318" i="3"/>
  <c r="BL318" i="3"/>
  <c r="AZ318" i="3"/>
  <c r="BA319" i="3"/>
  <c r="BN319" i="3"/>
  <c r="BP319" i="3"/>
  <c r="BR319" i="3"/>
  <c r="BT319" i="3"/>
  <c r="BL319" i="3"/>
  <c r="AZ319" i="3"/>
  <c r="BA320" i="3"/>
  <c r="BN320" i="3"/>
  <c r="BP320" i="3"/>
  <c r="BR320" i="3"/>
  <c r="BT320" i="3"/>
  <c r="BL320" i="3"/>
  <c r="AZ320" i="3"/>
  <c r="BA321" i="3"/>
  <c r="BN321" i="3"/>
  <c r="BP321" i="3"/>
  <c r="BR321" i="3"/>
  <c r="BT321" i="3"/>
  <c r="BL321" i="3"/>
  <c r="AZ321" i="3"/>
  <c r="BA322" i="3"/>
  <c r="BN322" i="3"/>
  <c r="BP322" i="3"/>
  <c r="BR322" i="3"/>
  <c r="BT322" i="3"/>
  <c r="BL322" i="3"/>
  <c r="AZ322" i="3"/>
  <c r="BA323" i="3"/>
  <c r="BN323" i="3"/>
  <c r="BP323" i="3"/>
  <c r="BR323" i="3"/>
  <c r="BT323" i="3"/>
  <c r="BL323" i="3"/>
  <c r="AZ323" i="3"/>
  <c r="BA324" i="3"/>
  <c r="BN324" i="3"/>
  <c r="BP324" i="3"/>
  <c r="BR324" i="3"/>
  <c r="BT324" i="3"/>
  <c r="BL324" i="3"/>
  <c r="AZ324" i="3"/>
  <c r="BA325" i="3"/>
  <c r="BN325" i="3"/>
  <c r="BP325" i="3"/>
  <c r="BR325" i="3"/>
  <c r="BT325" i="3"/>
  <c r="BL325" i="3"/>
  <c r="AZ325" i="3"/>
  <c r="BA326" i="3"/>
  <c r="BN326" i="3"/>
  <c r="BP326" i="3"/>
  <c r="BR326" i="3"/>
  <c r="BT326" i="3"/>
  <c r="BL326" i="3"/>
  <c r="AZ326" i="3"/>
  <c r="BA327" i="3"/>
  <c r="BN327" i="3"/>
  <c r="BP327" i="3"/>
  <c r="BR327" i="3"/>
  <c r="BT327" i="3"/>
  <c r="BL327" i="3"/>
  <c r="AZ327" i="3"/>
  <c r="BA328" i="3"/>
  <c r="BN328" i="3"/>
  <c r="BP328" i="3"/>
  <c r="BR328" i="3"/>
  <c r="BT328" i="3"/>
  <c r="BL328" i="3"/>
  <c r="AZ328" i="3"/>
  <c r="BA329" i="3"/>
  <c r="BN329" i="3"/>
  <c r="BP329" i="3"/>
  <c r="BR329" i="3"/>
  <c r="BT329" i="3"/>
  <c r="BL329" i="3"/>
  <c r="AZ329" i="3"/>
  <c r="BA330" i="3"/>
  <c r="BN330" i="3"/>
  <c r="BP330" i="3"/>
  <c r="BR330" i="3"/>
  <c r="BT330" i="3"/>
  <c r="BL330" i="3"/>
  <c r="AZ330" i="3"/>
  <c r="BA331" i="3"/>
  <c r="BN331" i="3"/>
  <c r="BP331" i="3"/>
  <c r="BR331" i="3"/>
  <c r="BT331" i="3"/>
  <c r="BL331" i="3"/>
  <c r="AZ331" i="3"/>
  <c r="BA332" i="3"/>
  <c r="BN332" i="3"/>
  <c r="BP332" i="3"/>
  <c r="BR332" i="3"/>
  <c r="BT332" i="3"/>
  <c r="BL332" i="3"/>
  <c r="AZ332" i="3"/>
  <c r="BA333" i="3"/>
  <c r="BN333" i="3"/>
  <c r="BP333" i="3"/>
  <c r="BR333" i="3"/>
  <c r="BT333" i="3"/>
  <c r="BL333" i="3"/>
  <c r="AZ333" i="3"/>
  <c r="BA334" i="3"/>
  <c r="BN334" i="3"/>
  <c r="BP334" i="3"/>
  <c r="BR334" i="3"/>
  <c r="BT334" i="3"/>
  <c r="BL334" i="3"/>
  <c r="AZ334" i="3"/>
  <c r="BA335" i="3"/>
  <c r="BN335" i="3"/>
  <c r="BP335" i="3"/>
  <c r="BR335" i="3"/>
  <c r="BT335" i="3"/>
  <c r="BL335" i="3"/>
  <c r="AZ335" i="3"/>
  <c r="BA336" i="3"/>
  <c r="BN336" i="3"/>
  <c r="BP336" i="3"/>
  <c r="BR336" i="3"/>
  <c r="BT336" i="3"/>
  <c r="BL336" i="3"/>
  <c r="AZ336" i="3"/>
  <c r="BA337" i="3"/>
  <c r="BN337" i="3"/>
  <c r="BP337" i="3"/>
  <c r="BR337" i="3"/>
  <c r="BT337" i="3"/>
  <c r="BL337" i="3"/>
  <c r="AZ337" i="3"/>
  <c r="BA338" i="3"/>
  <c r="BN338" i="3"/>
  <c r="BP338" i="3"/>
  <c r="BR338" i="3"/>
  <c r="BT338" i="3"/>
  <c r="BL338" i="3"/>
  <c r="AZ338" i="3"/>
  <c r="BA339" i="3"/>
  <c r="BN339" i="3"/>
  <c r="BP339" i="3"/>
  <c r="BR339" i="3"/>
  <c r="BT339" i="3"/>
  <c r="BL339" i="3"/>
  <c r="AZ339" i="3"/>
  <c r="BA340" i="3"/>
  <c r="BN340" i="3"/>
  <c r="BP340" i="3"/>
  <c r="BR340" i="3"/>
  <c r="BT340" i="3"/>
  <c r="BL340" i="3"/>
  <c r="AZ340" i="3"/>
  <c r="BA341" i="3"/>
  <c r="BN341" i="3"/>
  <c r="BP341" i="3"/>
  <c r="BR341" i="3"/>
  <c r="BT341" i="3"/>
  <c r="BL341" i="3"/>
  <c r="AZ341" i="3"/>
  <c r="BA342" i="3"/>
  <c r="BN342" i="3"/>
  <c r="BP342" i="3"/>
  <c r="BR342" i="3"/>
  <c r="BT342" i="3"/>
  <c r="BL342" i="3"/>
  <c r="AZ342" i="3"/>
  <c r="BA343" i="3"/>
  <c r="BN343" i="3"/>
  <c r="BP343" i="3"/>
  <c r="BR343" i="3"/>
  <c r="BT343" i="3"/>
  <c r="BL343" i="3"/>
  <c r="AZ343" i="3"/>
  <c r="BA344" i="3"/>
  <c r="BN344" i="3"/>
  <c r="BP344" i="3"/>
  <c r="BR344" i="3"/>
  <c r="BT344" i="3"/>
  <c r="BL344" i="3"/>
  <c r="AZ344" i="3"/>
  <c r="BA345" i="3"/>
  <c r="BN345" i="3"/>
  <c r="BP345" i="3"/>
  <c r="BR345" i="3"/>
  <c r="BT345" i="3"/>
  <c r="BL345" i="3"/>
  <c r="AZ345" i="3"/>
  <c r="BA346" i="3"/>
  <c r="BN346" i="3"/>
  <c r="BP346" i="3"/>
  <c r="BR346" i="3"/>
  <c r="BT346" i="3"/>
  <c r="BL346" i="3"/>
  <c r="AZ346" i="3"/>
  <c r="BA347" i="3"/>
  <c r="BN347" i="3"/>
  <c r="BP347" i="3"/>
  <c r="BR347" i="3"/>
  <c r="BT347" i="3"/>
  <c r="BL347" i="3"/>
  <c r="AZ347" i="3"/>
  <c r="BA348" i="3"/>
  <c r="BN348" i="3"/>
  <c r="BP348" i="3"/>
  <c r="BR348" i="3"/>
  <c r="BT348" i="3"/>
  <c r="BL348" i="3"/>
  <c r="AZ348" i="3"/>
  <c r="BA349" i="3"/>
  <c r="BN349" i="3"/>
  <c r="BP349" i="3"/>
  <c r="BR349" i="3"/>
  <c r="BT349" i="3"/>
  <c r="BL349" i="3"/>
  <c r="AZ349" i="3"/>
  <c r="BA350" i="3"/>
  <c r="BN350" i="3"/>
  <c r="BP350" i="3"/>
  <c r="BR350" i="3"/>
  <c r="BT350" i="3"/>
  <c r="BL350" i="3"/>
  <c r="AZ350" i="3"/>
  <c r="BA351" i="3"/>
  <c r="BN351" i="3"/>
  <c r="BP351" i="3"/>
  <c r="BR351" i="3"/>
  <c r="BT351" i="3"/>
  <c r="BL351" i="3"/>
  <c r="AZ351" i="3"/>
  <c r="BA352" i="3"/>
  <c r="BN352" i="3"/>
  <c r="BP352" i="3"/>
  <c r="BR352" i="3"/>
  <c r="BT352" i="3"/>
  <c r="BL352" i="3"/>
  <c r="AZ352" i="3"/>
  <c r="BA353" i="3"/>
  <c r="BN353" i="3"/>
  <c r="BP353" i="3"/>
  <c r="BR353" i="3"/>
  <c r="BT353" i="3"/>
  <c r="BL353" i="3"/>
  <c r="AZ353" i="3"/>
  <c r="BA354" i="3"/>
  <c r="BN354" i="3"/>
  <c r="BP354" i="3"/>
  <c r="BR354" i="3"/>
  <c r="BT354" i="3"/>
  <c r="BL354" i="3"/>
  <c r="AZ354" i="3"/>
  <c r="BA355" i="3"/>
  <c r="BN355" i="3"/>
  <c r="BP355" i="3"/>
  <c r="BR355" i="3"/>
  <c r="BT355" i="3"/>
  <c r="BL355" i="3"/>
  <c r="AZ355" i="3"/>
  <c r="BA356" i="3"/>
  <c r="BN356" i="3"/>
  <c r="BP356" i="3"/>
  <c r="BR356" i="3"/>
  <c r="BT356" i="3"/>
  <c r="BL356" i="3"/>
  <c r="AZ356" i="3"/>
  <c r="BA357" i="3"/>
  <c r="BN357" i="3"/>
  <c r="BP357" i="3"/>
  <c r="BR357" i="3"/>
  <c r="BT357" i="3"/>
  <c r="BL357" i="3"/>
  <c r="AZ357" i="3"/>
  <c r="BA358" i="3"/>
  <c r="BN358" i="3"/>
  <c r="BP358" i="3"/>
  <c r="BR358" i="3"/>
  <c r="BT358" i="3"/>
  <c r="BL358" i="3"/>
  <c r="AZ358" i="3"/>
  <c r="BA359" i="3"/>
  <c r="BN359" i="3"/>
  <c r="BP359" i="3"/>
  <c r="BR359" i="3"/>
  <c r="BT359" i="3"/>
  <c r="BL359" i="3"/>
  <c r="AZ359" i="3"/>
  <c r="BA360" i="3"/>
  <c r="BN360" i="3"/>
  <c r="BP360" i="3"/>
  <c r="BR360" i="3"/>
  <c r="BT360" i="3"/>
  <c r="BL360" i="3"/>
  <c r="AZ360" i="3"/>
  <c r="BA361" i="3"/>
  <c r="BN361" i="3"/>
  <c r="BP361" i="3"/>
  <c r="BR361" i="3"/>
  <c r="BT361" i="3"/>
  <c r="BL361" i="3"/>
  <c r="AZ361" i="3"/>
  <c r="BA362" i="3"/>
  <c r="BN362" i="3"/>
  <c r="BP362" i="3"/>
  <c r="BR362" i="3"/>
  <c r="BT362" i="3"/>
  <c r="BL362" i="3"/>
  <c r="AZ362" i="3"/>
  <c r="BA363" i="3"/>
  <c r="BN363" i="3"/>
  <c r="BP363" i="3"/>
  <c r="BR363" i="3"/>
  <c r="BT363" i="3"/>
  <c r="BL363" i="3"/>
  <c r="AZ363" i="3"/>
  <c r="BA364" i="3"/>
  <c r="BN364" i="3"/>
  <c r="BP364" i="3"/>
  <c r="BR364" i="3"/>
  <c r="BT364" i="3"/>
  <c r="BL364" i="3"/>
  <c r="AZ364" i="3"/>
  <c r="BA365" i="3"/>
  <c r="BN365" i="3"/>
  <c r="BP365" i="3"/>
  <c r="BR365" i="3"/>
  <c r="BT365" i="3"/>
  <c r="BL365" i="3"/>
  <c r="AZ365" i="3"/>
  <c r="BA366" i="3"/>
  <c r="BN366" i="3"/>
  <c r="BP366" i="3"/>
  <c r="BR366" i="3"/>
  <c r="BT366" i="3"/>
  <c r="BL366" i="3"/>
  <c r="AZ366" i="3"/>
  <c r="BA367" i="3"/>
  <c r="BN367" i="3"/>
  <c r="BP367" i="3"/>
  <c r="BR367" i="3"/>
  <c r="BT367" i="3"/>
  <c r="BL367" i="3"/>
  <c r="AZ367" i="3"/>
  <c r="BA368" i="3"/>
  <c r="BN368" i="3"/>
  <c r="BP368" i="3"/>
  <c r="BR368" i="3"/>
  <c r="BT368" i="3"/>
  <c r="BL368" i="3"/>
  <c r="AZ368" i="3"/>
  <c r="BA369" i="3"/>
  <c r="BN369" i="3"/>
  <c r="BP369" i="3"/>
  <c r="BR369" i="3"/>
  <c r="BT369" i="3"/>
  <c r="BL369" i="3"/>
  <c r="AZ369" i="3"/>
  <c r="BA370" i="3"/>
  <c r="BN370" i="3"/>
  <c r="BP370" i="3"/>
  <c r="BR370" i="3"/>
  <c r="BT370" i="3"/>
  <c r="BL370" i="3"/>
  <c r="AZ370" i="3"/>
  <c r="BA371" i="3"/>
  <c r="BN371" i="3"/>
  <c r="BP371" i="3"/>
  <c r="BR371" i="3"/>
  <c r="BT371" i="3"/>
  <c r="BL371" i="3"/>
  <c r="AZ371" i="3"/>
  <c r="BA372" i="3"/>
  <c r="BN372" i="3"/>
  <c r="BP372" i="3"/>
  <c r="BR372" i="3"/>
  <c r="BT372" i="3"/>
  <c r="BL372" i="3"/>
  <c r="AZ372" i="3"/>
  <c r="BA373" i="3"/>
  <c r="BN373" i="3"/>
  <c r="BP373" i="3"/>
  <c r="BR373" i="3"/>
  <c r="BT373" i="3"/>
  <c r="BL373" i="3"/>
  <c r="AZ373" i="3"/>
  <c r="BA374" i="3"/>
  <c r="BN374" i="3"/>
  <c r="BP374" i="3"/>
  <c r="BR374" i="3"/>
  <c r="BT374" i="3"/>
  <c r="BL374" i="3"/>
  <c r="AZ374" i="3"/>
  <c r="BA375" i="3"/>
  <c r="BN375" i="3"/>
  <c r="BP375" i="3"/>
  <c r="BR375" i="3"/>
  <c r="BT375" i="3"/>
  <c r="BL375" i="3"/>
  <c r="AZ375" i="3"/>
  <c r="BA376" i="3"/>
  <c r="BN376" i="3"/>
  <c r="BP376" i="3"/>
  <c r="BR376" i="3"/>
  <c r="BT376" i="3"/>
  <c r="BL376" i="3"/>
  <c r="AZ376" i="3"/>
  <c r="BA377" i="3"/>
  <c r="BN377" i="3"/>
  <c r="BP377" i="3"/>
  <c r="BR377" i="3"/>
  <c r="BT377" i="3"/>
  <c r="BL377" i="3"/>
  <c r="AZ377" i="3"/>
  <c r="BA378" i="3"/>
  <c r="BN378" i="3"/>
  <c r="BP378" i="3"/>
  <c r="BR378" i="3"/>
  <c r="BT378" i="3"/>
  <c r="BL378" i="3"/>
  <c r="AZ378" i="3"/>
  <c r="BA379" i="3"/>
  <c r="BN379" i="3"/>
  <c r="BP379" i="3"/>
  <c r="BR379" i="3"/>
  <c r="BT379" i="3"/>
  <c r="BL379" i="3"/>
  <c r="AZ379" i="3"/>
  <c r="BA380" i="3"/>
  <c r="BN380" i="3"/>
  <c r="BP380" i="3"/>
  <c r="BR380" i="3"/>
  <c r="BT380" i="3"/>
  <c r="BL380" i="3"/>
  <c r="AZ380" i="3"/>
  <c r="BA381" i="3"/>
  <c r="BN381" i="3"/>
  <c r="BP381" i="3"/>
  <c r="BR381" i="3"/>
  <c r="BT381" i="3"/>
  <c r="BL381" i="3"/>
  <c r="AZ381" i="3"/>
  <c r="BA382" i="3"/>
  <c r="BN382" i="3"/>
  <c r="BP382" i="3"/>
  <c r="BR382" i="3"/>
  <c r="BT382" i="3"/>
  <c r="BL382" i="3"/>
  <c r="AZ382" i="3"/>
  <c r="BA383" i="3"/>
  <c r="BN383" i="3"/>
  <c r="BP383" i="3"/>
  <c r="BR383" i="3"/>
  <c r="BT383" i="3"/>
  <c r="BL383" i="3"/>
  <c r="AZ383" i="3"/>
  <c r="BA384" i="3"/>
  <c r="BN384" i="3"/>
  <c r="BP384" i="3"/>
  <c r="BR384" i="3"/>
  <c r="BT384" i="3"/>
  <c r="BL384" i="3"/>
  <c r="AZ384" i="3"/>
  <c r="BA385" i="3"/>
  <c r="BN385" i="3"/>
  <c r="BP385" i="3"/>
  <c r="BR385" i="3"/>
  <c r="BT385" i="3"/>
  <c r="BL385" i="3"/>
  <c r="AZ385" i="3"/>
  <c r="BA386" i="3"/>
  <c r="BN386" i="3"/>
  <c r="BP386" i="3"/>
  <c r="BR386" i="3"/>
  <c r="BT386" i="3"/>
  <c r="BL386" i="3"/>
  <c r="AZ386" i="3"/>
  <c r="BA387" i="3"/>
  <c r="BN387" i="3"/>
  <c r="BP387" i="3"/>
  <c r="BR387" i="3"/>
  <c r="BT387" i="3"/>
  <c r="BL387" i="3"/>
  <c r="AZ387" i="3"/>
  <c r="BA388" i="3"/>
  <c r="BN388" i="3"/>
  <c r="BP388" i="3"/>
  <c r="BR388" i="3"/>
  <c r="BT388" i="3"/>
  <c r="BL388" i="3"/>
  <c r="AZ388" i="3"/>
  <c r="BA389" i="3"/>
  <c r="BN389" i="3"/>
  <c r="BP389" i="3"/>
  <c r="BR389" i="3"/>
  <c r="BT389" i="3"/>
  <c r="BL389" i="3"/>
  <c r="AZ389" i="3"/>
  <c r="BA390" i="3"/>
  <c r="BN390" i="3"/>
  <c r="BP390" i="3"/>
  <c r="BR390" i="3"/>
  <c r="BT390" i="3"/>
  <c r="BL390" i="3"/>
  <c r="AZ390" i="3"/>
  <c r="BA391" i="3"/>
  <c r="BN391" i="3"/>
  <c r="BP391" i="3"/>
  <c r="BR391" i="3"/>
  <c r="BT391" i="3"/>
  <c r="BL391" i="3"/>
  <c r="AZ391" i="3"/>
  <c r="BA392" i="3"/>
  <c r="BN392" i="3"/>
  <c r="BP392" i="3"/>
  <c r="BR392" i="3"/>
  <c r="BT392" i="3"/>
  <c r="BL392" i="3"/>
  <c r="AZ392" i="3"/>
  <c r="BA393" i="3"/>
  <c r="BN393" i="3"/>
  <c r="BP393" i="3"/>
  <c r="BR393" i="3"/>
  <c r="BT393" i="3"/>
  <c r="BL393" i="3"/>
  <c r="AZ393" i="3"/>
  <c r="BA394" i="3"/>
  <c r="BN394" i="3"/>
  <c r="BP394" i="3"/>
  <c r="BR394" i="3"/>
  <c r="BT394" i="3"/>
  <c r="BL394" i="3"/>
  <c r="AZ394" i="3"/>
  <c r="BA395" i="3"/>
  <c r="BN395" i="3"/>
  <c r="BP395" i="3"/>
  <c r="BR395" i="3"/>
  <c r="BT395" i="3"/>
  <c r="BL395" i="3"/>
  <c r="AZ395" i="3"/>
  <c r="BA396" i="3"/>
  <c r="BN396" i="3"/>
  <c r="BP396" i="3"/>
  <c r="BR396" i="3"/>
  <c r="BT396" i="3"/>
  <c r="BL396" i="3"/>
  <c r="AZ396" i="3"/>
  <c r="BA397" i="3"/>
  <c r="BN397" i="3"/>
  <c r="BP397" i="3"/>
  <c r="BR397" i="3"/>
  <c r="BT397" i="3"/>
  <c r="BL397" i="3"/>
  <c r="AZ397" i="3"/>
  <c r="BA398" i="3"/>
  <c r="BN398" i="3"/>
  <c r="BP398" i="3"/>
  <c r="BR398" i="3"/>
  <c r="BT398" i="3"/>
  <c r="BL398" i="3"/>
  <c r="AZ398" i="3"/>
  <c r="BA399" i="3"/>
  <c r="BN399" i="3"/>
  <c r="BP399" i="3"/>
  <c r="BR399" i="3"/>
  <c r="BT399" i="3"/>
  <c r="BL399" i="3"/>
  <c r="AZ399" i="3"/>
  <c r="BA400" i="3"/>
  <c r="BN400" i="3"/>
  <c r="BP400" i="3"/>
  <c r="BR400" i="3"/>
  <c r="BT400" i="3"/>
  <c r="BL400" i="3"/>
  <c r="AZ400" i="3"/>
  <c r="BA401" i="3"/>
  <c r="BN401" i="3"/>
  <c r="BP401" i="3"/>
  <c r="BR401" i="3"/>
  <c r="BT401" i="3"/>
  <c r="BL401" i="3"/>
  <c r="AZ401" i="3"/>
  <c r="BA402" i="3"/>
  <c r="BN402" i="3"/>
  <c r="BP402" i="3"/>
  <c r="BR402" i="3"/>
  <c r="BT402" i="3"/>
  <c r="BL402" i="3"/>
  <c r="AZ402" i="3"/>
  <c r="BA403" i="3"/>
  <c r="BN403" i="3"/>
  <c r="BP403" i="3"/>
  <c r="BR403" i="3"/>
  <c r="BT403" i="3"/>
  <c r="BL403" i="3"/>
  <c r="AZ403" i="3"/>
  <c r="BA404" i="3"/>
  <c r="BN404" i="3"/>
  <c r="BP404" i="3"/>
  <c r="BR404" i="3"/>
  <c r="BT404" i="3"/>
  <c r="BL404" i="3"/>
  <c r="AZ404" i="3"/>
  <c r="BA405" i="3"/>
  <c r="BN405" i="3"/>
  <c r="BP405" i="3"/>
  <c r="BR405" i="3"/>
  <c r="BT405" i="3"/>
  <c r="BL405" i="3"/>
  <c r="AZ405" i="3"/>
  <c r="BA406" i="3"/>
  <c r="BN406" i="3"/>
  <c r="BP406" i="3"/>
  <c r="BR406" i="3"/>
  <c r="BT406" i="3"/>
  <c r="BL406" i="3"/>
  <c r="AZ406" i="3"/>
  <c r="BA407" i="3"/>
  <c r="BN407" i="3"/>
  <c r="BP407" i="3"/>
  <c r="BR407" i="3"/>
  <c r="BT407" i="3"/>
  <c r="BL407" i="3"/>
  <c r="AZ407" i="3"/>
  <c r="BA408" i="3"/>
  <c r="BN408" i="3"/>
  <c r="BP408" i="3"/>
  <c r="BR408" i="3"/>
  <c r="BT408" i="3"/>
  <c r="BL408" i="3"/>
  <c r="AZ408" i="3"/>
  <c r="BA409" i="3"/>
  <c r="BN409" i="3"/>
  <c r="BP409" i="3"/>
  <c r="BR409" i="3"/>
  <c r="BT409" i="3"/>
  <c r="BL409" i="3"/>
  <c r="AZ409" i="3"/>
  <c r="BA410" i="3"/>
  <c r="BN410" i="3"/>
  <c r="BP410" i="3"/>
  <c r="BR410" i="3"/>
  <c r="BT410" i="3"/>
  <c r="BL410" i="3"/>
  <c r="AZ410" i="3"/>
  <c r="BA411" i="3"/>
  <c r="BN411" i="3"/>
  <c r="BP411" i="3"/>
  <c r="BR411" i="3"/>
  <c r="BT411" i="3"/>
  <c r="BL411" i="3"/>
  <c r="AZ411" i="3"/>
  <c r="BA412" i="3"/>
  <c r="BN412" i="3"/>
  <c r="BP412" i="3"/>
  <c r="BR412" i="3"/>
  <c r="BT412" i="3"/>
  <c r="BL412" i="3"/>
  <c r="AZ412" i="3"/>
  <c r="BA413" i="3"/>
  <c r="BN413" i="3"/>
  <c r="BP413" i="3"/>
  <c r="BR413" i="3"/>
  <c r="BT413" i="3"/>
  <c r="BL413" i="3"/>
  <c r="AZ413" i="3"/>
  <c r="BA414" i="3"/>
  <c r="BN414" i="3"/>
  <c r="BP414" i="3"/>
  <c r="BR414" i="3"/>
  <c r="BT414" i="3"/>
  <c r="BL414" i="3"/>
  <c r="AZ414" i="3"/>
  <c r="BA415" i="3"/>
  <c r="BN415" i="3"/>
  <c r="BP415" i="3"/>
  <c r="BR415" i="3"/>
  <c r="BT415" i="3"/>
  <c r="BL415" i="3"/>
  <c r="AZ415" i="3"/>
  <c r="BA416" i="3"/>
  <c r="BN416" i="3"/>
  <c r="BP416" i="3"/>
  <c r="BR416" i="3"/>
  <c r="BT416" i="3"/>
  <c r="BL416" i="3"/>
  <c r="AZ416" i="3"/>
  <c r="BA417" i="3"/>
  <c r="BN417" i="3"/>
  <c r="BP417" i="3"/>
  <c r="BR417" i="3"/>
  <c r="BT417" i="3"/>
  <c r="BL417" i="3"/>
  <c r="AZ417" i="3"/>
  <c r="BA418" i="3"/>
  <c r="BN418" i="3"/>
  <c r="BP418" i="3"/>
  <c r="BR418" i="3"/>
  <c r="BT418" i="3"/>
  <c r="BL418" i="3"/>
  <c r="AZ418" i="3"/>
  <c r="BA419" i="3"/>
  <c r="BN419" i="3"/>
  <c r="BP419" i="3"/>
  <c r="BR419" i="3"/>
  <c r="BT419" i="3"/>
  <c r="BL419" i="3"/>
  <c r="AZ419" i="3"/>
  <c r="BA420" i="3"/>
  <c r="BN420" i="3"/>
  <c r="BP420" i="3"/>
  <c r="BR420" i="3"/>
  <c r="BT420" i="3"/>
  <c r="BL420" i="3"/>
  <c r="AZ420" i="3"/>
  <c r="BA421" i="3"/>
  <c r="BN421" i="3"/>
  <c r="BP421" i="3"/>
  <c r="BR421" i="3"/>
  <c r="BT421" i="3"/>
  <c r="BL421" i="3"/>
  <c r="AZ421" i="3"/>
  <c r="BA422" i="3"/>
  <c r="BN422" i="3"/>
  <c r="BP422" i="3"/>
  <c r="BR422" i="3"/>
  <c r="BT422" i="3"/>
  <c r="BL422" i="3"/>
  <c r="AZ422" i="3"/>
  <c r="BA423" i="3"/>
  <c r="BN423" i="3"/>
  <c r="BP423" i="3"/>
  <c r="BR423" i="3"/>
  <c r="BT423" i="3"/>
  <c r="BL423" i="3"/>
  <c r="AZ423" i="3"/>
  <c r="BA424" i="3"/>
  <c r="BN424" i="3"/>
  <c r="BP424" i="3"/>
  <c r="BR424" i="3"/>
  <c r="BT424" i="3"/>
  <c r="BL424" i="3"/>
  <c r="AZ424" i="3"/>
  <c r="BA425" i="3"/>
  <c r="BN425" i="3"/>
  <c r="BP425" i="3"/>
  <c r="BR425" i="3"/>
  <c r="BT425" i="3"/>
  <c r="BL425" i="3"/>
  <c r="AZ425" i="3"/>
  <c r="BA426" i="3"/>
  <c r="BN426" i="3"/>
  <c r="BP426" i="3"/>
  <c r="BR426" i="3"/>
  <c r="BT426" i="3"/>
  <c r="BL426" i="3"/>
  <c r="AZ426" i="3"/>
  <c r="BA427" i="3"/>
  <c r="BN427" i="3"/>
  <c r="BP427" i="3"/>
  <c r="BR427" i="3"/>
  <c r="BT427" i="3"/>
  <c r="BL427" i="3"/>
  <c r="AZ427" i="3"/>
  <c r="BA428" i="3"/>
  <c r="BN428" i="3"/>
  <c r="BP428" i="3"/>
  <c r="BR428" i="3"/>
  <c r="BT428" i="3"/>
  <c r="BL428" i="3"/>
  <c r="AZ428" i="3"/>
  <c r="BA429" i="3"/>
  <c r="BN429" i="3"/>
  <c r="BP429" i="3"/>
  <c r="BR429" i="3"/>
  <c r="BT429" i="3"/>
  <c r="BL429" i="3"/>
  <c r="AZ429" i="3"/>
  <c r="BA430" i="3"/>
  <c r="BN430" i="3"/>
  <c r="BP430" i="3"/>
  <c r="BR430" i="3"/>
  <c r="BT430" i="3"/>
  <c r="BL430" i="3"/>
  <c r="AZ430" i="3"/>
  <c r="BA431" i="3"/>
  <c r="BN431" i="3"/>
  <c r="BP431" i="3"/>
  <c r="BR431" i="3"/>
  <c r="BT431" i="3"/>
  <c r="BL431" i="3"/>
  <c r="AZ431" i="3"/>
  <c r="BA432" i="3"/>
  <c r="BN432" i="3"/>
  <c r="BP432" i="3"/>
  <c r="BR432" i="3"/>
  <c r="BT432" i="3"/>
  <c r="BL432" i="3"/>
  <c r="AZ432" i="3"/>
  <c r="BA433" i="3"/>
  <c r="BN433" i="3"/>
  <c r="BP433" i="3"/>
  <c r="BR433" i="3"/>
  <c r="BT433" i="3"/>
  <c r="BL433" i="3"/>
  <c r="AZ433" i="3"/>
  <c r="BA434" i="3"/>
  <c r="BN434" i="3"/>
  <c r="BP434" i="3"/>
  <c r="BR434" i="3"/>
  <c r="BT434" i="3"/>
  <c r="BL434" i="3"/>
  <c r="AZ434" i="3"/>
  <c r="BA435" i="3"/>
  <c r="BN435" i="3"/>
  <c r="BP435" i="3"/>
  <c r="BR435" i="3"/>
  <c r="BT435" i="3"/>
  <c r="BL435" i="3"/>
  <c r="AZ435" i="3"/>
  <c r="BA436" i="3"/>
  <c r="BN436" i="3"/>
  <c r="BP436" i="3"/>
  <c r="BR436" i="3"/>
  <c r="BT436" i="3"/>
  <c r="BL436" i="3"/>
  <c r="AZ436" i="3"/>
  <c r="BA437" i="3"/>
  <c r="BN437" i="3"/>
  <c r="BP437" i="3"/>
  <c r="BR437" i="3"/>
  <c r="BT437" i="3"/>
  <c r="BL437" i="3"/>
  <c r="AZ437" i="3"/>
  <c r="BA438" i="3"/>
  <c r="BN438" i="3"/>
  <c r="BP438" i="3"/>
  <c r="BR438" i="3"/>
  <c r="BT438" i="3"/>
  <c r="BL438" i="3"/>
  <c r="AZ438" i="3"/>
  <c r="BA439" i="3"/>
  <c r="BN439" i="3"/>
  <c r="BP439" i="3"/>
  <c r="BR439" i="3"/>
  <c r="BT439" i="3"/>
  <c r="BL439" i="3"/>
  <c r="AZ439" i="3"/>
  <c r="BA440" i="3"/>
  <c r="BN440" i="3"/>
  <c r="BP440" i="3"/>
  <c r="BR440" i="3"/>
  <c r="BT440" i="3"/>
  <c r="BL440" i="3"/>
  <c r="AZ440" i="3"/>
  <c r="BA441" i="3"/>
  <c r="BN441" i="3"/>
  <c r="BP441" i="3"/>
  <c r="BR441" i="3"/>
  <c r="BT441" i="3"/>
  <c r="BL441" i="3"/>
  <c r="AZ441" i="3"/>
  <c r="BA442" i="3"/>
  <c r="BN442" i="3"/>
  <c r="BP442" i="3"/>
  <c r="BR442" i="3"/>
  <c r="BT442" i="3"/>
  <c r="BL442" i="3"/>
  <c r="AZ442" i="3"/>
  <c r="BA443" i="3"/>
  <c r="BN443" i="3"/>
  <c r="BP443" i="3"/>
  <c r="BR443" i="3"/>
  <c r="BT443" i="3"/>
  <c r="BL443" i="3"/>
  <c r="AZ443" i="3"/>
  <c r="BA444" i="3"/>
  <c r="BN444" i="3"/>
  <c r="BP444" i="3"/>
  <c r="BR444" i="3"/>
  <c r="BT444" i="3"/>
  <c r="BL444" i="3"/>
  <c r="AZ444" i="3"/>
  <c r="BA445" i="3"/>
  <c r="BN445" i="3"/>
  <c r="BP445" i="3"/>
  <c r="BR445" i="3"/>
  <c r="BT445" i="3"/>
  <c r="BL445" i="3"/>
  <c r="AZ445" i="3"/>
  <c r="BA446" i="3"/>
  <c r="BN446" i="3"/>
  <c r="BP446" i="3"/>
  <c r="BR446" i="3"/>
  <c r="BT446" i="3"/>
  <c r="BL446" i="3"/>
  <c r="AZ446" i="3"/>
  <c r="BA447" i="3"/>
  <c r="BN447" i="3"/>
  <c r="BP447" i="3"/>
  <c r="BR447" i="3"/>
  <c r="BT447" i="3"/>
  <c r="BL447" i="3"/>
  <c r="AZ447" i="3"/>
  <c r="BA448" i="3"/>
  <c r="BN448" i="3"/>
  <c r="BP448" i="3"/>
  <c r="BR448" i="3"/>
  <c r="BT448" i="3"/>
  <c r="BL448" i="3"/>
  <c r="AZ448" i="3"/>
  <c r="BA449" i="3"/>
  <c r="BN449" i="3"/>
  <c r="BP449" i="3"/>
  <c r="BR449" i="3"/>
  <c r="BT449" i="3"/>
  <c r="BL449" i="3"/>
  <c r="AZ449" i="3"/>
  <c r="BA450" i="3"/>
  <c r="BN450" i="3"/>
  <c r="BP450" i="3"/>
  <c r="BR450" i="3"/>
  <c r="BT450" i="3"/>
  <c r="BL450" i="3"/>
  <c r="AZ450" i="3"/>
  <c r="BA451" i="3"/>
  <c r="BN451" i="3"/>
  <c r="BP451" i="3"/>
  <c r="BR451" i="3"/>
  <c r="BT451" i="3"/>
  <c r="BL451" i="3"/>
  <c r="AZ451" i="3"/>
  <c r="BA452" i="3"/>
  <c r="BN452" i="3"/>
  <c r="BP452" i="3"/>
  <c r="BR452" i="3"/>
  <c r="BT452" i="3"/>
  <c r="BL452" i="3"/>
  <c r="AZ452" i="3"/>
  <c r="BA453" i="3"/>
  <c r="BN453" i="3"/>
  <c r="BP453" i="3"/>
  <c r="BR453" i="3"/>
  <c r="BT453" i="3"/>
  <c r="BL453" i="3"/>
  <c r="AZ453" i="3"/>
  <c r="BA454" i="3"/>
  <c r="BN454" i="3"/>
  <c r="BP454" i="3"/>
  <c r="BR454" i="3"/>
  <c r="BT454" i="3"/>
  <c r="BL454" i="3"/>
  <c r="AZ454" i="3"/>
  <c r="BA455" i="3"/>
  <c r="BN455" i="3"/>
  <c r="BP455" i="3"/>
  <c r="BR455" i="3"/>
  <c r="BT455" i="3"/>
  <c r="BL455" i="3"/>
  <c r="AZ455" i="3"/>
  <c r="BA456" i="3"/>
  <c r="BN456" i="3"/>
  <c r="BP456" i="3"/>
  <c r="BR456" i="3"/>
  <c r="BT456" i="3"/>
  <c r="BL456" i="3"/>
  <c r="AZ456" i="3"/>
  <c r="BA457" i="3"/>
  <c r="BN457" i="3"/>
  <c r="BP457" i="3"/>
  <c r="BR457" i="3"/>
  <c r="BT457" i="3"/>
  <c r="BL457" i="3"/>
  <c r="AZ457" i="3"/>
  <c r="BA458" i="3"/>
  <c r="BN458" i="3"/>
  <c r="BP458" i="3"/>
  <c r="BR458" i="3"/>
  <c r="BT458" i="3"/>
  <c r="BL458" i="3"/>
  <c r="AZ458" i="3"/>
  <c r="BA459" i="3"/>
  <c r="BN459" i="3"/>
  <c r="BP459" i="3"/>
  <c r="BR459" i="3"/>
  <c r="BT459" i="3"/>
  <c r="BL459" i="3"/>
  <c r="AZ459" i="3"/>
  <c r="BA460" i="3"/>
  <c r="BN460" i="3"/>
  <c r="BP460" i="3"/>
  <c r="BR460" i="3"/>
  <c r="BT460" i="3"/>
  <c r="BL460" i="3"/>
  <c r="AZ460" i="3"/>
  <c r="BA461" i="3"/>
  <c r="BN461" i="3"/>
  <c r="BP461" i="3"/>
  <c r="BR461" i="3"/>
  <c r="BT461" i="3"/>
  <c r="BL461" i="3"/>
  <c r="AZ461" i="3"/>
  <c r="BA462" i="3"/>
  <c r="BN462" i="3"/>
  <c r="BP462" i="3"/>
  <c r="BR462" i="3"/>
  <c r="BT462" i="3"/>
  <c r="BL462" i="3"/>
  <c r="AZ462" i="3"/>
  <c r="BA463" i="3"/>
  <c r="BN463" i="3"/>
  <c r="BP463" i="3"/>
  <c r="BR463" i="3"/>
  <c r="BT463" i="3"/>
  <c r="BL463" i="3"/>
  <c r="AZ463" i="3"/>
  <c r="BA464" i="3"/>
  <c r="BN464" i="3"/>
  <c r="BP464" i="3"/>
  <c r="BR464" i="3"/>
  <c r="BT464" i="3"/>
  <c r="BL464" i="3"/>
  <c r="AZ464" i="3"/>
  <c r="BA465" i="3"/>
  <c r="BN465" i="3"/>
  <c r="BP465" i="3"/>
  <c r="BR465" i="3"/>
  <c r="BT465" i="3"/>
  <c r="BL465" i="3"/>
  <c r="AZ465" i="3"/>
  <c r="BA466" i="3"/>
  <c r="BN466" i="3"/>
  <c r="BP466" i="3"/>
  <c r="BR466" i="3"/>
  <c r="BT466" i="3"/>
  <c r="BL466" i="3"/>
  <c r="AZ466" i="3"/>
  <c r="BA467" i="3"/>
  <c r="BN467" i="3"/>
  <c r="BP467" i="3"/>
  <c r="BR467" i="3"/>
  <c r="BT467" i="3"/>
  <c r="BL467" i="3"/>
  <c r="AZ467" i="3"/>
  <c r="BA468" i="3"/>
  <c r="BN468" i="3"/>
  <c r="BP468" i="3"/>
  <c r="BR468" i="3"/>
  <c r="BT468" i="3"/>
  <c r="BL468" i="3"/>
  <c r="AZ468" i="3"/>
  <c r="BA469" i="3"/>
  <c r="BN469" i="3"/>
  <c r="BP469" i="3"/>
  <c r="BR469" i="3"/>
  <c r="BT469" i="3"/>
  <c r="BL469" i="3"/>
  <c r="AZ469" i="3"/>
  <c r="BA470" i="3"/>
  <c r="BN470" i="3"/>
  <c r="BP470" i="3"/>
  <c r="BR470" i="3"/>
  <c r="BT470" i="3"/>
  <c r="BL470" i="3"/>
  <c r="AZ470" i="3"/>
  <c r="BA471" i="3"/>
  <c r="BN471" i="3"/>
  <c r="BP471" i="3"/>
  <c r="BR471" i="3"/>
  <c r="BT471" i="3"/>
  <c r="BL471" i="3"/>
  <c r="AZ471" i="3"/>
  <c r="BA472" i="3"/>
  <c r="BN472" i="3"/>
  <c r="BP472" i="3"/>
  <c r="BR472" i="3"/>
  <c r="BT472" i="3"/>
  <c r="BL472" i="3"/>
  <c r="AZ472" i="3"/>
  <c r="BA473" i="3"/>
  <c r="BN473" i="3"/>
  <c r="BP473" i="3"/>
  <c r="BR473" i="3"/>
  <c r="BT473" i="3"/>
  <c r="BL473" i="3"/>
  <c r="AZ473" i="3"/>
  <c r="BA474" i="3"/>
  <c r="BN474" i="3"/>
  <c r="BP474" i="3"/>
  <c r="BR474" i="3"/>
  <c r="BT474" i="3"/>
  <c r="BL474" i="3"/>
  <c r="AZ474" i="3"/>
  <c r="BA475" i="3"/>
  <c r="BN475" i="3"/>
  <c r="BP475" i="3"/>
  <c r="BR475" i="3"/>
  <c r="BT475" i="3"/>
  <c r="BL475" i="3"/>
  <c r="AZ475" i="3"/>
  <c r="BA476" i="3"/>
  <c r="BN476" i="3"/>
  <c r="BP476" i="3"/>
  <c r="BR476" i="3"/>
  <c r="BT476" i="3"/>
  <c r="BL476" i="3"/>
  <c r="AZ476" i="3"/>
  <c r="BA477" i="3"/>
  <c r="BN477" i="3"/>
  <c r="BP477" i="3"/>
  <c r="BR477" i="3"/>
  <c r="BT477" i="3"/>
  <c r="BL477" i="3"/>
  <c r="AZ477" i="3"/>
  <c r="BA478" i="3"/>
  <c r="BN478" i="3"/>
  <c r="BP478" i="3"/>
  <c r="BR478" i="3"/>
  <c r="BT478" i="3"/>
  <c r="BL478" i="3"/>
  <c r="AZ478" i="3"/>
  <c r="BA479" i="3"/>
  <c r="BN479" i="3"/>
  <c r="BP479" i="3"/>
  <c r="BR479" i="3"/>
  <c r="BT479" i="3"/>
  <c r="BL479" i="3"/>
  <c r="AZ479" i="3"/>
  <c r="BA480" i="3"/>
  <c r="BN480" i="3"/>
  <c r="BP480" i="3"/>
  <c r="BR480" i="3"/>
  <c r="BT480" i="3"/>
  <c r="BL480" i="3"/>
  <c r="AZ480" i="3"/>
  <c r="BA481" i="3"/>
  <c r="BN481" i="3"/>
  <c r="BP481" i="3"/>
  <c r="BR481" i="3"/>
  <c r="BT481" i="3"/>
  <c r="BL481" i="3"/>
  <c r="AZ481" i="3"/>
  <c r="BA482" i="3"/>
  <c r="BN482" i="3"/>
  <c r="BP482" i="3"/>
  <c r="BR482" i="3"/>
  <c r="BT482" i="3"/>
  <c r="BL482" i="3"/>
  <c r="AZ482" i="3"/>
  <c r="BA483" i="3"/>
  <c r="BN483" i="3"/>
  <c r="BP483" i="3"/>
  <c r="BR483" i="3"/>
  <c r="BT483" i="3"/>
  <c r="BL483" i="3"/>
  <c r="AZ483" i="3"/>
  <c r="BA484" i="3"/>
  <c r="BN484" i="3"/>
  <c r="BP484" i="3"/>
  <c r="BR484" i="3"/>
  <c r="BT484" i="3"/>
  <c r="BL484" i="3"/>
  <c r="AZ484" i="3"/>
  <c r="BA485" i="3"/>
  <c r="BN485" i="3"/>
  <c r="BP485" i="3"/>
  <c r="BR485" i="3"/>
  <c r="BT485" i="3"/>
  <c r="BL485" i="3"/>
  <c r="AZ485" i="3"/>
  <c r="BA486" i="3"/>
  <c r="BN486" i="3"/>
  <c r="BP486" i="3"/>
  <c r="BR486" i="3"/>
  <c r="BT486" i="3"/>
  <c r="BL486" i="3"/>
  <c r="AZ486" i="3"/>
  <c r="BA487" i="3"/>
  <c r="BN487" i="3"/>
  <c r="BP487" i="3"/>
  <c r="BR487" i="3"/>
  <c r="BT487" i="3"/>
  <c r="BL487" i="3"/>
  <c r="AZ487" i="3"/>
  <c r="BA488" i="3"/>
  <c r="BN488" i="3"/>
  <c r="BP488" i="3"/>
  <c r="BR488" i="3"/>
  <c r="BT488" i="3"/>
  <c r="BL488" i="3"/>
  <c r="AZ488" i="3"/>
  <c r="BA489" i="3"/>
  <c r="BN489" i="3"/>
  <c r="BP489" i="3"/>
  <c r="BR489" i="3"/>
  <c r="BT489" i="3"/>
  <c r="BL489" i="3"/>
  <c r="AZ489" i="3"/>
  <c r="BA490" i="3"/>
  <c r="BN490" i="3"/>
  <c r="BP490" i="3"/>
  <c r="BR490" i="3"/>
  <c r="BT490" i="3"/>
  <c r="BL490" i="3"/>
  <c r="AZ490" i="3"/>
  <c r="BA491" i="3"/>
  <c r="BN491" i="3"/>
  <c r="BP491" i="3"/>
  <c r="BR491" i="3"/>
  <c r="BT491" i="3"/>
  <c r="BL491" i="3"/>
  <c r="AZ491" i="3"/>
  <c r="BA492" i="3"/>
  <c r="BN492" i="3"/>
  <c r="BP492" i="3"/>
  <c r="BR492" i="3"/>
  <c r="BT492" i="3"/>
  <c r="BL492" i="3"/>
  <c r="AZ492" i="3"/>
  <c r="BA493" i="3"/>
  <c r="BN493" i="3"/>
  <c r="BP493" i="3"/>
  <c r="BR493" i="3"/>
  <c r="BT493" i="3"/>
  <c r="BL493" i="3"/>
  <c r="AZ493" i="3"/>
  <c r="BA494" i="3"/>
  <c r="BN494" i="3"/>
  <c r="BP494" i="3"/>
  <c r="BR494" i="3"/>
  <c r="BT494" i="3"/>
  <c r="BL494" i="3"/>
  <c r="AZ494" i="3"/>
  <c r="BA495" i="3"/>
  <c r="BN495" i="3"/>
  <c r="BP495" i="3"/>
  <c r="BR495" i="3"/>
  <c r="BT495" i="3"/>
  <c r="BL495" i="3"/>
  <c r="AZ495" i="3"/>
  <c r="BA496" i="3"/>
  <c r="BN496" i="3"/>
  <c r="BP496" i="3"/>
  <c r="BR496" i="3"/>
  <c r="BT496" i="3"/>
  <c r="BL496" i="3"/>
  <c r="AZ496" i="3"/>
  <c r="BA497" i="3"/>
  <c r="BN497" i="3"/>
  <c r="BP497" i="3"/>
  <c r="BR497" i="3"/>
  <c r="BT497" i="3"/>
  <c r="BL497" i="3"/>
  <c r="AZ497" i="3"/>
  <c r="BA498" i="3"/>
  <c r="BN498" i="3"/>
  <c r="BP498" i="3"/>
  <c r="BR498" i="3"/>
  <c r="BT498" i="3"/>
  <c r="BL498" i="3"/>
  <c r="AZ498" i="3"/>
  <c r="BA499" i="3"/>
  <c r="BN499" i="3"/>
  <c r="BP499" i="3"/>
  <c r="BR499" i="3"/>
  <c r="BT499" i="3"/>
  <c r="BL499" i="3"/>
  <c r="AZ499" i="3"/>
  <c r="BA500" i="3"/>
  <c r="BN500" i="3"/>
  <c r="BP500" i="3"/>
  <c r="BR500" i="3"/>
  <c r="BT500" i="3"/>
  <c r="BL500" i="3"/>
  <c r="AZ500" i="3"/>
  <c r="BA501" i="3"/>
  <c r="BN501" i="3"/>
  <c r="BP501" i="3"/>
  <c r="BR501" i="3"/>
  <c r="BT501" i="3"/>
  <c r="BL501" i="3"/>
  <c r="AZ501" i="3"/>
  <c r="BA502" i="3"/>
  <c r="BN502" i="3"/>
  <c r="BP502" i="3"/>
  <c r="BR502" i="3"/>
  <c r="BT502" i="3"/>
  <c r="BL502" i="3"/>
  <c r="AZ502" i="3"/>
  <c r="BA503" i="3"/>
  <c r="BN503" i="3"/>
  <c r="BP503" i="3"/>
  <c r="BR503" i="3"/>
  <c r="BT503" i="3"/>
  <c r="BL503" i="3"/>
  <c r="AZ503" i="3"/>
  <c r="BA504" i="3"/>
  <c r="BN504" i="3"/>
  <c r="BP504" i="3"/>
  <c r="BR504" i="3"/>
  <c r="BT504" i="3"/>
  <c r="BL504" i="3"/>
  <c r="AZ504" i="3"/>
  <c r="BA505" i="3"/>
  <c r="BN505" i="3"/>
  <c r="BP505" i="3"/>
  <c r="BR505" i="3"/>
  <c r="BT505" i="3"/>
  <c r="BL505" i="3"/>
  <c r="AZ505" i="3"/>
  <c r="BA506" i="3"/>
  <c r="BN506" i="3"/>
  <c r="BP506" i="3"/>
  <c r="BR506" i="3"/>
  <c r="BT506" i="3"/>
  <c r="BL506" i="3"/>
  <c r="AZ506" i="3"/>
  <c r="BA507" i="3"/>
  <c r="BN507" i="3"/>
  <c r="BP507" i="3"/>
  <c r="BR507" i="3"/>
  <c r="BT507" i="3"/>
  <c r="BL507" i="3"/>
  <c r="AZ507" i="3"/>
  <c r="BA508" i="3"/>
  <c r="BN508" i="3"/>
  <c r="BP508" i="3"/>
  <c r="BR508" i="3"/>
  <c r="BT508" i="3"/>
  <c r="BL508" i="3"/>
  <c r="AZ508" i="3"/>
  <c r="BA509" i="3"/>
  <c r="BN509" i="3"/>
  <c r="BP509" i="3"/>
  <c r="BR509" i="3"/>
  <c r="BT509" i="3"/>
  <c r="BL509" i="3"/>
  <c r="AZ509" i="3"/>
  <c r="BA510" i="3"/>
  <c r="BN510" i="3"/>
  <c r="BP510" i="3"/>
  <c r="BR510" i="3"/>
  <c r="BT510" i="3"/>
  <c r="BL510" i="3"/>
  <c r="AZ510" i="3"/>
  <c r="BA511" i="3"/>
  <c r="BN511" i="3"/>
  <c r="BP511" i="3"/>
  <c r="BR511" i="3"/>
  <c r="BT511" i="3"/>
  <c r="BL511" i="3"/>
  <c r="AZ511" i="3"/>
  <c r="BA512" i="3"/>
  <c r="BN512" i="3"/>
  <c r="BP512" i="3"/>
  <c r="BR512" i="3"/>
  <c r="BT512" i="3"/>
  <c r="BL512" i="3"/>
  <c r="AZ512" i="3"/>
  <c r="BA513" i="3"/>
  <c r="BN513" i="3"/>
  <c r="BP513" i="3"/>
  <c r="BR513" i="3"/>
  <c r="BT513" i="3"/>
  <c r="BL513" i="3"/>
  <c r="AZ513" i="3"/>
  <c r="BA514" i="3"/>
  <c r="BN514" i="3"/>
  <c r="BP514" i="3"/>
  <c r="BR514" i="3"/>
  <c r="BT514" i="3"/>
  <c r="BL514" i="3"/>
  <c r="AZ514" i="3"/>
  <c r="BA515" i="3"/>
  <c r="BN515" i="3"/>
  <c r="BP515" i="3"/>
  <c r="BR515" i="3"/>
  <c r="BT515" i="3"/>
  <c r="BL515" i="3"/>
  <c r="AZ515" i="3"/>
  <c r="BA516" i="3"/>
  <c r="BN516" i="3"/>
  <c r="BP516" i="3"/>
  <c r="BR516" i="3"/>
  <c r="BT516" i="3"/>
  <c r="BL516" i="3"/>
  <c r="AZ516" i="3"/>
  <c r="BA517" i="3"/>
  <c r="BN517" i="3"/>
  <c r="BP517" i="3"/>
  <c r="BR517" i="3"/>
  <c r="BT517" i="3"/>
  <c r="BL517" i="3"/>
  <c r="AZ517" i="3"/>
  <c r="BA518" i="3"/>
  <c r="BN518" i="3"/>
  <c r="BP518" i="3"/>
  <c r="BR518" i="3"/>
  <c r="BT518" i="3"/>
  <c r="BL518" i="3"/>
  <c r="AZ518" i="3"/>
  <c r="BA519" i="3"/>
  <c r="BN519" i="3"/>
  <c r="BP519" i="3"/>
  <c r="BR519" i="3"/>
  <c r="BT519" i="3"/>
  <c r="BL519" i="3"/>
  <c r="AZ519" i="3"/>
  <c r="BA520" i="3"/>
  <c r="BN520" i="3"/>
  <c r="BP520" i="3"/>
  <c r="BR520" i="3"/>
  <c r="BT520" i="3"/>
  <c r="BL520" i="3"/>
  <c r="AZ520" i="3"/>
  <c r="BA521" i="3"/>
  <c r="BN521" i="3"/>
  <c r="BP521" i="3"/>
  <c r="BR521" i="3"/>
  <c r="BT521" i="3"/>
  <c r="BL521" i="3"/>
  <c r="AZ521" i="3"/>
  <c r="BA522" i="3"/>
  <c r="BN522" i="3"/>
  <c r="BP522" i="3"/>
  <c r="BR522" i="3"/>
  <c r="BT522" i="3"/>
  <c r="BL522" i="3"/>
  <c r="AZ522" i="3"/>
  <c r="BA523" i="3"/>
  <c r="BN523" i="3"/>
  <c r="BP523" i="3"/>
  <c r="BR523" i="3"/>
  <c r="BT523" i="3"/>
  <c r="BL523" i="3"/>
  <c r="AZ523" i="3"/>
  <c r="BA524" i="3"/>
  <c r="BN524" i="3"/>
  <c r="BP524" i="3"/>
  <c r="BR524" i="3"/>
  <c r="BT524" i="3"/>
  <c r="BL524" i="3"/>
  <c r="AZ524" i="3"/>
  <c r="BA525" i="3"/>
  <c r="BN525" i="3"/>
  <c r="BP525" i="3"/>
  <c r="BR525" i="3"/>
  <c r="BT525" i="3"/>
  <c r="BL525" i="3"/>
  <c r="AZ525" i="3"/>
  <c r="BA526" i="3"/>
  <c r="BN526" i="3"/>
  <c r="BP526" i="3"/>
  <c r="BR526" i="3"/>
  <c r="BT526" i="3"/>
  <c r="BL526" i="3"/>
  <c r="AZ526" i="3"/>
  <c r="BA527" i="3"/>
  <c r="BN527" i="3"/>
  <c r="BP527" i="3"/>
  <c r="BR527" i="3"/>
  <c r="BT527" i="3"/>
  <c r="BL527" i="3"/>
  <c r="AZ527" i="3"/>
  <c r="BA528" i="3"/>
  <c r="BN528" i="3"/>
  <c r="BP528" i="3"/>
  <c r="BR528" i="3"/>
  <c r="BT528" i="3"/>
  <c r="BL528" i="3"/>
  <c r="AZ528" i="3"/>
  <c r="BA529" i="3"/>
  <c r="BN529" i="3"/>
  <c r="BP529" i="3"/>
  <c r="BR529" i="3"/>
  <c r="BT529" i="3"/>
  <c r="BL529" i="3"/>
  <c r="AZ529" i="3"/>
  <c r="BA530" i="3"/>
  <c r="BN530" i="3"/>
  <c r="BP530" i="3"/>
  <c r="BR530" i="3"/>
  <c r="BT530" i="3"/>
  <c r="BL530" i="3"/>
  <c r="AZ530" i="3"/>
  <c r="BA531" i="3"/>
  <c r="BN531" i="3"/>
  <c r="BP531" i="3"/>
  <c r="BR531" i="3"/>
  <c r="BT531" i="3"/>
  <c r="BL531" i="3"/>
  <c r="AZ531" i="3"/>
  <c r="BA532" i="3"/>
  <c r="BN532" i="3"/>
  <c r="BP532" i="3"/>
  <c r="BR532" i="3"/>
  <c r="BT532" i="3"/>
  <c r="BL532" i="3"/>
  <c r="AZ532" i="3"/>
  <c r="BA533" i="3"/>
  <c r="BN533" i="3"/>
  <c r="BP533" i="3"/>
  <c r="BR533" i="3"/>
  <c r="BT533" i="3"/>
  <c r="BL533" i="3"/>
  <c r="AZ533" i="3"/>
  <c r="BA534" i="3"/>
  <c r="BN534" i="3"/>
  <c r="BP534" i="3"/>
  <c r="BR534" i="3"/>
  <c r="BT534" i="3"/>
  <c r="BL534" i="3"/>
  <c r="AZ534" i="3"/>
  <c r="BA535" i="3"/>
  <c r="BN535" i="3"/>
  <c r="BP535" i="3"/>
  <c r="BR535" i="3"/>
  <c r="BT535" i="3"/>
  <c r="BL535" i="3"/>
  <c r="AZ535" i="3"/>
  <c r="BA536" i="3"/>
  <c r="BN536" i="3"/>
  <c r="BP536" i="3"/>
  <c r="BR536" i="3"/>
  <c r="BT536" i="3"/>
  <c r="BL536" i="3"/>
  <c r="AZ536" i="3"/>
  <c r="BA537" i="3"/>
  <c r="BN537" i="3"/>
  <c r="BP537" i="3"/>
  <c r="BR537" i="3"/>
  <c r="BT537" i="3"/>
  <c r="BL537" i="3"/>
  <c r="AZ537" i="3"/>
  <c r="BA538" i="3"/>
  <c r="BN538" i="3"/>
  <c r="BP538" i="3"/>
  <c r="BR538" i="3"/>
  <c r="BT538" i="3"/>
  <c r="BL538" i="3"/>
  <c r="AZ538" i="3"/>
  <c r="BA539" i="3"/>
  <c r="BN539" i="3"/>
  <c r="BP539" i="3"/>
  <c r="BR539" i="3"/>
  <c r="BT539" i="3"/>
  <c r="BL539" i="3"/>
  <c r="AZ539" i="3"/>
  <c r="BA540" i="3"/>
  <c r="BN540" i="3"/>
  <c r="BP540" i="3"/>
  <c r="BR540" i="3"/>
  <c r="BT540" i="3"/>
  <c r="BL540" i="3"/>
  <c r="AZ540" i="3"/>
  <c r="BA541" i="3"/>
  <c r="BN541" i="3"/>
  <c r="BP541" i="3"/>
  <c r="BR541" i="3"/>
  <c r="BT541" i="3"/>
  <c r="BL541" i="3"/>
  <c r="AZ541" i="3"/>
  <c r="BA542" i="3"/>
  <c r="BN542" i="3"/>
  <c r="BP542" i="3"/>
  <c r="BR542" i="3"/>
  <c r="BT542" i="3"/>
  <c r="BL542" i="3"/>
  <c r="AZ542" i="3"/>
  <c r="BA543" i="3"/>
  <c r="BN543" i="3"/>
  <c r="BP543" i="3"/>
  <c r="BR543" i="3"/>
  <c r="BT543" i="3"/>
  <c r="BL543" i="3"/>
  <c r="AZ543" i="3"/>
  <c r="BA544" i="3"/>
  <c r="BN544" i="3"/>
  <c r="BP544" i="3"/>
  <c r="BR544" i="3"/>
  <c r="BT544" i="3"/>
  <c r="BL544" i="3"/>
  <c r="AZ544" i="3"/>
  <c r="BA545" i="3"/>
  <c r="BN545" i="3"/>
  <c r="BP545" i="3"/>
  <c r="BR545" i="3"/>
  <c r="BT545" i="3"/>
  <c r="BL545" i="3"/>
  <c r="AZ545" i="3"/>
  <c r="BA546" i="3"/>
  <c r="BN546" i="3"/>
  <c r="BP546" i="3"/>
  <c r="BR546" i="3"/>
  <c r="BT546" i="3"/>
  <c r="BL546" i="3"/>
  <c r="AZ546" i="3"/>
  <c r="BA547" i="3"/>
  <c r="BN547" i="3"/>
  <c r="BP547" i="3"/>
  <c r="BR547" i="3"/>
  <c r="BT547" i="3"/>
  <c r="BL547" i="3"/>
  <c r="AZ547" i="3"/>
  <c r="BA548" i="3"/>
  <c r="BN548" i="3"/>
  <c r="BP548" i="3"/>
  <c r="BR548" i="3"/>
  <c r="BT548" i="3"/>
  <c r="BL548" i="3"/>
  <c r="AZ548" i="3"/>
  <c r="BA549" i="3"/>
  <c r="BN549" i="3"/>
  <c r="BP549" i="3"/>
  <c r="BR549" i="3"/>
  <c r="BT549" i="3"/>
  <c r="BL549" i="3"/>
  <c r="AZ549" i="3"/>
  <c r="BA550" i="3"/>
  <c r="BN550" i="3"/>
  <c r="BP550" i="3"/>
  <c r="BR550" i="3"/>
  <c r="BT550" i="3"/>
  <c r="BL550" i="3"/>
  <c r="AZ550" i="3"/>
  <c r="BA551" i="3"/>
  <c r="BN551" i="3"/>
  <c r="BP551" i="3"/>
  <c r="BR551" i="3"/>
  <c r="BT551" i="3"/>
  <c r="BL551" i="3"/>
  <c r="AZ551" i="3"/>
  <c r="BA552" i="3"/>
  <c r="BN552" i="3"/>
  <c r="BP552" i="3"/>
  <c r="BR552" i="3"/>
  <c r="BT552" i="3"/>
  <c r="BL552" i="3"/>
  <c r="AZ552" i="3"/>
  <c r="BA553" i="3"/>
  <c r="BN553" i="3"/>
  <c r="BP553" i="3"/>
  <c r="BR553" i="3"/>
  <c r="BT553" i="3"/>
  <c r="BL553" i="3"/>
  <c r="AZ553" i="3"/>
  <c r="BA554" i="3"/>
  <c r="BN554" i="3"/>
  <c r="BP554" i="3"/>
  <c r="BR554" i="3"/>
  <c r="BT554" i="3"/>
  <c r="BL554" i="3"/>
  <c r="AZ554" i="3"/>
  <c r="BA555" i="3"/>
  <c r="BN555" i="3"/>
  <c r="BP555" i="3"/>
  <c r="BR555" i="3"/>
  <c r="BT555" i="3"/>
  <c r="BL555" i="3"/>
  <c r="AZ555" i="3"/>
  <c r="BA556" i="3"/>
  <c r="BN556" i="3"/>
  <c r="BP556" i="3"/>
  <c r="BR556" i="3"/>
  <c r="BT556" i="3"/>
  <c r="BL556" i="3"/>
  <c r="AZ556" i="3"/>
  <c r="BA557" i="3"/>
  <c r="BN557" i="3"/>
  <c r="BP557" i="3"/>
  <c r="BR557" i="3"/>
  <c r="BT557" i="3"/>
  <c r="BL557" i="3"/>
  <c r="AZ557" i="3"/>
  <c r="BA558" i="3"/>
  <c r="BN558" i="3"/>
  <c r="BP558" i="3"/>
  <c r="BR558" i="3"/>
  <c r="BT558" i="3"/>
  <c r="BL558" i="3"/>
  <c r="AZ558" i="3"/>
  <c r="BA559" i="3"/>
  <c r="BN559" i="3"/>
  <c r="BP559" i="3"/>
  <c r="BR559" i="3"/>
  <c r="BT559" i="3"/>
  <c r="BL559" i="3"/>
  <c r="AZ559" i="3"/>
  <c r="BA560" i="3"/>
  <c r="BN560" i="3"/>
  <c r="BP560" i="3"/>
  <c r="BR560" i="3"/>
  <c r="BT560" i="3"/>
  <c r="BL560" i="3"/>
  <c r="AZ560" i="3"/>
  <c r="BA561" i="3"/>
  <c r="BN561" i="3"/>
  <c r="BP561" i="3"/>
  <c r="BR561" i="3"/>
  <c r="BT561" i="3"/>
  <c r="BL561" i="3"/>
  <c r="AZ561" i="3"/>
  <c r="BA562" i="3"/>
  <c r="BN562" i="3"/>
  <c r="BP562" i="3"/>
  <c r="BR562" i="3"/>
  <c r="BT562" i="3"/>
  <c r="BL562" i="3"/>
  <c r="AZ562" i="3"/>
  <c r="BA563" i="3"/>
  <c r="BN563" i="3"/>
  <c r="BP563" i="3"/>
  <c r="BR563" i="3"/>
  <c r="BT563" i="3"/>
  <c r="BL563" i="3"/>
  <c r="AZ563" i="3"/>
  <c r="BA564" i="3"/>
  <c r="BN564" i="3"/>
  <c r="BP564" i="3"/>
  <c r="BR564" i="3"/>
  <c r="BT564" i="3"/>
  <c r="BL564" i="3"/>
  <c r="AZ564" i="3"/>
  <c r="BA565" i="3"/>
  <c r="BN565" i="3"/>
  <c r="BP565" i="3"/>
  <c r="BR565" i="3"/>
  <c r="BT565" i="3"/>
  <c r="BL565" i="3"/>
  <c r="AZ565" i="3"/>
  <c r="BA566" i="3"/>
  <c r="BN566" i="3"/>
  <c r="BP566" i="3"/>
  <c r="BR566" i="3"/>
  <c r="BT566" i="3"/>
  <c r="BL566" i="3"/>
  <c r="AZ566" i="3"/>
  <c r="BA567" i="3"/>
  <c r="BN567" i="3"/>
  <c r="BP567" i="3"/>
  <c r="BR567" i="3"/>
  <c r="BT567" i="3"/>
  <c r="BL567" i="3"/>
  <c r="AZ567" i="3"/>
  <c r="BA568" i="3"/>
  <c r="BN568" i="3"/>
  <c r="BP568" i="3"/>
  <c r="BR568" i="3"/>
  <c r="BT568" i="3"/>
  <c r="BL568" i="3"/>
  <c r="AZ568" i="3"/>
  <c r="BA569" i="3"/>
  <c r="BN569" i="3"/>
  <c r="BP569" i="3"/>
  <c r="BR569" i="3"/>
  <c r="BT569" i="3"/>
  <c r="BL569" i="3"/>
  <c r="AZ569" i="3"/>
  <c r="BA570" i="3"/>
  <c r="BN570" i="3"/>
  <c r="BP570" i="3"/>
  <c r="BR570" i="3"/>
  <c r="BT570" i="3"/>
  <c r="BL570" i="3"/>
  <c r="AZ570" i="3"/>
  <c r="BA571" i="3"/>
  <c r="BN571" i="3"/>
  <c r="BP571" i="3"/>
  <c r="BR571" i="3"/>
  <c r="BT571" i="3"/>
  <c r="BL571" i="3"/>
  <c r="AZ571" i="3"/>
  <c r="BA572" i="3"/>
  <c r="BN572" i="3"/>
  <c r="BP572" i="3"/>
  <c r="BR572" i="3"/>
  <c r="BT572" i="3"/>
  <c r="BL572" i="3"/>
  <c r="AZ572" i="3"/>
  <c r="BA573" i="3"/>
  <c r="BN573" i="3"/>
  <c r="BP573" i="3"/>
  <c r="BR573" i="3"/>
  <c r="BT573" i="3"/>
  <c r="BL573" i="3"/>
  <c r="AZ573" i="3"/>
  <c r="BA574" i="3"/>
  <c r="BN574" i="3"/>
  <c r="BP574" i="3"/>
  <c r="BR574" i="3"/>
  <c r="BT574" i="3"/>
  <c r="BL574" i="3"/>
  <c r="AZ574" i="3"/>
  <c r="BA575" i="3"/>
  <c r="BN575" i="3"/>
  <c r="BP575" i="3"/>
  <c r="BR575" i="3"/>
  <c r="BT575" i="3"/>
  <c r="BL575" i="3"/>
  <c r="AZ575" i="3"/>
  <c r="BA576" i="3"/>
  <c r="BN576" i="3"/>
  <c r="BP576" i="3"/>
  <c r="BR576" i="3"/>
  <c r="BT576" i="3"/>
  <c r="BL576" i="3"/>
  <c r="AZ576" i="3"/>
  <c r="BA577" i="3"/>
  <c r="BN577" i="3"/>
  <c r="BP577" i="3"/>
  <c r="BR577" i="3"/>
  <c r="BT577" i="3"/>
  <c r="BL577" i="3"/>
  <c r="AZ577" i="3"/>
  <c r="BA578" i="3"/>
  <c r="BN578" i="3"/>
  <c r="BP578" i="3"/>
  <c r="BR578" i="3"/>
  <c r="BT578" i="3"/>
  <c r="BL578" i="3"/>
  <c r="AZ578" i="3"/>
  <c r="BA579" i="3"/>
  <c r="BN579" i="3"/>
  <c r="BP579" i="3"/>
  <c r="BR579" i="3"/>
  <c r="BT579" i="3"/>
  <c r="BL579" i="3"/>
  <c r="AZ579" i="3"/>
  <c r="BA580" i="3"/>
  <c r="BN580" i="3"/>
  <c r="BP580" i="3"/>
  <c r="BR580" i="3"/>
  <c r="BT580" i="3"/>
  <c r="BL580" i="3"/>
  <c r="AZ580" i="3"/>
  <c r="BA581" i="3"/>
  <c r="BN581" i="3"/>
  <c r="BP581" i="3"/>
  <c r="BR581" i="3"/>
  <c r="BT581" i="3"/>
  <c r="BL581" i="3"/>
  <c r="AZ581" i="3"/>
  <c r="BA582" i="3"/>
  <c r="BN582" i="3"/>
  <c r="BP582" i="3"/>
  <c r="BR582" i="3"/>
  <c r="BT582" i="3"/>
  <c r="BL582" i="3"/>
  <c r="AZ582" i="3"/>
  <c r="BA583" i="3"/>
  <c r="BN583" i="3"/>
  <c r="BP583" i="3"/>
  <c r="BR583" i="3"/>
  <c r="BT583" i="3"/>
  <c r="BL583" i="3"/>
  <c r="AZ583" i="3"/>
  <c r="BA584" i="3"/>
  <c r="BN584" i="3"/>
  <c r="BP584" i="3"/>
  <c r="BR584" i="3"/>
  <c r="BT584" i="3"/>
  <c r="BL584" i="3"/>
  <c r="AZ584" i="3"/>
  <c r="BA585" i="3"/>
  <c r="BN585" i="3"/>
  <c r="BP585" i="3"/>
  <c r="BR585" i="3"/>
  <c r="BT585" i="3"/>
  <c r="BL585" i="3"/>
  <c r="AZ585" i="3"/>
  <c r="BA586" i="3"/>
  <c r="BN586" i="3"/>
  <c r="BP586" i="3"/>
  <c r="BR586" i="3"/>
  <c r="BT586" i="3"/>
  <c r="BL586" i="3"/>
  <c r="AZ586" i="3"/>
  <c r="BA587" i="3"/>
  <c r="BN587" i="3"/>
  <c r="BP587" i="3"/>
  <c r="BR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B3" i="3"/>
  <c r="AY6" i="3"/>
  <c r="D3" i="6"/>
  <c r="E19" i="6"/>
  <c r="E3" i="6"/>
  <c r="D19" i="6"/>
  <c r="E20" i="6"/>
  <c r="D20" i="6"/>
  <c r="E21" i="6"/>
  <c r="D21" i="6"/>
  <c r="E22" i="6"/>
  <c r="D22" i="6"/>
  <c r="E23" i="6"/>
  <c r="D23" i="6"/>
  <c r="E24" i="6"/>
  <c r="D24" i="6"/>
  <c r="E25" i="6"/>
  <c r="D25" i="6"/>
  <c r="E26" i="6"/>
  <c r="D26" i="6"/>
  <c r="D27" i="6"/>
  <c r="BR5" i="3"/>
  <c r="BT5" i="3"/>
  <c r="G28" i="6"/>
  <c r="E28" i="6"/>
  <c r="D28" i="6"/>
  <c r="BN5" i="3"/>
  <c r="BP5" i="3"/>
  <c r="G29" i="6"/>
  <c r="E29" i="6"/>
  <c r="D29" i="6"/>
  <c r="D30" i="6"/>
  <c r="D31" i="6"/>
  <c r="I6" i="6"/>
  <c r="C11" i="40"/>
  <c r="F11" i="40"/>
  <c r="AA11" i="40"/>
  <c r="B77" i="40"/>
  <c r="F12" i="40"/>
  <c r="AA12" i="40"/>
  <c r="B79" i="40"/>
  <c r="F13" i="40"/>
  <c r="AA13" i="40"/>
  <c r="B81" i="40"/>
  <c r="F14" i="40"/>
  <c r="AA14" i="40"/>
  <c r="D84" i="40"/>
  <c r="F15" i="40"/>
  <c r="AA15" i="40"/>
  <c r="D86" i="40"/>
  <c r="E86" i="40"/>
  <c r="F17" i="40"/>
  <c r="AA17" i="40"/>
  <c r="D88" i="40"/>
  <c r="F19" i="40"/>
  <c r="AA19" i="40"/>
  <c r="D90" i="40"/>
  <c r="F21" i="40"/>
  <c r="AA21" i="40"/>
  <c r="D92" i="40"/>
  <c r="E92" i="40"/>
  <c r="F23" i="40"/>
  <c r="AA23" i="40"/>
  <c r="D94" i="40"/>
  <c r="F25" i="40"/>
  <c r="AA25" i="40"/>
  <c r="B95" i="40"/>
  <c r="D96" i="40"/>
  <c r="E96" i="40"/>
  <c r="F27" i="40"/>
  <c r="AA27" i="40"/>
  <c r="D98" i="40"/>
  <c r="E98" i="40"/>
  <c r="F98" i="40"/>
  <c r="F28" i="40"/>
  <c r="AA28" i="40"/>
  <c r="C30" i="40"/>
  <c r="F30" i="40"/>
  <c r="AA30" i="40"/>
  <c r="B101" i="40"/>
  <c r="F31" i="40"/>
  <c r="AA31" i="40"/>
  <c r="B103" i="40"/>
  <c r="F32" i="40"/>
  <c r="AA32" i="40"/>
  <c r="B105" i="40"/>
  <c r="F33" i="40"/>
  <c r="AA33" i="40"/>
  <c r="E34" i="40"/>
  <c r="C34" i="40"/>
  <c r="F34" i="40"/>
  <c r="AA34" i="40"/>
  <c r="D111" i="40"/>
  <c r="F35" i="40"/>
  <c r="AA35" i="40"/>
  <c r="D113" i="40"/>
  <c r="E113" i="40"/>
  <c r="F36" i="40"/>
  <c r="AA36" i="40"/>
  <c r="D115" i="40"/>
  <c r="F37" i="40"/>
  <c r="AA37" i="40"/>
  <c r="B116" i="40"/>
  <c r="F38" i="40"/>
  <c r="AA38" i="40"/>
  <c r="B118" i="40"/>
  <c r="F39" i="40"/>
  <c r="AA39" i="40"/>
  <c r="B120" i="40"/>
  <c r="F40" i="40"/>
  <c r="AA40" i="40"/>
  <c r="C19" i="68"/>
  <c r="F21" i="68"/>
  <c r="B23" i="1"/>
  <c r="C21" i="68"/>
  <c r="B24" i="1"/>
  <c r="F34" i="68"/>
  <c r="C36" i="68" s="1"/>
  <c r="A6" i="1"/>
  <c r="K6" i="1"/>
  <c r="M6" i="1"/>
  <c r="A7" i="1"/>
  <c r="K7" i="1"/>
  <c r="M7" i="1"/>
  <c r="A8" i="1"/>
  <c r="K8" i="1"/>
  <c r="M8" i="1"/>
  <c r="A9" i="1"/>
  <c r="K9" i="1"/>
  <c r="M9" i="1"/>
  <c r="A10" i="1"/>
  <c r="K10" i="1"/>
  <c r="M10" i="1"/>
  <c r="A11" i="1"/>
  <c r="K11" i="1"/>
  <c r="M11" i="1"/>
  <c r="A12" i="1"/>
  <c r="K12" i="1"/>
  <c r="M12" i="1"/>
  <c r="A13" i="1"/>
  <c r="K13" i="1"/>
  <c r="M13" i="1"/>
  <c r="K14" i="1"/>
  <c r="M14" i="1"/>
  <c r="M16" i="1"/>
  <c r="F35" i="68"/>
  <c r="C42" i="1"/>
  <c r="F36" i="68"/>
  <c r="BB11" i="3"/>
  <c r="BC11" i="3"/>
  <c r="BD11" i="3"/>
  <c r="BE11" i="3"/>
  <c r="BF11" i="3"/>
  <c r="BG11" i="3"/>
  <c r="BH11" i="3"/>
  <c r="BI11" i="3"/>
  <c r="BJ11" i="3"/>
  <c r="BK11" i="3"/>
  <c r="BM11" i="3"/>
  <c r="BN11" i="3"/>
  <c r="BO11" i="3"/>
  <c r="BP11" i="3"/>
  <c r="BQ11" i="3"/>
  <c r="BR11" i="3"/>
  <c r="BS11" i="3"/>
  <c r="BT11" i="3"/>
  <c r="F5" i="3"/>
  <c r="H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L5" i="3"/>
  <c r="E5" i="6"/>
  <c r="D9" i="68"/>
  <c r="E6" i="6"/>
  <c r="D10" i="68"/>
  <c r="E37" i="68"/>
  <c r="F38" i="68"/>
  <c r="F20" i="68"/>
  <c r="C40" i="68"/>
  <c r="G1" i="15"/>
  <c r="L1" i="73"/>
  <c r="B43" i="1"/>
  <c r="B41" i="1"/>
  <c r="F32" i="15"/>
  <c r="F33" i="15"/>
  <c r="E27" i="6"/>
  <c r="K19" i="6"/>
  <c r="L19" i="6"/>
  <c r="M19" i="6"/>
  <c r="I19" i="6"/>
  <c r="H19" i="6"/>
  <c r="R19" i="6"/>
  <c r="R6" i="1"/>
  <c r="B52" i="1"/>
  <c r="F34" i="15"/>
  <c r="S6" i="1"/>
  <c r="T6" i="1"/>
  <c r="F15" i="15"/>
  <c r="F17" i="15"/>
  <c r="F18" i="15"/>
  <c r="F20" i="15"/>
  <c r="F23" i="15"/>
  <c r="F21" i="15"/>
  <c r="F28" i="15"/>
  <c r="C28" i="15"/>
  <c r="N6" i="1"/>
  <c r="Y6" i="1"/>
  <c r="I15" i="4"/>
  <c r="F6" i="1"/>
  <c r="M47" i="15"/>
  <c r="J50" i="15"/>
  <c r="J51" i="15"/>
  <c r="C15" i="74"/>
  <c r="B2" i="74" s="1"/>
  <c r="D7" i="74" s="1"/>
  <c r="B15" i="74"/>
  <c r="K15" i="1"/>
  <c r="K16" i="1"/>
  <c r="B29" i="1"/>
  <c r="H9" i="68"/>
  <c r="H25" i="40"/>
  <c r="AB25" i="40"/>
  <c r="G34" i="40"/>
  <c r="H34" i="40"/>
  <c r="AB34" i="40"/>
  <c r="AS3" i="77"/>
  <c r="G41" i="40"/>
  <c r="T41" i="40"/>
  <c r="G7" i="40"/>
  <c r="H7" i="40"/>
  <c r="AB7" i="40"/>
  <c r="H8" i="40"/>
  <c r="AB8" i="40"/>
  <c r="H9" i="40"/>
  <c r="AB9" i="40"/>
  <c r="H11" i="40"/>
  <c r="AB11" i="40"/>
  <c r="H12" i="40"/>
  <c r="AB12" i="40"/>
  <c r="H13" i="40"/>
  <c r="AB13" i="40"/>
  <c r="H14" i="40"/>
  <c r="AB14" i="40"/>
  <c r="H15" i="40"/>
  <c r="AB15" i="40"/>
  <c r="H17" i="40"/>
  <c r="AB17" i="40"/>
  <c r="H19" i="40"/>
  <c r="AB19" i="40"/>
  <c r="H21" i="40"/>
  <c r="AB21" i="40"/>
  <c r="H23" i="40"/>
  <c r="AB23" i="40"/>
  <c r="H27" i="40"/>
  <c r="AB27" i="40"/>
  <c r="H28" i="40"/>
  <c r="AB28" i="40"/>
  <c r="H30" i="40"/>
  <c r="AB30" i="40"/>
  <c r="H31" i="40"/>
  <c r="AB31" i="40"/>
  <c r="H32" i="40"/>
  <c r="AB32" i="40"/>
  <c r="H33" i="40"/>
  <c r="AB33" i="40"/>
  <c r="H35" i="40"/>
  <c r="AB35" i="40"/>
  <c r="H36" i="40"/>
  <c r="AB36" i="40"/>
  <c r="H37" i="40"/>
  <c r="AB37" i="40"/>
  <c r="H38" i="40"/>
  <c r="AB38" i="40"/>
  <c r="H39" i="40"/>
  <c r="AB39" i="40"/>
  <c r="H40" i="40"/>
  <c r="AB40" i="40"/>
  <c r="J25" i="40"/>
  <c r="AC25" i="40"/>
  <c r="I34" i="40"/>
  <c r="J34" i="40"/>
  <c r="AC34" i="40"/>
  <c r="AS4" i="77"/>
  <c r="I41" i="40"/>
  <c r="V41" i="40"/>
  <c r="I7" i="40"/>
  <c r="J7" i="40"/>
  <c r="AC7" i="40"/>
  <c r="J8" i="40"/>
  <c r="AC8" i="40"/>
  <c r="J9" i="40"/>
  <c r="AC9" i="40"/>
  <c r="J11" i="40"/>
  <c r="AC11" i="40"/>
  <c r="J12" i="40"/>
  <c r="AC12" i="40"/>
  <c r="J13" i="40"/>
  <c r="AC13" i="40"/>
  <c r="J14" i="40"/>
  <c r="AC14" i="40"/>
  <c r="J15" i="40"/>
  <c r="AC15" i="40"/>
  <c r="J17" i="40"/>
  <c r="AC17" i="40"/>
  <c r="J19" i="40"/>
  <c r="AC19" i="40"/>
  <c r="J21" i="40"/>
  <c r="AC21" i="40"/>
  <c r="J23" i="40"/>
  <c r="AC23" i="40"/>
  <c r="J27" i="40"/>
  <c r="AC27" i="40"/>
  <c r="J28" i="40"/>
  <c r="AC28" i="40"/>
  <c r="J30" i="40"/>
  <c r="AC30" i="40"/>
  <c r="J31" i="40"/>
  <c r="AC31" i="40"/>
  <c r="J32" i="40"/>
  <c r="AC32" i="40"/>
  <c r="J33" i="40"/>
  <c r="AC33" i="40"/>
  <c r="J35" i="40"/>
  <c r="AC35" i="40"/>
  <c r="J36" i="40"/>
  <c r="AC36" i="40"/>
  <c r="J37" i="40"/>
  <c r="AC37" i="40"/>
  <c r="J38" i="40"/>
  <c r="AC38" i="40"/>
  <c r="J39" i="40"/>
  <c r="AC39" i="40"/>
  <c r="J40" i="40"/>
  <c r="AC40" i="40"/>
  <c r="I19" i="40"/>
  <c r="G19" i="40"/>
  <c r="E19" i="40"/>
  <c r="F16" i="4"/>
  <c r="C10" i="40"/>
  <c r="I5" i="40"/>
  <c r="G5" i="40"/>
  <c r="E5" i="40"/>
  <c r="AS16" i="77"/>
  <c r="AS15" i="77"/>
  <c r="AS14" i="77"/>
  <c r="AS13" i="77"/>
  <c r="AS12" i="77"/>
  <c r="AS11" i="77"/>
  <c r="AS10" i="77"/>
  <c r="AS9" i="77"/>
  <c r="AS8" i="77"/>
  <c r="AS7" i="77"/>
  <c r="AS6" i="77"/>
  <c r="AS5" i="77"/>
  <c r="C11" i="4"/>
  <c r="B7" i="4"/>
  <c r="N6" i="71"/>
  <c r="N5" i="71"/>
  <c r="N7" i="71"/>
  <c r="N8" i="71"/>
  <c r="N9" i="71"/>
  <c r="N10" i="71"/>
  <c r="N11" i="71"/>
  <c r="N12" i="71"/>
  <c r="N13" i="71"/>
  <c r="N14" i="71"/>
  <c r="N15" i="71"/>
  <c r="N16" i="71"/>
  <c r="N17" i="71"/>
  <c r="N18" i="71"/>
  <c r="N19" i="71"/>
  <c r="N20" i="71"/>
  <c r="N21" i="71"/>
  <c r="N22" i="71"/>
  <c r="X5" i="71"/>
  <c r="Q6" i="71"/>
  <c r="Q5" i="71"/>
  <c r="Q7" i="71"/>
  <c r="Q8" i="71"/>
  <c r="Q9" i="71"/>
  <c r="Q10" i="71"/>
  <c r="Q11" i="7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AA5" i="71"/>
  <c r="O6" i="71"/>
  <c r="O5" i="71"/>
  <c r="O7" i="71"/>
  <c r="O8" i="71"/>
  <c r="O9" i="71"/>
  <c r="O10" i="71"/>
  <c r="O11" i="71"/>
  <c r="O12" i="71"/>
  <c r="O13" i="71"/>
  <c r="O14" i="71"/>
  <c r="O15" i="71"/>
  <c r="O16" i="71"/>
  <c r="O17" i="71"/>
  <c r="O18" i="71"/>
  <c r="O19" i="71"/>
  <c r="O20" i="71"/>
  <c r="O21" i="71"/>
  <c r="O22" i="71"/>
  <c r="Y5" i="71"/>
  <c r="Z5" i="71"/>
  <c r="F7" i="71"/>
  <c r="F6" i="71"/>
  <c r="F5" i="71"/>
  <c r="E7" i="71"/>
  <c r="E6" i="71"/>
  <c r="E5" i="71"/>
  <c r="C7" i="71"/>
  <c r="C6" i="71"/>
  <c r="C5" i="71"/>
  <c r="D5" i="71"/>
  <c r="B7" i="71"/>
  <c r="B6" i="71"/>
  <c r="B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20" i="43"/>
  <c r="M19" i="43"/>
  <c r="C19" i="43"/>
  <c r="G2" i="43"/>
  <c r="C6" i="43"/>
  <c r="G17" i="43"/>
  <c r="H17" i="43"/>
  <c r="I17" i="43"/>
  <c r="J17" i="43"/>
  <c r="C17" i="43"/>
  <c r="C16" i="43"/>
  <c r="C5" i="43"/>
  <c r="G20" i="43"/>
  <c r="J20" i="43"/>
  <c r="I20" i="43"/>
  <c r="C20" i="43"/>
  <c r="C24" i="43"/>
  <c r="F39" i="43"/>
  <c r="C39" i="43"/>
  <c r="G39" i="43"/>
  <c r="F38" i="43"/>
  <c r="C38" i="43"/>
  <c r="G38" i="43"/>
  <c r="F37" i="43"/>
  <c r="C37" i="43"/>
  <c r="G37" i="43"/>
  <c r="D5" i="43"/>
  <c r="F36" i="43"/>
  <c r="C36" i="43"/>
  <c r="G36" i="43"/>
  <c r="F35" i="43"/>
  <c r="C35" i="43"/>
  <c r="G35" i="43"/>
  <c r="F34" i="43"/>
  <c r="C34" i="43"/>
  <c r="G34" i="43"/>
  <c r="M47" i="67"/>
  <c r="J53" i="67"/>
  <c r="C18" i="43"/>
  <c r="I4" i="6"/>
  <c r="G3" i="43"/>
  <c r="F33" i="43"/>
  <c r="C33" i="43"/>
  <c r="G33" i="43"/>
  <c r="H33" i="43"/>
  <c r="I33" i="43"/>
  <c r="E33" i="43"/>
  <c r="D1" i="43"/>
  <c r="C10" i="43"/>
  <c r="C11" i="43"/>
  <c r="E8" i="43"/>
  <c r="E9" i="43"/>
  <c r="E10" i="43"/>
  <c r="E11" i="43"/>
  <c r="C9" i="43"/>
  <c r="C7" i="43"/>
  <c r="C15" i="43"/>
  <c r="D15" i="43"/>
  <c r="E15" i="43"/>
  <c r="F15" i="43"/>
  <c r="C12" i="43"/>
  <c r="C99" i="43"/>
  <c r="C100" i="43"/>
  <c r="C101" i="43"/>
  <c r="C102" i="43"/>
  <c r="C103" i="43"/>
  <c r="C104" i="43"/>
  <c r="C105" i="43"/>
  <c r="C106" i="43"/>
  <c r="C107" i="43"/>
  <c r="C108" i="43"/>
  <c r="C109" i="43"/>
  <c r="B113" i="43"/>
  <c r="B115" i="43"/>
  <c r="C115" i="43"/>
  <c r="B116" i="43"/>
  <c r="C116" i="43"/>
  <c r="B117" i="43"/>
  <c r="C117" i="43"/>
  <c r="B118" i="43"/>
  <c r="C118" i="43"/>
  <c r="E22" i="43"/>
  <c r="G22" i="43"/>
  <c r="F22" i="43"/>
  <c r="H22" i="43"/>
  <c r="D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c r="D101" i="43"/>
  <c r="D102" i="43"/>
  <c r="D103" i="43"/>
  <c r="D104" i="43"/>
  <c r="D105" i="43"/>
  <c r="D106" i="43"/>
  <c r="D107" i="43"/>
  <c r="D108" i="43"/>
  <c r="D109" i="43"/>
  <c r="F113" i="43"/>
  <c r="H113" i="43"/>
  <c r="D115" i="43"/>
  <c r="E115" i="43"/>
  <c r="F115" i="43"/>
  <c r="G115" i="43"/>
  <c r="H115" i="43"/>
  <c r="I115" i="43"/>
  <c r="J115" i="43"/>
  <c r="K115" i="43"/>
  <c r="L115" i="43"/>
  <c r="M115" i="43"/>
  <c r="D116" i="43"/>
  <c r="E116" i="43"/>
  <c r="F116" i="43"/>
  <c r="G116" i="43"/>
  <c r="H116" i="43"/>
  <c r="I116" i="43"/>
  <c r="J116" i="43"/>
  <c r="K116" i="43"/>
  <c r="L116" i="43"/>
  <c r="M116" i="43"/>
  <c r="D117" i="43"/>
  <c r="E117" i="43"/>
  <c r="F117" i="43"/>
  <c r="G117" i="43"/>
  <c r="H117" i="43"/>
  <c r="I117" i="43"/>
  <c r="J117" i="43"/>
  <c r="K117" i="43"/>
  <c r="L117" i="43"/>
  <c r="M117" i="43"/>
  <c r="D118" i="43"/>
  <c r="E118" i="43"/>
  <c r="F118" i="43"/>
  <c r="G118" i="43"/>
  <c r="H118" i="43"/>
  <c r="I118" i="43"/>
  <c r="J118" i="43"/>
  <c r="K118" i="43"/>
  <c r="L118" i="43"/>
  <c r="M118" i="43"/>
  <c r="D113" i="43"/>
  <c r="M19" i="9"/>
  <c r="C118" i="9"/>
  <c r="C14" i="74"/>
  <c r="M18" i="9"/>
  <c r="B118" i="9"/>
  <c r="B14" i="74"/>
  <c r="X6" i="71"/>
  <c r="AB6" i="71"/>
  <c r="AA6" i="71"/>
  <c r="Y6" i="71"/>
  <c r="Z6" i="71"/>
  <c r="T7" i="71"/>
  <c r="S7" i="71"/>
  <c r="V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G1" i="68"/>
  <c r="E9" i="68"/>
  <c r="C9" i="68"/>
  <c r="E10" i="68"/>
  <c r="C10" i="68"/>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AA22" i="71"/>
  <c r="Y22" i="71"/>
  <c r="Z22" i="71"/>
  <c r="X22" i="71"/>
  <c r="AB21" i="71"/>
  <c r="Y21" i="71"/>
  <c r="Z21" i="71"/>
  <c r="V23" i="71"/>
  <c r="AB19" i="71"/>
  <c r="Y19" i="71"/>
  <c r="Z19" i="71"/>
  <c r="AB18" i="71"/>
  <c r="Y18" i="71"/>
  <c r="Z18" i="71"/>
  <c r="AB17" i="71"/>
  <c r="Y17" i="71"/>
  <c r="Z17" i="71"/>
  <c r="V19" i="71"/>
  <c r="AB15" i="71"/>
  <c r="Y15" i="71"/>
  <c r="Z15" i="71"/>
  <c r="AB14" i="71"/>
  <c r="Y14" i="71"/>
  <c r="Z14" i="7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c r="AB16" i="71"/>
  <c r="X17" i="71"/>
  <c r="AA17" i="71"/>
  <c r="X18" i="71"/>
  <c r="AA18" i="71"/>
  <c r="X19" i="71"/>
  <c r="AA19" i="71"/>
  <c r="Y20" i="71"/>
  <c r="Z20" i="71"/>
  <c r="AB20" i="71"/>
  <c r="X21" i="71"/>
  <c r="AA21" i="71"/>
  <c r="F34" i="71"/>
  <c r="F35" i="71"/>
  <c r="V35" i="71"/>
  <c r="Y3" i="71"/>
  <c r="Z3" i="71"/>
  <c r="Y8" i="71"/>
  <c r="Z8" i="71"/>
  <c r="Y9" i="71"/>
  <c r="Z9" i="71"/>
  <c r="Y10" i="71"/>
  <c r="Z10" i="71"/>
  <c r="Y11" i="71"/>
  <c r="Z11" i="71"/>
  <c r="X8" i="71"/>
  <c r="X9" i="71"/>
  <c r="X10" i="71"/>
  <c r="X3" i="71"/>
  <c r="X11"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AB3" i="71"/>
  <c r="AB8" i="71"/>
  <c r="AB9" i="71"/>
  <c r="AB10" i="71"/>
  <c r="AB11" i="71"/>
  <c r="AA3" i="71"/>
  <c r="AA8" i="71"/>
  <c r="AA9" i="71"/>
  <c r="AA10" i="71"/>
  <c r="AA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E94"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G94" i="40"/>
  <c r="F103" i="39"/>
  <c r="H29" i="39"/>
  <c r="G103" i="39"/>
  <c r="J29" i="39"/>
  <c r="G66" i="36"/>
  <c r="J18" i="36"/>
  <c r="F68" i="35"/>
  <c r="H18" i="35"/>
  <c r="S18" i="35"/>
  <c r="G68" i="35"/>
  <c r="J18" i="35"/>
  <c r="F77" i="37"/>
  <c r="H21" i="37"/>
  <c r="F21" i="37"/>
  <c r="F84" i="34"/>
  <c r="H21" i="34"/>
  <c r="F83" i="33"/>
  <c r="H21" i="33"/>
  <c r="F21" i="33"/>
  <c r="E83" i="21"/>
  <c r="S21" i="21"/>
  <c r="H1" i="69"/>
  <c r="W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7" i="68"/>
  <c r="W21" i="21"/>
  <c r="AC21" i="21"/>
  <c r="Q72" i="67"/>
  <c r="Q59" i="67"/>
  <c r="Q58" i="67"/>
  <c r="Q51" i="67"/>
  <c r="J50"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N99" i="43"/>
  <c r="N108" i="43"/>
  <c r="E99" i="43"/>
  <c r="E108" i="43"/>
  <c r="F99" i="43"/>
  <c r="F108" i="43"/>
  <c r="G99" i="43"/>
  <c r="G108" i="43"/>
  <c r="H99" i="43"/>
  <c r="H108" i="43"/>
  <c r="I99" i="43"/>
  <c r="I108" i="43"/>
  <c r="J99" i="43"/>
  <c r="J108" i="43"/>
  <c r="K99" i="43"/>
  <c r="K108" i="43"/>
  <c r="L99" i="43"/>
  <c r="L108" i="43"/>
  <c r="M99" i="43"/>
  <c r="M108" i="43"/>
  <c r="N100" i="43"/>
  <c r="L100" i="43"/>
  <c r="E100" i="43"/>
  <c r="G100" i="43"/>
  <c r="I100" i="43"/>
  <c r="K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H15" i="4"/>
  <c r="G15" i="4"/>
  <c r="E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A7" i="43"/>
  <c r="F61" i="15"/>
  <c r="M19" i="15"/>
  <c r="O10" i="1"/>
  <c r="D78" i="9"/>
  <c r="D24" i="15"/>
  <c r="O8" i="1"/>
  <c r="P8" i="1"/>
  <c r="O13" i="1"/>
  <c r="P13" i="1"/>
  <c r="F35" i="11"/>
  <c r="F36" i="11"/>
  <c r="F38" i="11"/>
  <c r="E37" i="11"/>
  <c r="F20" i="11"/>
  <c r="F21" i="11"/>
  <c r="C21" i="11"/>
  <c r="F7" i="11"/>
  <c r="C7" i="11"/>
  <c r="C5" i="11"/>
  <c r="F12" i="12"/>
  <c r="F13" i="12"/>
  <c r="F15" i="12"/>
  <c r="E14" i="12"/>
  <c r="E19" i="12"/>
  <c r="E20" i="12"/>
  <c r="E17" i="12"/>
  <c r="F22" i="12"/>
  <c r="F23" i="12"/>
  <c r="F24"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F76" i="40"/>
  <c r="G76" i="40"/>
  <c r="H76" i="40"/>
  <c r="I76" i="40"/>
  <c r="J76" i="40"/>
  <c r="K76" i="40"/>
  <c r="L76" i="40"/>
  <c r="M76" i="40"/>
  <c r="E115" i="40"/>
  <c r="F115" i="40"/>
  <c r="G115" i="40"/>
  <c r="H115" i="40"/>
  <c r="I115" i="40"/>
  <c r="J115" i="40"/>
  <c r="K115" i="40"/>
  <c r="L115" i="40"/>
  <c r="M115" i="40"/>
  <c r="F113" i="40"/>
  <c r="G113" i="40"/>
  <c r="H113" i="40"/>
  <c r="I113" i="40"/>
  <c r="J113" i="40"/>
  <c r="K113" i="40"/>
  <c r="L113" i="40"/>
  <c r="M113" i="40"/>
  <c r="E111" i="40"/>
  <c r="M107" i="40"/>
  <c r="L107" i="40"/>
  <c r="K107" i="40"/>
  <c r="J107" i="40"/>
  <c r="H107" i="40"/>
  <c r="G107" i="40"/>
  <c r="F107" i="40"/>
  <c r="E107" i="40"/>
  <c r="D107" i="40"/>
  <c r="C107" i="40"/>
  <c r="W33" i="40"/>
  <c r="D100" i="40"/>
  <c r="E100" i="40"/>
  <c r="F100" i="40"/>
  <c r="G100" i="40"/>
  <c r="H100" i="40"/>
  <c r="I100" i="40"/>
  <c r="J100" i="40"/>
  <c r="K100" i="40"/>
  <c r="L100" i="40"/>
  <c r="M100" i="40"/>
  <c r="F96" i="40"/>
  <c r="G96" i="40"/>
  <c r="H96" i="40"/>
  <c r="I96" i="40"/>
  <c r="J96" i="40"/>
  <c r="K96" i="40"/>
  <c r="L96" i="40"/>
  <c r="M96" i="40"/>
  <c r="F92" i="40"/>
  <c r="G92" i="40"/>
  <c r="E90" i="40"/>
  <c r="F90" i="40"/>
  <c r="G90" i="40"/>
  <c r="E88" i="40"/>
  <c r="F86" i="40"/>
  <c r="G86" i="40"/>
  <c r="E84" i="40"/>
  <c r="F84" i="40"/>
  <c r="G84" i="40"/>
  <c r="M74" i="40"/>
  <c r="L74" i="40"/>
  <c r="K74" i="40"/>
  <c r="J74" i="40"/>
  <c r="I74" i="40"/>
  <c r="H74" i="40"/>
  <c r="G74" i="40"/>
  <c r="F74" i="40"/>
  <c r="E74" i="40"/>
  <c r="D74" i="40"/>
  <c r="C74" i="40"/>
  <c r="P43" i="40"/>
  <c r="P42" i="40"/>
  <c r="P41" i="40"/>
  <c r="Q40" i="40"/>
  <c r="Z40" i="40"/>
  <c r="W40" i="40"/>
  <c r="Q39" i="40"/>
  <c r="Z39" i="40"/>
  <c r="U39" i="40"/>
  <c r="Q38" i="40"/>
  <c r="Z38" i="40"/>
  <c r="Q37" i="40"/>
  <c r="Z37" i="40"/>
  <c r="Q36" i="40"/>
  <c r="Z36" i="40"/>
  <c r="Q35" i="40"/>
  <c r="Z35" i="40"/>
  <c r="Q34" i="40"/>
  <c r="Z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W9" i="40"/>
  <c r="S9"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U37" i="40"/>
  <c r="U17" i="40"/>
  <c r="W15"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U28" i="40"/>
  <c r="W17" i="40"/>
  <c r="S15"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S12" i="40"/>
  <c r="U33" i="40"/>
  <c r="U13" i="40"/>
  <c r="W13" i="40"/>
  <c r="F14" i="37"/>
  <c r="S14" i="37"/>
  <c r="F27" i="37"/>
  <c r="AA27" i="37"/>
  <c r="F13" i="39"/>
  <c r="J13" i="39"/>
  <c r="W13" i="39"/>
  <c r="H13" i="39"/>
  <c r="W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U31" i="40"/>
  <c r="S32"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AA25" i="21"/>
  <c r="U19" i="40"/>
  <c r="F88" i="40"/>
  <c r="G88" i="40"/>
  <c r="S19" i="40"/>
  <c r="S14"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U36" i="40"/>
  <c r="N4" i="43"/>
  <c r="F81" i="43"/>
  <c r="H83" i="43"/>
  <c r="F48" i="43"/>
  <c r="H52" i="43"/>
  <c r="N7" i="43"/>
  <c r="F70" i="43"/>
  <c r="H73" i="43"/>
  <c r="M6" i="43"/>
  <c r="M11" i="43"/>
  <c r="E17" i="43"/>
  <c r="U17" i="39"/>
  <c r="S14" i="35"/>
  <c r="U43" i="21"/>
  <c r="U35" i="21"/>
  <c r="AC35" i="21"/>
  <c r="U10" i="21"/>
  <c r="G8" i="1"/>
  <c r="G9" i="1"/>
  <c r="G10" i="1"/>
  <c r="F48" i="9"/>
  <c r="O52" i="9"/>
  <c r="AC11" i="39"/>
  <c r="W37" i="37"/>
  <c r="W44" i="34"/>
  <c r="AC44" i="34"/>
  <c r="S15" i="37"/>
  <c r="U13" i="37"/>
  <c r="U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F111" i="40"/>
  <c r="G111" i="40"/>
  <c r="H111" i="40"/>
  <c r="I111" i="40"/>
  <c r="J111" i="40"/>
  <c r="K111" i="40"/>
  <c r="L111" i="40"/>
  <c r="M111" i="40"/>
  <c r="AC29" i="35"/>
  <c r="W29" i="35"/>
  <c r="H35" i="37"/>
  <c r="U35" i="37"/>
  <c r="AC14" i="35"/>
  <c r="H20" i="35"/>
  <c r="U20" i="35"/>
  <c r="F20" i="35"/>
  <c r="AA20" i="35"/>
  <c r="AB23" i="35"/>
  <c r="AB29" i="36"/>
  <c r="U29" i="36"/>
  <c r="H32" i="37"/>
  <c r="AB32" i="37"/>
  <c r="F96" i="37"/>
  <c r="U27" i="40"/>
  <c r="S27" i="40"/>
  <c r="S31" i="39"/>
  <c r="S11"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AE9" i="1"/>
  <c r="D93" i="9"/>
  <c r="E12" i="6"/>
  <c r="E15" i="6"/>
  <c r="E60" i="40"/>
  <c r="E13" i="6"/>
  <c r="E58" i="40"/>
  <c r="AC26" i="33"/>
  <c r="W26" i="33"/>
  <c r="W27" i="34"/>
  <c r="AC27" i="34"/>
  <c r="AB34" i="36"/>
  <c r="U34" i="36"/>
  <c r="AB33" i="36"/>
  <c r="U33" i="36"/>
  <c r="AC12" i="39"/>
  <c r="W12" i="39"/>
  <c r="W39" i="40"/>
  <c r="K101" i="43"/>
  <c r="K103" i="43"/>
  <c r="F101" i="43"/>
  <c r="F104" i="43"/>
  <c r="N101" i="43"/>
  <c r="N102" i="43"/>
  <c r="G101" i="43"/>
  <c r="G105" i="43"/>
  <c r="J101" i="43"/>
  <c r="J104" i="43"/>
  <c r="N104" i="46"/>
  <c r="W12" i="33"/>
  <c r="AC12" i="33"/>
  <c r="AA32" i="36"/>
  <c r="S32" i="36"/>
  <c r="AA39" i="34"/>
  <c r="U30" i="33"/>
  <c r="AC13" i="34"/>
  <c r="AA47" i="34"/>
  <c r="W28" i="37"/>
  <c r="S19" i="39"/>
  <c r="F12" i="33"/>
  <c r="H12" i="39"/>
  <c r="AB12" i="39"/>
  <c r="S12" i="1"/>
  <c r="R12" i="1"/>
  <c r="B12" i="1"/>
  <c r="E12" i="1"/>
  <c r="S10" i="1"/>
  <c r="AQ10" i="1"/>
  <c r="R10" i="1"/>
  <c r="B10" i="1"/>
  <c r="E10" i="1"/>
  <c r="D1" i="66"/>
  <c r="E10" i="66"/>
  <c r="O12" i="1"/>
  <c r="P12" i="1"/>
  <c r="S13" i="1"/>
  <c r="AR13" i="1"/>
  <c r="R13" i="1"/>
  <c r="S11" i="1"/>
  <c r="AQ11" i="1"/>
  <c r="R11" i="1"/>
  <c r="S9" i="1"/>
  <c r="AR9" i="1"/>
  <c r="R9" i="1"/>
  <c r="J51" i="67"/>
  <c r="H100" i="43"/>
  <c r="C30" i="66"/>
  <c r="E26" i="66"/>
  <c r="AC34" i="33"/>
  <c r="AA34" i="33"/>
  <c r="F53" i="9"/>
  <c r="S22" i="31"/>
  <c r="J100" i="43"/>
  <c r="S35" i="40"/>
  <c r="U35" i="40"/>
  <c r="W38" i="40"/>
  <c r="S17" i="40"/>
  <c r="S23" i="40"/>
  <c r="S30" i="40"/>
  <c r="S28" i="40"/>
  <c r="U21"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62" i="15"/>
  <c r="E10" i="6"/>
  <c r="E11" i="6"/>
  <c r="E61" i="39"/>
  <c r="E65" i="39"/>
  <c r="G30" i="6"/>
  <c r="G31" i="6"/>
  <c r="J56" i="9"/>
  <c r="J57" i="9"/>
  <c r="A24" i="51"/>
  <c r="B18" i="72"/>
  <c r="U29" i="34"/>
  <c r="E14" i="6"/>
  <c r="E64" i="39"/>
  <c r="D9" i="11"/>
  <c r="C9" i="11"/>
  <c r="J105" i="43"/>
  <c r="G102" i="43"/>
  <c r="P10" i="1"/>
  <c r="L101" i="43"/>
  <c r="L109" i="43"/>
  <c r="H101" i="43"/>
  <c r="M101" i="43"/>
  <c r="M109" i="43"/>
  <c r="I101" i="43"/>
  <c r="I109" i="43"/>
  <c r="E101" i="43"/>
  <c r="E32" i="6"/>
  <c r="K1" i="12"/>
  <c r="N103" i="43"/>
  <c r="N105" i="43"/>
  <c r="N106" i="43"/>
  <c r="J107" i="43"/>
  <c r="J103" i="43"/>
  <c r="J102" i="43"/>
  <c r="F107" i="43"/>
  <c r="F102" i="43"/>
  <c r="F106" i="43"/>
  <c r="K107" i="43"/>
  <c r="K102" i="43"/>
  <c r="K104" i="43"/>
  <c r="G107" i="43"/>
  <c r="G103" i="43"/>
  <c r="G104" i="43"/>
  <c r="E57" i="40"/>
  <c r="G106" i="43"/>
  <c r="K106" i="43"/>
  <c r="K105" i="43"/>
  <c r="S2" i="43"/>
  <c r="F103" i="43"/>
  <c r="F105" i="43"/>
  <c r="J106" i="43"/>
  <c r="N104" i="43"/>
  <c r="N107" i="43"/>
  <c r="E56" i="40"/>
  <c r="AR12" i="1"/>
  <c r="AQ12" i="1"/>
  <c r="T12" i="1"/>
  <c r="AR10" i="1"/>
  <c r="T10" i="1"/>
  <c r="E19" i="69"/>
  <c r="E19" i="68"/>
  <c r="E19" i="11"/>
  <c r="G41" i="69"/>
  <c r="G22" i="69"/>
  <c r="G41" i="68"/>
  <c r="G22" i="68"/>
  <c r="G27" i="12"/>
  <c r="G26" i="12"/>
  <c r="G41" i="11"/>
  <c r="G22" i="11"/>
  <c r="G25" i="12"/>
  <c r="J109" i="43"/>
  <c r="K109"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O11" i="1"/>
  <c r="P11" i="1"/>
  <c r="AP6" i="1"/>
  <c r="B9" i="1"/>
  <c r="E9" i="1"/>
  <c r="G1" i="69"/>
  <c r="G1" i="67"/>
  <c r="W23" i="40"/>
  <c r="U32" i="40"/>
  <c r="S37" i="40"/>
  <c r="W28" i="40"/>
  <c r="W34" i="40"/>
  <c r="W19" i="40"/>
  <c r="W27" i="40"/>
  <c r="S36" i="40"/>
  <c r="W37" i="40"/>
  <c r="S13" i="40"/>
  <c r="S33" i="40"/>
  <c r="U11" i="40"/>
  <c r="S31" i="40"/>
  <c r="U15"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O6" i="1"/>
  <c r="P6" i="1"/>
  <c r="F30" i="68"/>
  <c r="C30" i="68"/>
  <c r="F30" i="11"/>
  <c r="C48" i="11"/>
  <c r="F28" i="67"/>
  <c r="C28" i="67"/>
  <c r="F31" i="12"/>
  <c r="F52" i="9"/>
  <c r="C31" i="12"/>
  <c r="M18" i="67"/>
  <c r="F32" i="67"/>
  <c r="F60" i="67"/>
  <c r="F30" i="69"/>
  <c r="C48" i="69"/>
  <c r="F60" i="15"/>
  <c r="M18" i="15"/>
  <c r="E63" i="39"/>
  <c r="T11" i="1"/>
  <c r="D9" i="69"/>
  <c r="D19" i="12"/>
  <c r="C19" i="12" s="1"/>
  <c r="AQ9" i="1"/>
  <c r="AR11" i="1"/>
  <c r="E59" i="40"/>
  <c r="D68" i="39"/>
  <c r="D70" i="39"/>
  <c r="E30" i="6"/>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K20" i="6"/>
  <c r="S7" i="1"/>
  <c r="E7" i="70"/>
  <c r="C24" i="12"/>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O14" i="1"/>
  <c r="P14" i="1"/>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S21" i="6"/>
  <c r="L27" i="6"/>
  <c r="S26" i="6"/>
  <c r="S22" i="6"/>
  <c r="M20" i="6"/>
  <c r="I20" i="6"/>
  <c r="AP7" i="1"/>
  <c r="O7" i="1"/>
  <c r="H16" i="1"/>
  <c r="AB45" i="21"/>
  <c r="AC33" i="21"/>
  <c r="W33" i="21"/>
  <c r="S33" i="21"/>
  <c r="AA33" i="21"/>
  <c r="W32" i="21"/>
  <c r="AC32" i="21"/>
  <c r="AB9" i="21"/>
  <c r="U9" i="21"/>
  <c r="AA32" i="21"/>
  <c r="S32" i="21"/>
  <c r="W9" i="21"/>
  <c r="AC9" i="21"/>
  <c r="AB32" i="21"/>
  <c r="U32" i="21"/>
  <c r="AA10" i="21"/>
  <c r="S10" i="21"/>
  <c r="C36" i="69"/>
  <c r="F31" i="15"/>
  <c r="M17" i="15"/>
  <c r="F59" i="67"/>
  <c r="F59" i="15"/>
  <c r="F31" i="67"/>
  <c r="M17" i="67"/>
  <c r="T7" i="1"/>
  <c r="AR7" i="1"/>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F7" i="36"/>
  <c r="S7" i="36"/>
  <c r="H7" i="37"/>
  <c r="U7" i="37"/>
  <c r="H6" i="3"/>
  <c r="AC6" i="3"/>
  <c r="D19" i="11"/>
  <c r="C19" i="11"/>
  <c r="C20" i="11"/>
  <c r="C17" i="4"/>
  <c r="B4" i="52"/>
  <c r="B43" i="72"/>
  <c r="D37" i="11"/>
  <c r="L18" i="9"/>
  <c r="D14"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I38"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E39"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J7" i="34"/>
  <c r="I39" i="43"/>
  <c r="E68" i="39"/>
  <c r="F68" i="39"/>
  <c r="G68" i="39"/>
  <c r="H68" i="39"/>
  <c r="I68" i="39"/>
  <c r="J68" i="39"/>
  <c r="K68" i="39"/>
  <c r="L68" i="39"/>
  <c r="M68" i="39"/>
  <c r="N68" i="39"/>
  <c r="O68" i="39"/>
  <c r="S20" i="6"/>
  <c r="M27" i="6"/>
  <c r="N16" i="1"/>
  <c r="F1" i="67"/>
  <c r="Q52" i="67"/>
  <c r="E37" i="43"/>
  <c r="AA7" i="36"/>
  <c r="R36" i="36"/>
  <c r="E36" i="36"/>
  <c r="E40" i="36"/>
  <c r="F40" i="36"/>
  <c r="AC11" i="37"/>
  <c r="W11" i="37"/>
  <c r="AB7" i="37"/>
  <c r="T42" i="37"/>
  <c r="G42" i="37"/>
  <c r="G46" i="37"/>
  <c r="H46" i="37"/>
  <c r="W11" i="34"/>
  <c r="AC11" i="34"/>
  <c r="H20" i="6"/>
  <c r="AB7" i="36"/>
  <c r="T36" i="36"/>
  <c r="E38" i="43"/>
  <c r="E6" i="3"/>
  <c r="D10" i="11"/>
  <c r="C10" i="11"/>
  <c r="D20" i="12"/>
  <c r="C20" i="12" s="1"/>
  <c r="D15" i="6"/>
  <c r="C18" i="4"/>
  <c r="D8" i="6"/>
  <c r="D14" i="6"/>
  <c r="R20" i="6"/>
  <c r="R7" i="1"/>
  <c r="D5" i="6"/>
  <c r="D6" i="6"/>
  <c r="D12" i="6"/>
  <c r="D9" i="6"/>
  <c r="D11" i="6"/>
  <c r="D10" i="6"/>
  <c r="D13" i="6"/>
  <c r="L19" i="9"/>
  <c r="E61" i="40"/>
  <c r="H25" i="6"/>
  <c r="R25" i="6"/>
  <c r="H22" i="6"/>
  <c r="H23" i="6"/>
  <c r="H21" i="6"/>
  <c r="H26" i="6"/>
  <c r="H24" i="6"/>
  <c r="C13" i="12"/>
  <c r="P16" i="1"/>
  <c r="C11" i="12"/>
  <c r="C12" i="12" s="1"/>
  <c r="F34" i="11"/>
  <c r="C37" i="11"/>
  <c r="F11" i="12"/>
  <c r="C23" i="12" s="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E70" i="39"/>
  <c r="F70" i="39"/>
  <c r="S19" i="6"/>
  <c r="S27" i="6"/>
  <c r="I27" i="6"/>
  <c r="F50" i="11"/>
  <c r="F50" i="69"/>
  <c r="F50" i="68"/>
  <c r="L16" i="1"/>
  <c r="C34" i="11"/>
  <c r="C36" i="11"/>
  <c r="G36" i="36"/>
  <c r="R37" i="36"/>
  <c r="AB7" i="34"/>
  <c r="T49" i="34"/>
  <c r="G49" i="34"/>
  <c r="G53" i="34"/>
  <c r="H53" i="34"/>
  <c r="W7" i="21"/>
  <c r="AA7" i="21"/>
  <c r="R48" i="21"/>
  <c r="E48" i="21"/>
  <c r="E52" i="21"/>
  <c r="F52" i="21"/>
  <c r="R26" i="6"/>
  <c r="R23" i="6"/>
  <c r="R24" i="6"/>
  <c r="R21" i="6"/>
  <c r="R8" i="1"/>
  <c r="R22" i="6"/>
  <c r="D16" i="6"/>
  <c r="A7" i="51"/>
  <c r="B7" i="72"/>
  <c r="C4" i="52"/>
  <c r="B45" i="72"/>
  <c r="A10" i="51"/>
  <c r="B9" i="72"/>
  <c r="U7" i="21"/>
  <c r="I52" i="21"/>
  <c r="J52" i="21"/>
  <c r="I40" i="36"/>
  <c r="J40" i="36"/>
  <c r="R43" i="37"/>
  <c r="E42" i="37"/>
  <c r="I47" i="37"/>
  <c r="J47" i="37"/>
  <c r="G43" i="35"/>
  <c r="H43" i="35"/>
  <c r="I42" i="35"/>
  <c r="J42" i="35"/>
  <c r="R39" i="35"/>
  <c r="E38" i="35"/>
  <c r="I43" i="35"/>
  <c r="J43" i="35"/>
  <c r="G47" i="37"/>
  <c r="H47" i="37"/>
  <c r="I46" i="37"/>
  <c r="J46" i="37"/>
  <c r="G48" i="21"/>
  <c r="R50" i="34"/>
  <c r="E49" i="34"/>
  <c r="G70" i="39"/>
  <c r="H27" i="6"/>
  <c r="C35" i="11"/>
  <c r="C38" i="11"/>
  <c r="R49" i="21"/>
  <c r="C48" i="21"/>
  <c r="G54" i="34"/>
  <c r="H54" i="34"/>
  <c r="I53" i="21"/>
  <c r="J53" i="21"/>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70" i="39"/>
  <c r="C33" i="11"/>
  <c r="C39" i="11" s="1"/>
  <c r="I5" i="6"/>
  <c r="C49" i="21"/>
  <c r="I70" i="39"/>
  <c r="J70" i="39"/>
  <c r="K70" i="39"/>
  <c r="L70" i="39"/>
  <c r="E2" i="70"/>
  <c r="C34" i="69"/>
  <c r="C38" i="69" s="1"/>
  <c r="M70" i="39"/>
  <c r="D10" i="69"/>
  <c r="C10" i="69" s="1"/>
  <c r="O70" i="39"/>
  <c r="N70" i="39"/>
  <c r="W7" i="40"/>
  <c r="U7" i="40"/>
  <c r="S7" i="40"/>
  <c r="S16" i="1"/>
  <c r="AE7" i="1"/>
  <c r="T16" i="1"/>
  <c r="AE8" i="1"/>
  <c r="AG6" i="1"/>
  <c r="H109" i="9"/>
  <c r="H110" i="9"/>
  <c r="D18" i="53"/>
  <c r="B35" i="72"/>
  <c r="D124" i="9"/>
  <c r="D16" i="53"/>
  <c r="B34" i="72"/>
  <c r="D10" i="52"/>
  <c r="H14" i="74"/>
  <c r="D17" i="53"/>
  <c r="B36" i="72"/>
  <c r="D125" i="9"/>
  <c r="D11" i="52"/>
  <c r="B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C8" i="74"/>
  <c r="P21" i="43"/>
  <c r="P22" i="43"/>
  <c r="P23" i="43"/>
  <c r="B71" i="39"/>
  <c r="P25" i="43"/>
  <c r="C23" i="43"/>
  <c r="C21" i="43"/>
  <c r="C29" i="43"/>
  <c r="E29" i="43"/>
  <c r="C26" i="43"/>
  <c r="B2" i="43"/>
  <c r="B3" i="43"/>
  <c r="C30" i="43"/>
  <c r="E30" i="43"/>
  <c r="C27" i="43"/>
  <c r="G16" i="1"/>
  <c r="F10" i="40"/>
  <c r="AA10" i="40"/>
  <c r="R42" i="40"/>
  <c r="H10" i="40"/>
  <c r="AB10" i="40"/>
  <c r="T42" i="40"/>
  <c r="J10" i="40"/>
  <c r="AC10" i="40"/>
  <c r="V42" i="40"/>
  <c r="R43" i="40"/>
  <c r="C43" i="40"/>
  <c r="F61" i="40"/>
  <c r="B2" i="40"/>
  <c r="C6" i="68"/>
  <c r="C7" i="68"/>
  <c r="C5" i="68"/>
  <c r="C20" i="68"/>
  <c r="Q16" i="1"/>
  <c r="F27" i="68"/>
  <c r="C28" i="68" s="1"/>
  <c r="C27" i="68" s="1"/>
  <c r="F27" i="69"/>
  <c r="C29" i="69" s="1"/>
  <c r="D27" i="69" s="1"/>
  <c r="B54" i="40"/>
  <c r="F54" i="40"/>
  <c r="B56" i="40"/>
  <c r="F56" i="40"/>
  <c r="B52" i="40"/>
  <c r="F52" i="40"/>
  <c r="B59" i="40"/>
  <c r="F59" i="40"/>
  <c r="B58" i="40"/>
  <c r="F58" i="40"/>
  <c r="B57" i="40"/>
  <c r="F57" i="40"/>
  <c r="B3" i="40"/>
  <c r="B51" i="40"/>
  <c r="F51" i="40"/>
  <c r="B60" i="40"/>
  <c r="F60" i="40"/>
  <c r="B53" i="40"/>
  <c r="F53" i="40"/>
  <c r="B55" i="40"/>
  <c r="F55" i="40"/>
  <c r="E42" i="40"/>
  <c r="G42" i="40"/>
  <c r="E47" i="40"/>
  <c r="F47" i="40"/>
  <c r="E46" i="40"/>
  <c r="F46" i="40"/>
  <c r="C42" i="40"/>
  <c r="G46" i="40"/>
  <c r="H46" i="40"/>
  <c r="I42" i="40"/>
  <c r="G47" i="40"/>
  <c r="H47" i="40"/>
  <c r="I47" i="40"/>
  <c r="J47" i="40"/>
  <c r="I46" i="40"/>
  <c r="J46" i="40"/>
  <c r="F27" i="11"/>
  <c r="C47" i="11"/>
  <c r="D45" i="11"/>
  <c r="C28" i="11"/>
  <c r="C27" i="11"/>
  <c r="C29" i="11"/>
  <c r="D27" i="11"/>
  <c r="F28" i="12"/>
  <c r="C29" i="12" s="1"/>
  <c r="D28" i="12" s="1"/>
  <c r="H10" i="39"/>
  <c r="AB10" i="39"/>
  <c r="U10" i="39"/>
  <c r="J10" i="39"/>
  <c r="AC10" i="39"/>
  <c r="W10" i="39"/>
  <c r="S10" i="40"/>
  <c r="F10" i="39"/>
  <c r="AA10" i="39"/>
  <c r="W10" i="40"/>
  <c r="S10" i="39"/>
  <c r="U10" i="40"/>
  <c r="F8" i="15"/>
  <c r="F9" i="15"/>
  <c r="C14" i="15"/>
  <c r="F26" i="15"/>
  <c r="F36" i="15"/>
  <c r="F13" i="15"/>
  <c r="F37" i="15"/>
  <c r="F38" i="15"/>
  <c r="F42" i="15"/>
  <c r="L48" i="15"/>
  <c r="M8" i="15"/>
  <c r="M9" i="15"/>
  <c r="E7" i="76"/>
  <c r="E9" i="76"/>
  <c r="E11" i="76"/>
  <c r="E13" i="76"/>
  <c r="B12" i="76"/>
  <c r="B10" i="76"/>
  <c r="B9" i="76"/>
  <c r="D3" i="73"/>
  <c r="D6" i="73"/>
  <c r="D7" i="73"/>
  <c r="AO11" i="1"/>
  <c r="AO10" i="1"/>
  <c r="C76" i="67"/>
  <c r="F6" i="67"/>
  <c r="M22" i="15"/>
  <c r="M26" i="67"/>
  <c r="F13" i="67"/>
  <c r="F7" i="67"/>
  <c r="L48" i="67"/>
  <c r="F43" i="67"/>
  <c r="L47" i="15"/>
  <c r="F16" i="67"/>
  <c r="L47" i="67"/>
  <c r="F38" i="67"/>
  <c r="F40" i="67"/>
  <c r="M28" i="67"/>
  <c r="M29" i="67"/>
  <c r="M8" i="67"/>
  <c r="F42" i="67"/>
  <c r="D4" i="73"/>
  <c r="F6" i="15"/>
  <c r="F4" i="73"/>
  <c r="F16" i="15"/>
  <c r="E8" i="76"/>
  <c r="E12" i="76"/>
  <c r="B11" i="76"/>
  <c r="B7" i="76"/>
  <c r="F6" i="73"/>
  <c r="AO9" i="1"/>
  <c r="AO12" i="1"/>
  <c r="M24" i="67"/>
  <c r="F8" i="67"/>
  <c r="M28" i="15"/>
  <c r="M9" i="67"/>
  <c r="J15" i="67"/>
  <c r="M22" i="67"/>
  <c r="F36" i="67"/>
  <c r="F9" i="67"/>
  <c r="M23" i="67"/>
  <c r="F35" i="67"/>
  <c r="M21" i="15"/>
  <c r="F41" i="67"/>
  <c r="AO8" i="1"/>
  <c r="E2" i="69"/>
  <c r="D2" i="36"/>
  <c r="F20" i="31"/>
  <c r="D2" i="33"/>
  <c r="D2" i="35"/>
  <c r="F7" i="15"/>
  <c r="F40" i="15"/>
  <c r="B8" i="76"/>
  <c r="F3" i="73"/>
  <c r="AO13" i="1"/>
  <c r="M24" i="15"/>
  <c r="F26" i="67"/>
  <c r="M6" i="67"/>
  <c r="F37" i="67"/>
  <c r="M29" i="15"/>
  <c r="M21" i="67"/>
  <c r="M27" i="15"/>
  <c r="AO7" i="1"/>
  <c r="D2" i="21"/>
  <c r="E2" i="68"/>
  <c r="E6" i="76"/>
  <c r="D5" i="73"/>
  <c r="F35" i="15"/>
  <c r="F43" i="15"/>
  <c r="M6" i="15"/>
  <c r="E10" i="76"/>
  <c r="B13" i="76"/>
  <c r="F7" i="73"/>
  <c r="F5" i="73"/>
  <c r="M23" i="15"/>
  <c r="J15" i="15"/>
  <c r="C76" i="15"/>
  <c r="M26" i="15"/>
  <c r="M27" i="67"/>
  <c r="D2" i="37"/>
  <c r="D2" i="34"/>
  <c r="B6" i="76"/>
  <c r="E21" i="49" l="1"/>
  <c r="E11" i="49"/>
  <c r="E22" i="49"/>
  <c r="C35" i="69"/>
  <c r="B6" i="49"/>
  <c r="B9" i="49"/>
  <c r="B7" i="49"/>
  <c r="B8" i="49"/>
  <c r="C4" i="4" s="1"/>
  <c r="B4" i="62" s="1"/>
  <c r="B71" i="72" s="1"/>
  <c r="E9" i="49"/>
  <c r="E16" i="49"/>
  <c r="B5" i="49"/>
  <c r="B14" i="49"/>
  <c r="B22" i="49"/>
  <c r="E4" i="49"/>
  <c r="B4" i="49"/>
  <c r="E5" i="49"/>
  <c r="E10" i="49"/>
  <c r="E8" i="49"/>
  <c r="B13" i="49"/>
  <c r="B11" i="49"/>
  <c r="E4" i="4" s="1"/>
  <c r="B5" i="62" s="1"/>
  <c r="B73" i="72" s="1"/>
  <c r="E6" i="49"/>
  <c r="E7" i="49"/>
  <c r="B16" i="49"/>
  <c r="B10" i="49"/>
  <c r="C34" i="68"/>
  <c r="C47" i="69"/>
  <c r="D45" i="69" s="1"/>
  <c r="C47" i="68"/>
  <c r="D45" i="68" s="1"/>
  <c r="C15" i="12"/>
  <c r="C18" i="12"/>
  <c r="D19" i="68"/>
  <c r="D37" i="68" s="1"/>
  <c r="C37" i="68" s="1"/>
  <c r="C46" i="11"/>
  <c r="C45" i="11" s="1"/>
  <c r="R16" i="1"/>
  <c r="B2" i="76"/>
  <c r="B2" i="34"/>
  <c r="B3" i="34" s="1"/>
  <c r="B2" i="37"/>
  <c r="B3" i="37" s="1"/>
  <c r="Q71" i="15"/>
  <c r="F71" i="15"/>
  <c r="C34" i="15"/>
  <c r="F63" i="15"/>
  <c r="C62" i="15" s="1"/>
  <c r="K1" i="73"/>
  <c r="E2" i="76"/>
  <c r="B2" i="21"/>
  <c r="B3" i="21" s="1"/>
  <c r="B7" i="70"/>
  <c r="J20" i="67"/>
  <c r="F65" i="67"/>
  <c r="C27" i="67"/>
  <c r="B13" i="70"/>
  <c r="F68" i="15"/>
  <c r="M7" i="15"/>
  <c r="J6" i="15" s="1"/>
  <c r="F50" i="15"/>
  <c r="B2" i="35"/>
  <c r="B3" i="35" s="1"/>
  <c r="B2" i="33"/>
  <c r="B3" i="33" s="1"/>
  <c r="B20" i="31"/>
  <c r="B2" i="36"/>
  <c r="B3" i="36" s="1"/>
  <c r="B8" i="70"/>
  <c r="F69" i="67"/>
  <c r="J20" i="15"/>
  <c r="C34" i="67"/>
  <c r="F63" i="67"/>
  <c r="C62" i="67" s="1"/>
  <c r="F64" i="67"/>
  <c r="F51" i="67"/>
  <c r="B12" i="70"/>
  <c r="B9" i="70"/>
  <c r="I1" i="73"/>
  <c r="B39" i="1" s="1"/>
  <c r="C6" i="15"/>
  <c r="E20" i="43"/>
  <c r="F70" i="67"/>
  <c r="F68" i="67"/>
  <c r="F66" i="67"/>
  <c r="N59" i="67"/>
  <c r="M59" i="67"/>
  <c r="L58" i="67"/>
  <c r="L59" i="67"/>
  <c r="L58" i="15"/>
  <c r="N59" i="15"/>
  <c r="L59" i="15"/>
  <c r="M59" i="15"/>
  <c r="F71" i="67"/>
  <c r="I54" i="67"/>
  <c r="L56" i="67"/>
  <c r="J57" i="67"/>
  <c r="J55" i="67" s="1"/>
  <c r="J58" i="67" s="1"/>
  <c r="Q50" i="67" s="1"/>
  <c r="M7" i="67"/>
  <c r="J6" i="67" s="1"/>
  <c r="F50" i="67"/>
  <c r="C6" i="67"/>
  <c r="Q71" i="67"/>
  <c r="B10" i="70"/>
  <c r="B11" i="70"/>
  <c r="J53" i="15"/>
  <c r="I54" i="15"/>
  <c r="J57" i="15"/>
  <c r="J55" i="15" s="1"/>
  <c r="J58" i="15" s="1"/>
  <c r="Q50" i="15" s="1"/>
  <c r="L57" i="15"/>
  <c r="L56" i="15"/>
  <c r="L60" i="15"/>
  <c r="F66" i="15"/>
  <c r="F65" i="15"/>
  <c r="F64" i="15"/>
  <c r="C27" i="15"/>
  <c r="C15" i="15"/>
  <c r="C18" i="15"/>
  <c r="F51" i="15"/>
  <c r="C49" i="15" s="1"/>
  <c r="D17" i="12"/>
  <c r="C17" i="12" s="1"/>
  <c r="C14" i="12"/>
  <c r="C16" i="12" s="1"/>
  <c r="C29" i="68"/>
  <c r="D27" i="68" s="1"/>
  <c r="C9" i="69"/>
  <c r="C8" i="69" s="1"/>
  <c r="C5" i="69" s="1"/>
  <c r="D19" i="69"/>
  <c r="K4" i="4"/>
  <c r="B46" i="48" s="1"/>
  <c r="B4" i="72" s="1"/>
  <c r="C17" i="15"/>
  <c r="C16" i="15"/>
  <c r="C14" i="67"/>
  <c r="C17" i="67"/>
  <c r="G1" i="73"/>
  <c r="C16" i="67"/>
  <c r="C35" i="68" l="1"/>
  <c r="C38" i="68"/>
  <c r="C21" i="12"/>
  <c r="C22" i="12" s="1"/>
  <c r="C30" i="12" s="1"/>
  <c r="C28" i="12" s="1"/>
  <c r="B40" i="1"/>
  <c r="C18" i="67"/>
  <c r="C15" i="67"/>
  <c r="C19" i="15"/>
  <c r="C19" i="69"/>
  <c r="D37" i="69"/>
  <c r="C37" i="69" s="1"/>
  <c r="C33" i="69" s="1"/>
  <c r="Q61" i="15"/>
  <c r="Q74" i="15"/>
  <c r="Q73" i="15"/>
  <c r="Q60" i="15"/>
  <c r="Q73" i="67"/>
  <c r="Q60" i="67"/>
  <c r="P17" i="43"/>
  <c r="N17" i="43"/>
  <c r="O17" i="43"/>
  <c r="M17" i="43"/>
  <c r="F11" i="15"/>
  <c r="C53" i="15" s="1"/>
  <c r="C48" i="15" s="1"/>
  <c r="M11" i="15"/>
  <c r="J10" i="15" s="1"/>
  <c r="J5" i="15" s="1"/>
  <c r="F11" i="67"/>
  <c r="M11" i="67"/>
  <c r="J10" i="67" s="1"/>
  <c r="J5" i="67" s="1"/>
  <c r="C49" i="67"/>
  <c r="C20" i="69"/>
  <c r="Q57" i="15"/>
  <c r="Q66" i="15"/>
  <c r="Q52" i="15"/>
  <c r="F1" i="15"/>
  <c r="Q74" i="67"/>
  <c r="Q61" i="67"/>
  <c r="B3" i="76"/>
  <c r="AE6" i="1"/>
  <c r="F41" i="15" s="1"/>
  <c r="C10" i="15" l="1"/>
  <c r="C5" i="15" s="1"/>
  <c r="C33" i="68"/>
  <c r="C39" i="68" s="1"/>
  <c r="C46" i="68" s="1"/>
  <c r="C45" i="68" s="1"/>
  <c r="C28" i="69"/>
  <c r="C27" i="69" s="1"/>
  <c r="C19" i="67"/>
  <c r="C20" i="67" s="1"/>
  <c r="C26" i="67" s="1"/>
  <c r="F69" i="15"/>
  <c r="C32" i="15"/>
  <c r="C33" i="15"/>
  <c r="C38" i="15"/>
  <c r="C66" i="15"/>
  <c r="C60" i="15"/>
  <c r="J18" i="67"/>
  <c r="J26" i="67"/>
  <c r="J29" i="67" s="1"/>
  <c r="J24" i="67"/>
  <c r="J18" i="15"/>
  <c r="J26" i="15"/>
  <c r="J29" i="15" s="1"/>
  <c r="J24" i="15"/>
  <c r="C53" i="67"/>
  <c r="C48" i="67" s="1"/>
  <c r="C10" i="67"/>
  <c r="C5" i="67" s="1"/>
  <c r="C39" i="69"/>
  <c r="C46" i="69" s="1"/>
  <c r="C45" i="69" s="1"/>
  <c r="C20" i="15"/>
  <c r="C26" i="15" s="1"/>
  <c r="F22" i="68"/>
  <c r="F25" i="12"/>
  <c r="F24" i="67"/>
  <c r="C24" i="67" s="1"/>
  <c r="F22" i="11"/>
  <c r="F24" i="15"/>
  <c r="C24" i="15" s="1"/>
  <c r="F22" i="69"/>
  <c r="C24" i="69" s="1"/>
  <c r="C26" i="68" l="1"/>
  <c r="D22" i="68" s="1"/>
  <c r="C44" i="68"/>
  <c r="D41" i="68" s="1"/>
  <c r="C24" i="68"/>
  <c r="C25" i="68"/>
  <c r="C23" i="68"/>
  <c r="C42" i="68"/>
  <c r="C43" i="68"/>
  <c r="C23" i="15"/>
  <c r="C29" i="15" s="1"/>
  <c r="C43" i="69"/>
  <c r="C23" i="67"/>
  <c r="C29" i="67" s="1"/>
  <c r="C31" i="15"/>
  <c r="C26" i="69"/>
  <c r="D22" i="69" s="1"/>
  <c r="C44" i="69"/>
  <c r="D41" i="69" s="1"/>
  <c r="C23" i="69"/>
  <c r="C25" i="11"/>
  <c r="C44" i="11"/>
  <c r="D41" i="11" s="1"/>
  <c r="C23" i="11"/>
  <c r="C24" i="11"/>
  <c r="C26" i="11"/>
  <c r="D22" i="11" s="1"/>
  <c r="C42" i="11"/>
  <c r="C43" i="11"/>
  <c r="C26" i="12"/>
  <c r="D25" i="12" s="1"/>
  <c r="C27" i="12"/>
  <c r="C25" i="12" s="1"/>
  <c r="C42" i="69"/>
  <c r="C32" i="67"/>
  <c r="C38" i="67"/>
  <c r="C60" i="67"/>
  <c r="C66" i="67"/>
  <c r="C25" i="69"/>
  <c r="C32" i="12" l="1"/>
  <c r="B2" i="12" s="1"/>
  <c r="B3" i="12" s="1"/>
  <c r="C22" i="11"/>
  <c r="C22" i="68"/>
  <c r="C31" i="68" s="1"/>
  <c r="C31" i="11"/>
  <c r="C41" i="69"/>
  <c r="C49" i="69" s="1"/>
  <c r="C51" i="69" s="1"/>
  <c r="C41" i="11"/>
  <c r="C49" i="11" s="1"/>
  <c r="C51" i="11" s="1"/>
  <c r="C22" i="69"/>
  <c r="C31" i="69" s="1"/>
  <c r="C52" i="69" s="1"/>
  <c r="B2" i="69" s="1"/>
  <c r="B3" i="69" s="1"/>
  <c r="C13" i="67"/>
  <c r="J19" i="67"/>
  <c r="J17" i="67" s="1"/>
  <c r="C36" i="67"/>
  <c r="C33" i="67"/>
  <c r="C31" i="67" s="1"/>
  <c r="C57" i="67"/>
  <c r="Q49" i="67"/>
  <c r="J14" i="67"/>
  <c r="J59" i="67"/>
  <c r="J60" i="67" s="1"/>
  <c r="C36" i="15"/>
  <c r="C57" i="15"/>
  <c r="J14" i="15"/>
  <c r="C13" i="15"/>
  <c r="Q49" i="15"/>
  <c r="J19" i="15"/>
  <c r="J17" i="15" s="1"/>
  <c r="J59" i="15"/>
  <c r="J60" i="15" s="1"/>
  <c r="C41" i="68"/>
  <c r="C49" i="68" s="1"/>
  <c r="C51" i="68" s="1"/>
  <c r="C52" i="11" l="1"/>
  <c r="B2" i="11" s="1"/>
  <c r="B3" i="11" s="1"/>
  <c r="Q48" i="15"/>
  <c r="L46" i="15"/>
  <c r="J13" i="15"/>
  <c r="J23" i="15" s="1"/>
  <c r="J22" i="15"/>
  <c r="J13" i="67"/>
  <c r="J23" i="67" s="1"/>
  <c r="J22" i="67"/>
  <c r="C61" i="67"/>
  <c r="C59" i="67" s="1"/>
  <c r="C64" i="67"/>
  <c r="C56" i="67"/>
  <c r="C65" i="67" s="1"/>
  <c r="C37" i="67"/>
  <c r="C30" i="67" s="1"/>
  <c r="C39" i="67" s="1"/>
  <c r="Q70" i="67"/>
  <c r="C75" i="67"/>
  <c r="C56" i="11"/>
  <c r="C57" i="11" s="1"/>
  <c r="C37" i="15"/>
  <c r="C30" i="15" s="1"/>
  <c r="C39" i="15" s="1"/>
  <c r="Q70" i="15"/>
  <c r="C56" i="15"/>
  <c r="C65" i="15" s="1"/>
  <c r="C75" i="15"/>
  <c r="C64" i="15"/>
  <c r="C61" i="15"/>
  <c r="C59" i="15" s="1"/>
  <c r="Q48" i="67"/>
  <c r="L46" i="67"/>
  <c r="C57" i="69"/>
  <c r="C56" i="69" s="1"/>
  <c r="C52" i="68"/>
  <c r="B2" i="68" s="1"/>
  <c r="C19" i="9"/>
  <c r="J16" i="15" l="1"/>
  <c r="J25" i="15" s="1"/>
  <c r="J16" i="67"/>
  <c r="J25" i="67" s="1"/>
  <c r="C102" i="9"/>
  <c r="C21" i="9"/>
  <c r="C40" i="15"/>
  <c r="Q69" i="15"/>
  <c r="Q68" i="15" s="1"/>
  <c r="Q69" i="67"/>
  <c r="Q68" i="67" s="1"/>
  <c r="C40" i="67"/>
  <c r="C58" i="15"/>
  <c r="C67" i="15" s="1"/>
  <c r="C68" i="15" s="1"/>
  <c r="C80" i="15"/>
  <c r="C79" i="15" s="1"/>
  <c r="C57" i="68"/>
  <c r="C56" i="68" s="1"/>
  <c r="C80" i="67"/>
  <c r="C79" i="67" s="1"/>
  <c r="C58" i="67"/>
  <c r="C67" i="67" s="1"/>
  <c r="C68" i="67" s="1"/>
  <c r="B3" i="68"/>
  <c r="L51" i="15"/>
  <c r="D35" i="9"/>
  <c r="D34" i="9"/>
  <c r="C20" i="9"/>
  <c r="L51" i="67"/>
  <c r="Q67" i="67" l="1"/>
  <c r="L57" i="67"/>
  <c r="L60" i="67" s="1"/>
  <c r="C103" i="9"/>
  <c r="Q67" i="15"/>
  <c r="C71" i="67"/>
  <c r="C45" i="67"/>
  <c r="C46" i="67" s="1"/>
  <c r="C71" i="15"/>
  <c r="C46" i="15"/>
  <c r="Q65" i="67"/>
  <c r="Q56" i="67"/>
  <c r="Q47" i="67"/>
  <c r="Q53" i="67" s="1"/>
  <c r="D2" i="67"/>
  <c r="C43" i="67"/>
  <c r="C83" i="67"/>
  <c r="C82" i="67" s="1"/>
  <c r="Q65" i="15"/>
  <c r="Q75" i="15" s="1"/>
  <c r="Q47" i="15"/>
  <c r="Q53" i="15" s="1"/>
  <c r="Q56" i="15"/>
  <c r="Q62" i="15" s="1"/>
  <c r="B2" i="15"/>
  <c r="C43" i="15"/>
  <c r="C83" i="15"/>
  <c r="C82" i="15" s="1"/>
  <c r="AO6" i="1"/>
  <c r="D19" i="9"/>
  <c r="D21" i="9" l="1"/>
  <c r="D102" i="9"/>
  <c r="G19" i="9"/>
  <c r="D22" i="9"/>
  <c r="B6" i="70"/>
  <c r="B2" i="70" s="1"/>
  <c r="B3" i="70" s="1"/>
  <c r="Q66" i="67"/>
  <c r="Q75" i="67" s="1"/>
  <c r="Q57" i="67"/>
  <c r="B3" i="15"/>
  <c r="B3" i="67"/>
  <c r="B2" i="67"/>
  <c r="Q62" i="67"/>
  <c r="D20" i="9"/>
  <c r="D103" i="9" l="1"/>
  <c r="G20" i="9"/>
  <c r="G21" i="9"/>
  <c r="C32" i="9"/>
  <c r="H118" i="9" l="1"/>
  <c r="C35" i="9"/>
  <c r="F118" i="9" s="1"/>
  <c r="G118" i="9" l="1"/>
  <c r="G4" i="52" s="1"/>
  <c r="B52" i="72" s="1"/>
  <c r="F4" i="52"/>
  <c r="B51" i="72" s="1"/>
  <c r="F119" i="9"/>
  <c r="F5" i="52" s="1"/>
  <c r="B53" i="72" s="1"/>
  <c r="C34" i="9"/>
  <c r="D118" i="9" s="1"/>
  <c r="J118" i="9" s="1"/>
  <c r="I118" i="9"/>
  <c r="H4" i="52"/>
  <c r="H119" i="9"/>
  <c r="H5" i="52" s="1"/>
  <c r="C104" i="9"/>
  <c r="H101" i="9"/>
  <c r="D14" i="74"/>
  <c r="E14" i="74" l="1"/>
  <c r="F14" i="74"/>
  <c r="D4" i="52"/>
  <c r="B47" i="72" s="1"/>
  <c r="D119" i="9"/>
  <c r="D5" i="52" s="1"/>
  <c r="B49" i="72" s="1"/>
  <c r="H107" i="9"/>
  <c r="D45" i="9"/>
  <c r="D5" i="53"/>
  <c r="M48" i="9"/>
  <c r="H102" i="9"/>
  <c r="D7" i="53" s="1"/>
  <c r="B21" i="72" s="1"/>
  <c r="I4" i="52"/>
  <c r="C105" i="9"/>
  <c r="E118" i="9"/>
  <c r="E4" i="52" s="1"/>
  <c r="B48" i="72" s="1"/>
  <c r="D6" i="53" l="1"/>
  <c r="B22" i="72" s="1"/>
  <c r="B20" i="72"/>
  <c r="M49" i="9"/>
  <c r="D122" i="9"/>
  <c r="D13" i="53"/>
  <c r="H108" i="9"/>
  <c r="D15" i="53" s="1"/>
  <c r="B31" i="72" s="1"/>
  <c r="C93" i="9"/>
  <c r="C86" i="9" s="1"/>
  <c r="C72" i="9"/>
  <c r="D52" i="9"/>
  <c r="D55" i="9"/>
  <c r="M53" i="9" s="1"/>
  <c r="C85" i="9"/>
  <c r="C95" i="9" s="1"/>
  <c r="C78" i="9"/>
  <c r="C73" i="9" s="1"/>
  <c r="C64" i="9"/>
  <c r="C63" i="9" s="1"/>
  <c r="C67" i="9" s="1"/>
  <c r="C68" i="9" s="1"/>
  <c r="D54" i="9" s="1"/>
  <c r="D53" i="9"/>
  <c r="C79" i="9" l="1"/>
  <c r="G14" i="74"/>
  <c r="D8" i="52"/>
  <c r="D123" i="9"/>
  <c r="D9" i="52" s="1"/>
  <c r="C96" i="9"/>
  <c r="E96" i="9" s="1"/>
  <c r="E97" i="9" s="1"/>
  <c r="B30" i="72"/>
  <c r="D14" i="53"/>
  <c r="B32" i="72" s="1"/>
  <c r="L63" i="9"/>
  <c r="M63" i="9" s="1"/>
  <c r="L64" i="9"/>
  <c r="M64" i="9" s="1"/>
  <c r="L65" i="9"/>
  <c r="M65" i="9" s="1"/>
  <c r="L66" i="9"/>
  <c r="M66" i="9" s="1"/>
  <c r="L67" i="9"/>
  <c r="M67" i="9" s="1"/>
  <c r="L68" i="9"/>
  <c r="M68" i="9" s="1"/>
  <c r="M69" i="9" l="1"/>
  <c r="N69" i="9" s="1"/>
  <c r="C97" i="9"/>
  <c r="D58" i="9" s="1"/>
  <c r="D56" i="9" s="1"/>
  <c r="M54" i="9" s="1"/>
  <c r="N57" i="9" s="1"/>
  <c r="C80" i="9"/>
  <c r="E80" i="9" s="1"/>
  <c r="E81" i="9" s="1"/>
  <c r="C81" i="9"/>
  <c r="D15" i="74"/>
  <c r="G15" i="74" l="1"/>
  <c r="B6" i="74" s="1"/>
  <c r="F15" i="74"/>
  <c r="E15" i="74"/>
  <c r="B5" i="74"/>
  <c r="N58" i="9"/>
  <c r="P57" i="9"/>
  <c r="N59" i="9"/>
  <c r="D5" i="74" l="1"/>
  <c r="C5" i="74"/>
  <c r="N60" i="9"/>
  <c r="N61" i="9"/>
  <c r="C6" i="74"/>
  <c r="D6" i="74"/>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<sst xmlns="http://schemas.openxmlformats.org/spreadsheetml/2006/main" count="7922" uniqueCount="3241">
  <si>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</si>
  <si>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</si>
  <si>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</si>
  <si>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</si>
  <si>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</si>
  <si>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</si>
  <si>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</si>
  <si>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</si>
  <si>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</si>
  <si>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</si>
  <si>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</si>
  <si>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</si>
  <si>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</si>
  <si>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</si>
  <si>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</si>
  <si>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</si>
  <si>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</si>
  <si>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</si>
  <si>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</si>
  <si>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</si>
  <si>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</si>
  <si>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</si>
  <si>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</si>
  <si>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</si>
  <si>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</si>
  <si>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</si>
  <si>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</si>
  <si>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</si>
  <si>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</si>
  <si>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</si>
  <si>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</si>
  <si>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</si>
  <si>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</si>
  <si>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</si>
  <si>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</si>
  <si>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</si>
  <si>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</si>
  <si>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</si>
  <si>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</si>
  <si>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</si>
  <si>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</si>
  <si>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</si>
  <si>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</si>
  <si>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</si>
  <si>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</si>
  <si>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</si>
  <si>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</si>
  <si>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</si>
  <si>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</si>
  <si>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</si>
  <si>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</si>
  <si>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</si>
  <si>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</si>
  <si>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</si>
  <si>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</si>
  <si>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</si>
  <si>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</si>
  <si>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</si>
  <si>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</si>
  <si>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</si>
  <si>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</si>
  <si>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</si>
  <si>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</si>
  <si>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</si>
  <si>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</si>
  <si>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</si>
  <si>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</si>
  <si>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</si>
  <si>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</si>
  <si>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</si>
  <si>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</si>
  <si>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</si>
  <si>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</si>
  <si>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</si>
  <si>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</si>
  <si>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</si>
  <si>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</si>
  <si>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</si>
  <si>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</si>
  <si>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</si>
  <si>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</si>
  <si>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</si>
  <si>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</si>
  <si>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</si>
  <si>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</si>
  <si>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</si>
  <si>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</si>
  <si>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</si>
  <si>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</si>
  <si>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</si>
  <si>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</si>
  <si>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</si>
  <si>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</si>
  <si>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</si>
  <si>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</si>
  <si>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</si>
  <si>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</si>
  <si>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</si>
  <si>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</si>
  <si>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</si>
  <si>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</si>
  <si>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</si>
  <si>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</si>
  <si>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</si>
  <si>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</si>
  <si>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</si>
  <si>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</si>
  <si>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</si>
  <si>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</si>
  <si>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</si>
  <si>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</si>
  <si>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</si>
  <si>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</si>
  <si>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</si>
  <si>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</si>
  <si>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</si>
  <si>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</si>
  <si>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</si>
  <si>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</si>
  <si>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</si>
  <si>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</si>
  <si>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</si>
  <si>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</si>
  <si>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</si>
  <si>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</si>
  <si>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</si>
  <si>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</si>
  <si>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</si>
  <si>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</si>
  <si>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</si>
  <si>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</si>
  <si>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</si>
  <si>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</si>
  <si>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</si>
  <si>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</si>
  <si>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</si>
  <si>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</si>
  <si>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</si>
  <si>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</si>
  <si>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</si>
  <si>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</si>
  <si>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</si>
  <si>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</si>
  <si>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</si>
  <si>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</si>
  <si>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</si>
  <si>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</si>
  <si>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</si>
  <si>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</si>
  <si>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</si>
  <si>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</si>
  <si>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</si>
  <si>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</si>
  <si>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</si>
  <si>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</si>
  <si>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</si>
  <si>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</si>
  <si>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</si>
  <si>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</si>
  <si>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</si>
  <si>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</si>
  <si>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</si>
  <si>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</si>
  <si>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</si>
  <si>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</si>
  <si>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</si>
  <si>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</si>
  <si>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</si>
  <si>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</si>
  <si>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</si>
  <si>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</si>
  <si>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</si>
  <si>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</si>
  <si>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</si>
  <si>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</si>
  <si>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</si>
  <si>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</si>
  <si>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</si>
  <si>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</si>
  <si>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</si>
  <si>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</si>
  <si>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</si>
  <si>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</si>
  <si>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</si>
  <si>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</si>
  <si>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</si>
  <si>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</si>
  <si>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</si>
  <si>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</si>
  <si>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</si>
  <si>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</si>
  <si>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</si>
  <si>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</si>
  <si>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</si>
  <si>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</si>
  <si>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</si>
  <si>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</si>
  <si>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</si>
  <si>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</si>
  <si>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</si>
  <si>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</si>
  <si>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</si>
  <si>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</si>
  <si>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</si>
  <si>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</si>
  <si>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</si>
  <si>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</si>
  <si>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</si>
  <si>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</si>
  <si>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</si>
  <si>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</si>
  <si>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</si>
  <si>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</si>
  <si>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</si>
  <si>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</si>
  <si>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</si>
  <si>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</si>
  <si>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</si>
  <si>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</si>
  <si>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</si>
  <si>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</si>
  <si>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</si>
  <si>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</si>
  <si>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</si>
  <si>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</si>
  <si>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</si>
  <si>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</si>
  <si>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</si>
  <si>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</si>
  <si>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</si>
  <si>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</si>
  <si>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</si>
  <si>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</si>
  <si>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</si>
  <si>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</si>
  <si>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</si>
  <si>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</si>
  <si>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</si>
  <si>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</si>
  <si>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</si>
  <si>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</si>
  <si>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</si>
  <si>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</si>
  <si>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</si>
  <si>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</si>
  <si>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</si>
  <si>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</si>
  <si>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</si>
  <si>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</si>
  <si>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</si>
  <si>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</si>
  <si>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</si>
  <si>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</si>
  <si>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</si>
  <si>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</si>
  <si>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</si>
  <si>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</si>
  <si>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</si>
  <si>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</si>
  <si>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</si>
  <si>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</si>
  <si>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</si>
  <si>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</si>
  <si>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</si>
  <si>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</si>
  <si>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</si>
  <si>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</si>
  <si>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</si>
  <si>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</si>
  <si>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</si>
  <si>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</si>
  <si>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</si>
  <si>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</si>
  <si>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</si>
  <si>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</si>
  <si>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</si>
  <si>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</si>
  <si>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</si>
  <si>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</si>
  <si>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</si>
  <si>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</si>
  <si>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</si>
  <si>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</si>
  <si>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</si>
  <si>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</si>
  <si>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</si>
  <si>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</si>
  <si>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</si>
  <si>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</si>
  <si>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</si>
  <si>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</si>
  <si>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</si>
  <si>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</si>
  <si>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</si>
  <si>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</si>
  <si>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</si>
  <si>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</si>
  <si>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</si>
  <si>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</si>
  <si>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</si>
  <si>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</si>
  <si>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</si>
  <si>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</si>
  <si>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</si>
  <si>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</si>
  <si>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</si>
  <si>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</si>
  <si>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</si>
  <si>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</si>
  <si>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</si>
  <si>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</si>
  <si>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</si>
  <si>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</si>
  <si>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</si>
  <si>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</si>
  <si>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</si>
  <si>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</si>
  <si>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</si>
  <si>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</si>
  <si>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</si>
  <si>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</si>
  <si>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</si>
  <si>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</si>
  <si>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</si>
  <si>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</si>
  <si>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</si>
  <si>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</si>
  <si>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</si>
  <si>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</si>
  <si>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</si>
  <si>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</si>
  <si>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</si>
  <si>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</si>
  <si>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</si>
  <si>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</si>
  <si>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</si>
  <si>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</si>
  <si>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</si>
  <si>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</si>
  <si>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</si>
  <si>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</si>
  <si>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</si>
  <si>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</si>
  <si>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</si>
  <si>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</si>
  <si>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</si>
  <si>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</si>
  <si>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</si>
  <si>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</si>
  <si>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</si>
  <si>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</si>
  <si>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</si>
  <si>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</si>
  <si>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</si>
  <si>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</si>
  <si>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</si>
  <si>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</si>
  <si>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</si>
  <si>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</si>
  <si>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</si>
  <si>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</si>
  <si>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</si>
  <si>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</si>
  <si>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</si>
  <si>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</si>
  <si>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</si>
  <si>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</si>
  <si>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</si>
  <si>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</si>
  <si>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</si>
  <si>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</si>
  <si>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</si>
  <si>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</si>
  <si>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</si>
  <si>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</si>
  <si>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</si>
  <si>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</si>
  <si>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</si>
  <si>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</si>
  <si>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</si>
  <si>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</si>
  <si>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</si>
  <si>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</si>
  <si>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</si>
  <si>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</si>
  <si>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</si>
  <si>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</si>
  <si>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</si>
  <si>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</si>
  <si>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</si>
  <si>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</si>
  <si>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</si>
  <si>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</si>
  <si>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</si>
  <si>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</si>
  <si>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</si>
  <si>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</si>
  <si>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</si>
  <si>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</si>
  <si>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</si>
  <si>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</si>
  <si>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</si>
  <si>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</si>
  <si>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</si>
  <si>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</si>
  <si>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</si>
  <si>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</si>
  <si>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</si>
  <si>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</si>
  <si>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</si>
  <si>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</si>
  <si>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</si>
  <si>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</si>
  <si>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</si>
  <si>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</si>
  <si>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</si>
  <si>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</si>
  <si>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</si>
  <si>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</si>
  <si>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</si>
  <si>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</si>
  <si>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</si>
  <si>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</si>
  <si>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</si>
  <si>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</si>
  <si>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</si>
  <si>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</si>
  <si>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</si>
  <si>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</si>
  <si>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</si>
  <si>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</si>
  <si>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</si>
  <si>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</si>
  <si>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</si>
  <si>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</si>
  <si>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</si>
  <si>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</si>
  <si>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</si>
  <si>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</si>
  <si>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</si>
  <si>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</si>
  <si>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</si>
  <si>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</si>
  <si>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</si>
  <si>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</si>
  <si>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</si>
  <si>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</si>
  <si>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</si>
  <si>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</si>
  <si>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</si>
  <si>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</si>
  <si>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</si>
  <si>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</si>
  <si>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</si>
  <si>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</si>
  <si>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</si>
  <si>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</si>
  <si>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</si>
  <si>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</si>
  <si>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</si>
  <si>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</si>
  <si>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</si>
  <si>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</si>
  <si>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</si>
  <si>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</si>
  <si>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</si>
  <si>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</si>
  <si>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</si>
  <si>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</si>
  <si>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</si>
  <si>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</si>
  <si>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</si>
  <si>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</si>
  <si>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</si>
  <si>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</si>
  <si>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</si>
  <si>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</si>
  <si>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</si>
  <si>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</si>
  <si>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</si>
  <si>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</si>
  <si>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</si>
  <si>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</si>
  <si>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</si>
  <si>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</si>
  <si>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</si>
  <si>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</si>
  <si>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</si>
  <si>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</si>
  <si>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</si>
  <si>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</si>
  <si>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</si>
  <si>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</si>
  <si>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</si>
  <si>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</si>
  <si>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</si>
  <si>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</si>
  <si>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</si>
  <si>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</si>
  <si>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</si>
  <si>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</si>
  <si>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</si>
  <si>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</si>
  <si>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</si>
  <si>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</si>
  <si>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</si>
  <si>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</si>
  <si>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</si>
  <si>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</si>
  <si>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</si>
  <si>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</si>
  <si>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</si>
  <si>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</si>
  <si>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</si>
  <si>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</si>
  <si>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</si>
  <si>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</si>
  <si>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</si>
  <si>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</si>
  <si>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</si>
  <si>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</si>
  <si>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</si>
  <si>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</si>
  <si>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</si>
  <si>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</si>
  <si>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</si>
  <si>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</si>
  <si>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</si>
  <si>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</si>
  <si>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</si>
  <si>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</si>
  <si>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</si>
  <si>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</si>
  <si>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</si>
  <si>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</si>
  <si>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</si>
  <si>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</si>
  <si>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</si>
  <si>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</si>
  <si>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</si>
  <si>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</si>
  <si>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</si>
  <si>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</si>
  <si>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</si>
  <si>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</si>
  <si>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</si>
  <si>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</si>
  <si>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</si>
  <si>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</si>
  <si>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</si>
  <si>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</si>
  <si>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</si>
  <si>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</si>
  <si>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</si>
  <si>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</si>
  <si>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</si>
  <si>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</si>
  <si>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</si>
  <si>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</si>
  <si>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</si>
  <si>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</si>
  <si>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</si>
  <si>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</si>
  <si>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</si>
  <si>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</si>
  <si>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</si>
  <si>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</si>
  <si>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</si>
  <si>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</si>
  <si>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</si>
  <si>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</si>
  <si>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</si>
  <si>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</si>
  <si>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</si>
  <si>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</si>
  <si>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</si>
  <si>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</si>
  <si>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</si>
  <si>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</si>
  <si>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</si>
  <si>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</si>
  <si>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</si>
  <si>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</si>
  <si>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</si>
  <si>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</si>
  <si>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</si>
  <si>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</si>
  <si>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</si>
  <si>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</si>
  <si>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</si>
  <si>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</si>
  <si>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</si>
  <si>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</si>
  <si>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</si>
  <si>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</si>
  <si>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</si>
  <si>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</si>
  <si>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</si>
  <si>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</si>
  <si>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</si>
  <si>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</si>
  <si>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</si>
  <si>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</si>
  <si>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</si>
  <si>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</si>
  <si>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</si>
  <si>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</si>
  <si>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</si>
  <si>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</si>
  <si>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</si>
  <si>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</si>
  <si>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</si>
  <si>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</si>
  <si>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</si>
  <si>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</si>
  <si>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</si>
  <si>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</si>
  <si>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</si>
  <si>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</si>
  <si>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</si>
  <si>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</si>
  <si>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</si>
  <si>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</si>
  <si>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</si>
  <si>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</si>
  <si>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</si>
  <si>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</si>
  <si>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</si>
  <si>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</si>
  <si>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</si>
  <si>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</si>
  <si>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</si>
  <si>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</si>
  <si>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</si>
  <si>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</si>
  <si>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</si>
  <si>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</si>
  <si>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</si>
  <si>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</si>
  <si>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</si>
  <si>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</si>
  <si>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</si>
  <si>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</si>
  <si>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</si>
  <si>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</si>
  <si>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</si>
  <si>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</si>
  <si>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</si>
  <si>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</si>
  <si>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</si>
  <si>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</si>
  <si>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</si>
  <si>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</si>
  <si>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</si>
  <si>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</si>
  <si>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</si>
  <si>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</si>
  <si>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</si>
  <si>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</si>
  <si>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</si>
  <si>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</si>
  <si>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</si>
  <si>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</si>
  <si>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</si>
  <si>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</si>
  <si>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</si>
  <si>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</si>
  <si>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</si>
  <si>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</si>
  <si>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</si>
  <si>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</si>
  <si>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</si>
  <si>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</si>
  <si>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</si>
  <si>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</si>
  <si>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</si>
  <si>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</si>
  <si>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</si>
  <si>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</si>
  <si>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</si>
  <si>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</si>
  <si>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</si>
  <si>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</si>
  <si>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</si>
  <si>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</si>
  <si>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</si>
  <si>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</si>
  <si>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</si>
  <si>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</si>
  <si>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</si>
  <si>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</si>
  <si>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</si>
  <si>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</si>
  <si>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</si>
  <si>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</si>
  <si>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</si>
  <si>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</si>
  <si>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</si>
  <si>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</si>
  <si>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</si>
  <si>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</si>
  <si>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</si>
  <si>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</si>
  <si>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</si>
  <si>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</si>
  <si>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</si>
  <si>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</si>
  <si>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</si>
  <si>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</si>
  <si>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</si>
  <si>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</si>
  <si>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</si>
  <si>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</si>
  <si>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</si>
  <si>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</si>
  <si>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</si>
  <si>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</si>
  <si>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</si>
  <si>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</si>
  <si>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</si>
  <si>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</si>
  <si>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</si>
  <si>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</si>
  <si>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</si>
  <si>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</si>
  <si>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</si>
  <si>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</si>
  <si>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</si>
  <si>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</si>
  <si>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</si>
  <si>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</si>
  <si>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</si>
  <si>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</si>
  <si>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</si>
  <si>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</si>
  <si>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</si>
  <si>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</si>
  <si>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</si>
  <si>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</si>
  <si>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</si>
  <si>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</si>
  <si>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</si>
  <si>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</si>
  <si>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</si>
  <si>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</si>
  <si>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</si>
  <si>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</si>
  <si>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</si>
  <si>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</si>
  <si>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</si>
  <si>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</si>
  <si>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</si>
  <si>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</si>
  <si>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</si>
  <si>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</si>
  <si>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</si>
  <si>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</si>
  <si>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</si>
  <si>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</si>
  <si>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</si>
  <si>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</si>
  <si>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</si>
  <si>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</si>
  <si>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</si>
  <si>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</si>
  <si>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</si>
  <si>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</si>
  <si>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</si>
  <si>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</si>
  <si>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</si>
  <si>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</si>
  <si>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</si>
  <si>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</si>
  <si>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</si>
  <si>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</si>
  <si>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</si>
  <si>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</si>
  <si>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</si>
  <si>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</si>
  <si>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</si>
  <si>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</si>
  <si>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</si>
  <si>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</si>
  <si>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</si>
  <si>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</si>
  <si>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</si>
  <si>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</si>
  <si>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</si>
  <si>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</si>
  <si>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</si>
  <si>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</si>
  <si>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</si>
  <si>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</si>
  <si>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</si>
  <si>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</si>
  <si>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</si>
  <si>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</si>
  <si>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</si>
  <si>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</si>
  <si>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</si>
  <si>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</si>
  <si>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</si>
  <si>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</si>
  <si>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</si>
  <si>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</si>
  <si>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</si>
  <si>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</si>
  <si>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</si>
  <si>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</si>
  <si>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</si>
  <si>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</si>
  <si>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</si>
  <si>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</si>
  <si>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</si>
  <si>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</si>
  <si>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</si>
  <si>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</si>
  <si>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</si>
  <si>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</si>
  <si>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</si>
  <si>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</si>
  <si>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</si>
  <si>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</si>
  <si>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</si>
  <si>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</si>
  <si>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</si>
  <si>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</si>
  <si>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</si>
  <si>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</si>
  <si>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</si>
  <si>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</si>
  <si>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</si>
  <si>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</si>
  <si>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</si>
  <si>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</si>
  <si>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</si>
  <si>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</si>
  <si>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</si>
  <si>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</si>
  <si>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</si>
  <si>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</si>
  <si>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</si>
  <si>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</si>
  <si>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</si>
  <si>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</si>
  <si>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</si>
  <si>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</si>
  <si>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</si>
  <si>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</si>
  <si>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</si>
  <si>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</si>
  <si>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</si>
  <si>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</si>
  <si>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</si>
  <si>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</si>
  <si>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</si>
  <si>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</si>
  <si>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</si>
  <si>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</si>
  <si>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</si>
  <si>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</si>
  <si>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</si>
  <si>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</si>
  <si>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</si>
  <si>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</si>
  <si>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</si>
  <si>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</si>
  <si>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</si>
  <si>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</si>
  <si>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</si>
  <si>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</si>
  <si>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</si>
  <si>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</si>
  <si>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</si>
  <si>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</si>
  <si>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</si>
  <si>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</si>
  <si>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</si>
  <si>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</si>
  <si>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</si>
  <si>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</si>
  <si>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</si>
  <si>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</si>
  <si>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</si>
  <si>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</si>
  <si>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</si>
  <si>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</si>
  <si>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</si>
  <si>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</si>
  <si>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</si>
  <si>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</si>
  <si>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</si>
  <si>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</si>
  <si>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</si>
  <si>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</si>
  <si>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</si>
  <si>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</si>
  <si>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</si>
  <si>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</si>
  <si>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</si>
  <si>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</si>
  <si>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</si>
  <si>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</si>
  <si>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</si>
  <si>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</si>
  <si>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</si>
  <si>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</si>
  <si>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</si>
  <si>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</si>
  <si>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</si>
  <si>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</si>
  <si>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</si>
  <si>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</si>
  <si>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</si>
  <si>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</si>
  <si>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</si>
  <si>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</si>
  <si>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</si>
  <si>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</si>
  <si>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</si>
  <si>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</si>
  <si>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</si>
  <si>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</si>
  <si>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</si>
  <si>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</si>
  <si>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</si>
  <si>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</si>
  <si>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</si>
  <si>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</si>
  <si>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</si>
  <si>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</si>
  <si>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</si>
  <si>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</si>
  <si>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</si>
  <si>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</si>
  <si>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</si>
  <si>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</si>
  <si>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</si>
  <si>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</si>
  <si>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</si>
  <si>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</si>
  <si>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</si>
  <si>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</si>
  <si>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</si>
  <si>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</si>
  <si>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</si>
  <si>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</si>
  <si>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</si>
  <si>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</si>
  <si>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</si>
  <si>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</si>
  <si>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</si>
  <si>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</si>
  <si>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</si>
  <si>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</si>
  <si>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</si>
  <si>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</si>
  <si>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</si>
  <si>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</si>
  <si>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</si>
  <si>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</si>
  <si>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</si>
  <si>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</si>
  <si>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</si>
  <si>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</si>
  <si>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</si>
  <si>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</si>
  <si>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</si>
  <si>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</si>
  <si>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</si>
  <si>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</si>
  <si>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</si>
  <si>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</si>
  <si>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</si>
  <si>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</si>
  <si>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</si>
  <si>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</si>
  <si>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</si>
  <si>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</si>
  <si>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</si>
  <si>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</si>
  <si>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</si>
  <si>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</si>
  <si>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</si>
  <si>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</si>
  <si>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</si>
  <si>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</si>
  <si>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</si>
  <si>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</si>
  <si>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</si>
  <si>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</si>
  <si>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</si>
  <si>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</si>
  <si>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</si>
  <si>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</si>
  <si>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</si>
  <si>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</si>
  <si>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</si>
  <si>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</si>
  <si>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</si>
  <si>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</si>
  <si>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</si>
  <si>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</si>
  <si>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</si>
  <si>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</si>
  <si>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</si>
  <si>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</si>
  <si>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</si>
  <si>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</si>
  <si>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</si>
  <si>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</si>
  <si>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</si>
  <si>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</si>
  <si>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</si>
  <si>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</si>
  <si>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</si>
  <si>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</si>
  <si>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</si>
  <si>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</si>
  <si>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</si>
  <si>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</si>
  <si>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</si>
  <si>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</si>
  <si>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</si>
  <si>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</si>
  <si>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</si>
  <si>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</si>
  <si>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</si>
  <si>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</si>
  <si>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</si>
  <si>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</si>
  <si>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</si>
  <si>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</si>
  <si>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</si>
  <si>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</si>
  <si>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</si>
  <si>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</si>
  <si>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</si>
  <si>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</si>
  <si>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</si>
  <si>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</si>
  <si>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</si>
  <si>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</si>
  <si>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</si>
  <si>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</si>
  <si>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</si>
  <si>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</si>
  <si>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</si>
  <si>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</si>
  <si>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</si>
  <si>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</si>
  <si>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</si>
  <si>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</si>
  <si>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</si>
  <si>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</si>
  <si>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</si>
  <si>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</si>
  <si>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</si>
  <si>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</si>
  <si>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</si>
  <si>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</si>
  <si>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</si>
  <si>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</si>
  <si>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</si>
  <si>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</si>
  <si>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</si>
  <si>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</si>
  <si>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</si>
  <si>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</si>
  <si>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</si>
  <si>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</si>
  <si>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</si>
  <si>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</si>
  <si>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</si>
  <si>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</si>
  <si>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</si>
  <si>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</si>
  <si>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</si>
  <si>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</si>
  <si>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</si>
  <si>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</si>
  <si>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</si>
  <si>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</si>
  <si>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</si>
  <si>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</si>
  <si>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</si>
  <si>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</si>
  <si>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</si>
  <si>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</si>
  <si>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</si>
  <si>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</si>
  <si>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</si>
  <si>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</si>
  <si>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</si>
  <si>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</si>
  <si>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</si>
  <si>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</si>
  <si>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</si>
  <si>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</si>
  <si>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</si>
  <si>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</si>
  <si>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</si>
  <si>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</si>
  <si>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</si>
  <si>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</si>
  <si>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</si>
  <si>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</si>
  <si>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</si>
  <si>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</si>
  <si>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</si>
  <si>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</si>
  <si>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</si>
  <si>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</si>
  <si>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</si>
  <si>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</si>
  <si>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</si>
  <si>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</si>
  <si>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</si>
  <si>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</si>
  <si>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</si>
  <si>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</si>
  <si>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</si>
  <si>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</si>
  <si>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</si>
  <si>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</si>
  <si>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</si>
  <si>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</si>
  <si>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</si>
  <si>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</si>
  <si>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</si>
  <si>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</si>
  <si>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</si>
  <si>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</si>
  <si>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</si>
  <si>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</si>
  <si>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</si>
  <si>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</si>
  <si>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</si>
  <si>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</si>
  <si>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</si>
  <si>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</si>
  <si>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</si>
  <si>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</si>
  <si>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</si>
  <si>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</si>
  <si>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</si>
  <si>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</si>
  <si>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</si>
  <si>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</si>
  <si>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</si>
  <si>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</si>
  <si>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</si>
  <si>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</si>
  <si>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</si>
  <si>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</si>
  <si>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</si>
  <si>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</si>
  <si>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</si>
  <si>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</si>
  <si>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</si>
  <si>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</si>
  <si>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</si>
  <si>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</si>
  <si>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</si>
  <si>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</si>
  <si>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</si>
  <si>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</si>
  <si>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</si>
  <si>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</si>
  <si>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</si>
  <si>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</si>
  <si>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</si>
  <si>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</si>
  <si>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</si>
  <si>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</si>
  <si>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</si>
  <si>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</si>
  <si>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</si>
  <si>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</si>
  <si>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</si>
  <si>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</si>
  <si>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</si>
  <si>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</si>
  <si>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</si>
  <si>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</si>
  <si>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</si>
  <si>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</si>
  <si>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</si>
  <si>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</si>
  <si>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</si>
  <si>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</si>
  <si>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</si>
  <si>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</si>
  <si>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</si>
  <si>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</si>
  <si>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</si>
  <si>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</si>
  <si>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</si>
  <si>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</si>
  <si>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</si>
  <si>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</si>
  <si>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</si>
  <si>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</si>
  <si>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</si>
  <si>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</si>
  <si>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</si>
  <si>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</si>
  <si>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</si>
  <si>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</si>
  <si>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</si>
  <si>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</si>
  <si>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</si>
  <si>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</si>
  <si>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</si>
  <si>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</si>
  <si>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</si>
  <si>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</si>
  <si>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</si>
  <si>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</si>
  <si>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</si>
  <si>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</si>
  <si>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</si>
  <si>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</si>
  <si>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</si>
  <si>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</si>
  <si>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</si>
  <si>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</si>
  <si>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</si>
  <si>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</si>
  <si>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</si>
  <si>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</si>
  <si>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</si>
  <si>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</si>
  <si>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</si>
  <si>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</si>
  <si>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</si>
  <si>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</si>
  <si>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</si>
  <si>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</si>
  <si>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</si>
  <si>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</si>
  <si>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</si>
  <si>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</si>
  <si>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</si>
  <si>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</si>
  <si>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</si>
  <si>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</si>
  <si>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</si>
  <si>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</si>
  <si>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</si>
  <si>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</si>
  <si>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</si>
  <si>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</si>
  <si>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</si>
  <si>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</si>
  <si>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</si>
  <si>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</si>
  <si>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</si>
  <si>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</si>
  <si>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</si>
  <si>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</si>
  <si>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</si>
  <si>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</si>
  <si>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</si>
  <si>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</si>
  <si>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</si>
  <si>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</si>
  <si>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</si>
  <si>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</si>
  <si>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</si>
  <si>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</si>
  <si>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</si>
  <si>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</si>
  <si>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</si>
  <si>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</si>
  <si>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</si>
  <si>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</si>
  <si>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</si>
  <si>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</si>
  <si>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</si>
  <si>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</si>
  <si>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</si>
  <si>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</si>
  <si>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</si>
  <si>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</si>
  <si>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</si>
  <si>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</si>
  <si>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</si>
  <si>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</si>
  <si>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</si>
  <si>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</si>
  <si>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</si>
  <si>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</si>
  <si>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</si>
  <si>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</si>
  <si>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</si>
  <si>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</si>
  <si>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</si>
  <si>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</si>
  <si>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</si>
  <si>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</si>
  <si>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</si>
  <si>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</si>
  <si>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</si>
  <si>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</si>
  <si>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</si>
  <si>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</si>
  <si>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</si>
  <si>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</si>
  <si>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</si>
  <si>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</si>
  <si>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</si>
  <si>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</si>
  <si>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</si>
  <si>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</si>
  <si>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</si>
  <si>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</si>
  <si>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</si>
  <si>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</si>
  <si>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</si>
  <si>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</si>
  <si>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</si>
  <si>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</si>
  <si>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</si>
  <si>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</si>
  <si>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</si>
  <si>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</si>
  <si>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</si>
  <si>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</si>
  <si>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</si>
  <si>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</si>
  <si>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</si>
  <si>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</si>
  <si>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</si>
  <si>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</si>
  <si>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</si>
  <si>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</si>
  <si>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</si>
  <si>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</si>
  <si>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</si>
  <si>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</si>
  <si>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</si>
  <si>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</si>
  <si>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</si>
  <si>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</si>
  <si>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</si>
  <si>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</si>
  <si>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</si>
  <si>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</si>
  <si>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</si>
  <si>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</si>
  <si>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</si>
  <si>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</si>
  <si>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</si>
  <si>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</si>
  <si>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</si>
  <si>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</si>
  <si>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</si>
  <si>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</si>
  <si>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</si>
  <si>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</si>
  <si>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</si>
  <si>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</si>
  <si>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</si>
  <si>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</si>
  <si>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</si>
  <si>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</si>
  <si>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</si>
  <si>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</si>
  <si>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</si>
  <si>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</si>
  <si>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</si>
  <si>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</si>
  <si>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</si>
  <si>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</si>
  <si>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</si>
  <si>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</si>
  <si>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</si>
  <si>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</si>
  <si>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</si>
  <si>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</si>
  <si>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</si>
  <si>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</si>
  <si>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</si>
  <si>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</si>
  <si>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</si>
  <si>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</si>
  <si>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</si>
  <si>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</si>
  <si>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</si>
  <si>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</si>
  <si>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</si>
  <si>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</si>
  <si>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</si>
  <si>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</si>
  <si>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</si>
  <si>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</si>
  <si>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</si>
  <si>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</si>
  <si>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</si>
  <si>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</si>
  <si>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</si>
  <si>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</si>
  <si>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</si>
  <si>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</si>
  <si>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</si>
  <si>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</si>
  <si>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</si>
  <si>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</si>
  <si>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</si>
  <si>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</si>
  <si>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</si>
  <si>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</si>
  <si>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</si>
  <si>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</si>
  <si>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</si>
  <si>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</si>
  <si>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</si>
  <si>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</si>
  <si>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</si>
  <si>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</si>
  <si>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</si>
  <si>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</si>
  <si>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</si>
  <si>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</si>
  <si>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</si>
  <si>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</si>
  <si>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</si>
  <si>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</si>
  <si>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</si>
  <si>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</si>
  <si>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</si>
  <si>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</si>
  <si>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</si>
  <si>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</si>
  <si>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</si>
  <si>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</si>
  <si>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</si>
  <si>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</si>
  <si>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</si>
  <si>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</si>
  <si>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</si>
  <si>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</si>
  <si>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</si>
  <si>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</si>
  <si>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</si>
  <si>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</si>
  <si>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</si>
  <si>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</si>
  <si>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</si>
  <si>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</si>
  <si>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</si>
  <si>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</si>
  <si>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</si>
  <si>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</si>
  <si>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</si>
  <si>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</si>
  <si>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</si>
  <si>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</si>
  <si>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</si>
  <si>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</si>
  <si>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</si>
  <si>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</si>
  <si>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</si>
  <si>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</si>
  <si>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</si>
  <si>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</si>
  <si>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</si>
  <si>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</si>
  <si>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</si>
  <si>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</si>
  <si>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</si>
  <si>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</si>
  <si>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</si>
  <si>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</si>
  <si>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</si>
  <si>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</si>
  <si>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</si>
  <si>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</si>
  <si>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</si>
  <si>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</si>
  <si>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</si>
  <si>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</si>
  <si>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</si>
  <si>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</si>
  <si>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</si>
  <si>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</si>
  <si>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</si>
  <si>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</si>
  <si>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</si>
  <si>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</si>
  <si>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</si>
  <si>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</si>
  <si>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</si>
  <si>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</si>
  <si>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</si>
  <si>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</si>
  <si>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</si>
  <si>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</si>
  <si>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</si>
  <si>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</si>
  <si>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</si>
  <si>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</si>
  <si>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</si>
  <si>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</si>
  <si>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</si>
  <si>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</si>
  <si>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</si>
  <si>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</si>
  <si>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</si>
  <si>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</si>
  <si>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</si>
  <si>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</si>
  <si>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</si>
  <si>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</si>
  <si>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</si>
  <si>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</si>
  <si>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</si>
  <si>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</si>
  <si>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</si>
  <si>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</si>
  <si>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</si>
  <si>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</si>
  <si>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</si>
  <si>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</si>
  <si>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</si>
  <si>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</si>
  <si>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</si>
  <si>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</si>
  <si>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</si>
  <si>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</si>
  <si>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</si>
  <si>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</si>
  <si>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</si>
  <si>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</si>
  <si>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</si>
  <si>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</si>
  <si>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</si>
  <si>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</si>
  <si>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</si>
  <si>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</si>
  <si>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</si>
  <si>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</si>
  <si>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</si>
  <si>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</si>
  <si>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</si>
  <si>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</si>
  <si>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</si>
  <si>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</si>
  <si>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</si>
  <si>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</si>
  <si>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</si>
  <si>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</si>
  <si>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</si>
  <si>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</si>
  <si>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</si>
  <si>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</si>
  <si>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</si>
  <si>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</si>
  <si>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</si>
  <si>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</si>
  <si>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</si>
  <si>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</si>
  <si>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</si>
  <si>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</si>
  <si>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</si>
  <si>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</si>
  <si>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</si>
  <si>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</si>
  <si>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</si>
  <si>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</si>
  <si>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</si>
  <si>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</si>
  <si>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</si>
  <si>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</si>
  <si>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</si>
  <si>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</si>
  <si>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</si>
  <si>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</si>
  <si>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</si>
  <si>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</si>
  <si>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</si>
  <si>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</si>
  <si>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</si>
  <si>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</si>
  <si>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</si>
  <si>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</si>
  <si>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</si>
  <si>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</si>
  <si>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</si>
  <si>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</si>
  <si>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</si>
  <si>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</si>
  <si>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</si>
  <si>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</si>
  <si>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</si>
  <si>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</si>
  <si>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</si>
  <si>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</si>
  <si>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</si>
  <si>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</si>
  <si>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</si>
  <si>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</si>
  <si>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</si>
  <si>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</si>
  <si>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</si>
  <si>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</si>
  <si>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</si>
  <si>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</si>
  <si>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</si>
  <si>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</si>
  <si>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</si>
  <si>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</si>
  <si>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</si>
  <si>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</si>
  <si>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</si>
  <si>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</si>
  <si>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</si>
  <si>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</si>
  <si>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</si>
  <si>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</si>
  <si>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</si>
  <si>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</si>
  <si>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</si>
  <si>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</si>
  <si>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</si>
  <si>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</si>
  <si>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</si>
  <si>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</si>
  <si>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</si>
  <si>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</si>
  <si>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</si>
  <si>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</si>
  <si>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</si>
  <si>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</si>
  <si>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</si>
  <si>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</si>
  <si>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</si>
  <si>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</si>
  <si>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</si>
  <si>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</si>
  <si>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</si>
  <si>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</si>
  <si>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</si>
  <si>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</si>
  <si>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</si>
  <si>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</si>
  <si>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</si>
  <si>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</si>
  <si>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</si>
  <si>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</si>
  <si>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</si>
  <si>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</si>
  <si>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</si>
  <si>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</si>
  <si>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</si>
  <si>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</si>
  <si>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</si>
  <si>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</si>
  <si>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</si>
  <si>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</si>
  <si>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</si>
  <si>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</si>
  <si>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</si>
  <si>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</si>
  <si>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</si>
  <si>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</si>
  <si>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</si>
  <si>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</si>
  <si>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</si>
  <si>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</si>
  <si>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</si>
  <si>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</si>
  <si>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</si>
  <si>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</si>
  <si>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</si>
  <si>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</si>
  <si>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</si>
  <si>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</si>
  <si>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</si>
  <si>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</si>
  <si>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</si>
  <si>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</si>
  <si>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</si>
  <si>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</si>
  <si>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</si>
  <si>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</si>
  <si>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</si>
  <si>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</si>
  <si>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</si>
  <si>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</si>
  <si>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</si>
  <si>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</si>
  <si>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</si>
  <si>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</si>
  <si>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</si>
  <si>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</si>
  <si>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</si>
  <si>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</si>
  <si>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</si>
  <si>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</si>
  <si>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</si>
  <si>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</si>
  <si>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</si>
  <si>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</si>
  <si>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</si>
  <si>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</si>
  <si>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</si>
  <si>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</si>
  <si>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</si>
  <si>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</si>
  <si>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</si>
  <si>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</si>
  <si>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</si>
  <si>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</si>
  <si>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</si>
  <si>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</si>
  <si>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</si>
  <si>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</si>
  <si>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</si>
  <si>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</si>
  <si>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</si>
  <si>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</si>
  <si>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</si>
  <si>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</si>
  <si>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</si>
  <si>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</si>
  <si>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</si>
  <si>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</si>
  <si>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</si>
  <si>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</si>
  <si>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</si>
  <si>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</si>
  <si>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</si>
  <si>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</si>
  <si>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</si>
  <si>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</si>
  <si>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</si>
  <si>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</si>
  <si>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</si>
  <si>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</si>
  <si>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</si>
  <si>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</si>
  <si>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</si>
  <si>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</si>
  <si>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</si>
  <si>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</si>
  <si>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</si>
  <si>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</si>
  <si>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</si>
  <si>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</si>
  <si>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</si>
  <si>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</si>
  <si>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</si>
  <si>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</si>
  <si>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</si>
  <si>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</si>
  <si>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</si>
  <si>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</si>
  <si>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</si>
  <si>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</si>
  <si>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</si>
  <si>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</si>
  <si>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</si>
  <si>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</si>
  <si>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</si>
  <si>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</si>
  <si>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</si>
  <si>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</si>
  <si>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</si>
  <si>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</si>
  <si>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</si>
  <si>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</si>
  <si>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</si>
  <si>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</si>
  <si>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</si>
  <si>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</si>
  <si>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</si>
  <si>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</si>
  <si>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</si>
  <si>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</si>
  <si>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</si>
  <si>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</si>
  <si>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</si>
  <si>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</si>
  <si>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</si>
  <si>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</si>
  <si>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</si>
  <si>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</si>
  <si>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</si>
  <si>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</si>
  <si>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</si>
  <si>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</si>
  <si>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</si>
  <si>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</si>
  <si>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</si>
  <si>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</si>
  <si>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</si>
  <si>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</si>
  <si>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</si>
  <si>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</si>
  <si>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</si>
  <si>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</si>
  <si>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</si>
  <si>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</si>
  <si>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</si>
  <si>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</si>
  <si>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</si>
  <si>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</si>
  <si>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</si>
  <si>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</si>
  <si>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</si>
  <si>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</si>
  <si>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</si>
  <si>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</si>
  <si>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</si>
  <si>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</si>
  <si>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</si>
  <si>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</si>
  <si>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</si>
  <si>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</si>
  <si>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</si>
  <si>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</si>
  <si>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</si>
  <si>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</si>
  <si>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</si>
  <si>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</si>
  <si>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</si>
  <si>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</si>
  <si>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</si>
  <si>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</si>
  <si>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</si>
  <si>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</si>
  <si>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</si>
  <si>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</si>
  <si>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</si>
  <si>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</si>
  <si>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</si>
  <si>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</si>
  <si>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</si>
  <si>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</si>
  <si>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</si>
  <si>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</si>
  <si>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</si>
  <si>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</si>
  <si>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</si>
  <si>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</si>
  <si>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</si>
  <si>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</si>
  <si>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</si>
  <si>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</si>
  <si>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</si>
  <si>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</si>
  <si>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</si>
  <si>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</si>
  <si>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</si>
  <si>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</si>
  <si>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</si>
  <si>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</si>
  <si>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</si>
  <si>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</si>
  <si>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</si>
  <si>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</si>
  <si>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</si>
  <si>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</si>
  <si>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</si>
  <si>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</si>
  <si>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</si>
  <si>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</si>
  <si>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</si>
  <si>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</si>
  <si>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</si>
  <si>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</si>
  <si>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</si>
  <si>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</si>
  <si>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</si>
  <si>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</si>
  <si>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</si>
  <si>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</si>
  <si>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</si>
  <si>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</si>
  <si>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</si>
  <si>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</si>
  <si>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</si>
  <si>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</si>
  <si>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</si>
  <si>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</si>
  <si>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</si>
  <si>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</si>
  <si>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</si>
  <si>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</si>
  <si>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</si>
  <si>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</si>
  <si>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</si>
  <si>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</si>
  <si>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</si>
  <si>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</si>
  <si>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</si>
  <si>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</si>
  <si>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</si>
  <si>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</si>
  <si>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</si>
  <si>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</si>
  <si>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</si>
  <si>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</si>
  <si>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</si>
  <si>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</si>
  <si>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</si>
  <si>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</si>
  <si>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</si>
  <si>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</si>
  <si>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</si>
  <si>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</si>
  <si>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</si>
  <si>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</si>
  <si>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</si>
  <si>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</si>
  <si>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</si>
  <si>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</si>
  <si>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</si>
  <si>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</si>
  <si>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</si>
  <si>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</si>
  <si>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</si>
  <si>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</si>
  <si>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</si>
  <si>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</si>
  <si>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</si>
  <si>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</si>
  <si>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</si>
  <si>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</si>
  <si>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</si>
  <si>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</si>
  <si>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</si>
  <si>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</si>
  <si>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</si>
  <si>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</si>
  <si>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</si>
  <si>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</si>
  <si>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</si>
  <si>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</si>
  <si>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</si>
  <si>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</si>
  <si>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</si>
  <si>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</si>
  <si>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</si>
  <si>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</si>
  <si>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</si>
  <si>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</si>
  <si>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</si>
  <si>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</si>
  <si>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</si>
  <si>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</si>
  <si>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</si>
  <si>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</si>
  <si>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</si>
  <si>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</si>
  <si>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</si>
  <si>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</si>
  <si>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</si>
  <si>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</si>
  <si>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</si>
  <si>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</si>
  <si>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</si>
  <si>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</si>
  <si>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</si>
  <si>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</si>
  <si>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</si>
  <si>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</si>
  <si>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</si>
  <si>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</si>
  <si>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</si>
  <si>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</si>
  <si>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</si>
  <si>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</si>
  <si>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</si>
  <si>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</si>
  <si>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</si>
  <si>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</si>
  <si>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</si>
  <si>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</si>
  <si>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</si>
  <si>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</si>
  <si>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</si>
  <si>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</si>
  <si>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</si>
  <si>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</si>
  <si>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</si>
  <si>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</si>
  <si>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</si>
  <si>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</si>
  <si>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</si>
  <si>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</si>
  <si>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</si>
  <si>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</si>
  <si>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</si>
  <si>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</si>
  <si>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</si>
  <si>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</si>
  <si>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</si>
  <si>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</si>
  <si>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</si>
  <si>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</si>
  <si>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</si>
  <si>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</si>
  <si>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</si>
  <si>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</si>
  <si>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</si>
  <si>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</si>
  <si>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</si>
  <si>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</si>
  <si>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</si>
  <si>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</si>
  <si>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</si>
  <si>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</si>
  <si>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</si>
  <si>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</si>
  <si>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</si>
  <si>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</si>
  <si>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</si>
  <si>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</si>
  <si>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</si>
  <si>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</si>
  <si>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</si>
  <si>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</si>
  <si>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</si>
  <si>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</si>
  <si>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</si>
  <si>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</si>
  <si>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</si>
  <si>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</si>
  <si>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</si>
  <si>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</si>
  <si>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</si>
  <si>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</si>
  <si>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</si>
  <si>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</si>
  <si>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</si>
  <si>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</si>
  <si>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</si>
  <si>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</si>
  <si>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</si>
  <si>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</si>
  <si>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</si>
  <si>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</si>
  <si>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</si>
  <si>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</si>
  <si>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</si>
  <si>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</si>
  <si>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</si>
  <si>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</si>
  <si>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</si>
  <si>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</si>
  <si>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</si>
  <si>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</si>
  <si>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</si>
  <si>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</si>
  <si>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</si>
  <si>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</si>
  <si>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</si>
  <si>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</si>
  <si>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</si>
  <si>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</si>
  <si>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</si>
  <si>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</si>
  <si>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</si>
  <si>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</si>
  <si>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</si>
  <si>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</si>
  <si>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</si>
  <si>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</si>
  <si>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</si>
  <si>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</si>
  <si>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</si>
  <si>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</si>
  <si>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</si>
  <si>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</si>
  <si>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</si>
  <si>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</si>
  <si>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</si>
  <si>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</si>
  <si>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</si>
  <si>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</si>
  <si>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</si>
  <si>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</si>
  <si>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</si>
  <si>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</si>
  <si>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</si>
  <si>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</si>
  <si>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</si>
  <si>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</si>
  <si>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</si>
  <si>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</si>
  <si>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</si>
  <si>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</si>
  <si>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</si>
  <si>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</si>
  <si>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</si>
  <si>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</si>
  <si>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</si>
  <si>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</si>
  <si>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</si>
  <si>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</si>
  <si>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</si>
  <si>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</si>
  <si>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</si>
  <si>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</si>
  <si>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</si>
  <si>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</si>
  <si>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</si>
  <si>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</si>
  <si>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</si>
  <si>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</si>
  <si>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</si>
  <si>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</si>
  <si>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</si>
  <si>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</si>
  <si>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</si>
  <si>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</si>
  <si>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</si>
  <si>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</si>
  <si>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</si>
  <si>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</si>
  <si>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</si>
  <si>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</si>
  <si>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</si>
  <si>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</si>
  <si>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</si>
  <si>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</si>
  <si>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</si>
  <si>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</si>
  <si>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</si>
  <si>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</si>
  <si>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</si>
  <si>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</si>
  <si>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</si>
  <si>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</si>
  <si>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</si>
  <si>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</si>
  <si>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</si>
  <si>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</si>
  <si>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</si>
  <si>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</si>
  <si>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</si>
  <si>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</si>
  <si>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</si>
  <si>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</si>
  <si>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</si>
  <si>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</si>
  <si>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</si>
  <si>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</si>
  <si>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</si>
  <si>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</si>
  <si>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</si>
  <si>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</si>
  <si>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</si>
  <si>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</si>
  <si>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</si>
  <si>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</si>
  <si>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</si>
  <si>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</si>
  <si>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</si>
  <si>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</si>
  <si>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</si>
  <si>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</si>
  <si>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</si>
  <si>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</si>
  <si>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</si>
  <si>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</si>
  <si>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</si>
  <si>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</si>
  <si>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</si>
  <si>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</si>
  <si>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</si>
  <si>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</si>
  <si>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</si>
  <si>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</si>
  <si>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</si>
  <si>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</si>
  <si>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</si>
  <si>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</si>
  <si>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</si>
  <si>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</si>
  <si>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</si>
  <si>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</si>
  <si>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</si>
  <si>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</si>
  <si>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</si>
  <si>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</si>
  <si>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</si>
  <si>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</si>
  <si>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</si>
  <si>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</si>
  <si>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</si>
  <si>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</si>
  <si>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</si>
  <si>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</si>
  <si>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</si>
  <si>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</si>
  <si>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</si>
  <si>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</si>
  <si>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</si>
  <si>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</si>
  <si>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</si>
  <si>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</si>
  <si>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</si>
  <si>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</si>
  <si>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</si>
  <si>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</si>
  <si>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</si>
  <si>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</si>
  <si>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</si>
  <si>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</si>
  <si>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</si>
  <si>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</si>
  <si>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</si>
  <si>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</si>
  <si>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</si>
  <si>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</si>
  <si>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</si>
  <si>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</si>
  <si>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</si>
  <si>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</si>
  <si>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</si>
  <si>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</si>
  <si>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</si>
  <si>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</si>
  <si>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</si>
  <si>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</si>
  <si>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</si>
  <si>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</si>
  <si>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</si>
  <si>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</si>
  <si>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</si>
  <si>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</si>
  <si>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</si>
  <si>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</si>
  <si>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</si>
  <si>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</si>
  <si>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</si>
  <si>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</si>
  <si>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</si>
  <si>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</si>
  <si>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</si>
  <si>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</si>
  <si>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</si>
  <si>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</si>
  <si>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</si>
  <si>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</si>
  <si>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</si>
  <si>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</si>
  <si>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</si>
  <si>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</si>
  <si>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</si>
  <si>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</si>
  <si>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</si>
  <si>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</si>
  <si>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</si>
  <si>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</si>
  <si>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</si>
  <si>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</si>
  <si>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</si>
  <si>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</si>
  <si>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</si>
  <si>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</si>
  <si>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</si>
  <si>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</si>
  <si>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</si>
  <si>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</si>
  <si>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</si>
  <si>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</si>
  <si>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</si>
  <si>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</si>
  <si>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</si>
  <si>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</si>
  <si>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</si>
  <si>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</si>
  <si>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</si>
  <si>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</si>
  <si>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</si>
  <si>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</si>
  <si>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</si>
  <si>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</si>
  <si>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</si>
  <si>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</si>
  <si>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</si>
  <si>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</si>
  <si>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</si>
  <si>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</si>
  <si>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</si>
  <si>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</si>
  <si>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</si>
  <si>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</si>
  <si>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</si>
  <si>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</si>
  <si>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</si>
  <si>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</si>
  <si>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</si>
  <si>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</si>
  <si>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</si>
  <si>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</si>
  <si>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</si>
  <si>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</si>
  <si>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</si>
  <si>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</si>
  <si>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</si>
  <si>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</si>
  <si>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</si>
  <si>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</si>
  <si>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</si>
  <si>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</si>
  <si>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</si>
  <si>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</si>
  <si>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</si>
  <si>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</si>
  <si>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</si>
  <si>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</si>
  <si>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</si>
  <si>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</si>
  <si>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</si>
  <si>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</si>
  <si>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</si>
  <si>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</si>
  <si>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</si>
  <si>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</si>
  <si>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</si>
  <si>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</si>
  <si>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</si>
  <si>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</si>
  <si>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</si>
  <si>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</si>
  <si>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</si>
  <si>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</si>
  <si>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</si>
  <si>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</si>
  <si>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</si>
  <si>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</si>
  <si>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</si>
  <si>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</si>
  <si>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</si>
  <si>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</si>
  <si>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</si>
  <si>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</si>
  <si>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</si>
  <si>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</si>
  <si>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</si>
  <si>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</si>
  <si>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</si>
  <si>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</si>
  <si>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</si>
  <si>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</si>
  <si>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</si>
  <si>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</si>
  <si>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</si>
  <si>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</si>
  <si>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</si>
  <si>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</si>
  <si>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</si>
  <si>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</si>
  <si>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</si>
  <si>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</si>
  <si>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</si>
  <si>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</si>
  <si>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</si>
  <si>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</si>
  <si>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</si>
  <si>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</si>
  <si>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</si>
  <si>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</si>
  <si>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</si>
  <si>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</si>
  <si>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</si>
  <si>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</si>
  <si>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</si>
  <si>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</si>
  <si>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</si>
  <si>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</si>
  <si>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</si>
  <si>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</si>
  <si>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</si>
  <si>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</si>
  <si>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</si>
  <si>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</si>
  <si>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</si>
  <si>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</si>
  <si>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</si>
  <si>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</si>
  <si>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</si>
  <si>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</si>
  <si>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</si>
  <si>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</si>
  <si>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</si>
  <si>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</si>
  <si>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</si>
  <si>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</si>
  <si>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</si>
  <si>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</si>
  <si>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</si>
  <si>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</si>
  <si>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</si>
  <si>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</si>
  <si>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</si>
  <si>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</si>
  <si>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</si>
  <si>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</si>
  <si>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</si>
  <si>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</si>
  <si>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</si>
  <si>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</si>
  <si>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</si>
  <si>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</si>
  <si>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</si>
  <si>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</si>
  <si>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</si>
  <si>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</si>
  <si>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</si>
  <si>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</si>
  <si>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</si>
  <si>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</si>
  <si>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</si>
  <si>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</si>
  <si>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</si>
  <si>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</si>
  <si>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</si>
  <si>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</si>
  <si>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</si>
  <si>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</si>
  <si>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</si>
  <si>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</si>
  <si>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</si>
  <si>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</si>
  <si>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</si>
  <si>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</si>
  <si>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</si>
  <si>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</si>
  <si>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</si>
  <si>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</si>
  <si>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</si>
  <si>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</si>
  <si>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</si>
  <si>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</si>
  <si>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</si>
  <si>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</si>
  <si>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</si>
  <si>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</si>
  <si>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</si>
  <si>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</si>
  <si>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</si>
  <si>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</si>
  <si>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</si>
  <si>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</si>
  <si>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</si>
  <si>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</si>
  <si>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</si>
  <si>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</si>
  <si>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</si>
  <si>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</si>
  <si>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</si>
  <si>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</si>
  <si>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</si>
  <si>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</si>
  <si>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</si>
  <si>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</si>
  <si>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</si>
  <si>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</si>
  <si>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</si>
  <si>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</si>
  <si>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</si>
  <si>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</si>
  <si>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</si>
  <si>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</si>
  <si>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</si>
  <si>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</si>
  <si>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</si>
  <si>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</si>
  <si>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</si>
  <si>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</si>
  <si>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</si>
  <si>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</si>
  <si>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</si>
  <si>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</si>
  <si>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</si>
  <si>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</si>
  <si>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</si>
  <si>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</si>
  <si>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</si>
  <si>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</si>
  <si>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</si>
  <si>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</si>
  <si>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</si>
  <si>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</si>
  <si>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</si>
  <si>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</si>
  <si>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</si>
  <si>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</si>
  <si>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</si>
  <si>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</si>
  <si>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</si>
  <si>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</si>
  <si>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</si>
  <si>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</si>
  <si>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</si>
  <si>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</si>
  <si>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</si>
  <si>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</si>
  <si>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</si>
  <si>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</si>
  <si>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</si>
  <si>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</si>
  <si>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</si>
  <si>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</si>
  <si>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</si>
  <si>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</si>
  <si>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</si>
  <si>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</si>
  <si>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</si>
  <si>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</si>
  <si>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</si>
  <si>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</si>
  <si>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</si>
  <si>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</si>
  <si>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</si>
  <si>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</si>
  <si>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</si>
  <si>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</si>
  <si>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</si>
  <si>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</si>
  <si>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</si>
  <si>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</si>
  <si>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</si>
  <si>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</si>
  <si>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</si>
  <si>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</si>
  <si>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</si>
  <si>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</si>
  <si>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</si>
  <si>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</si>
  <si>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</si>
  <si>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</si>
  <si>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</si>
  <si>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</si>
  <si>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</si>
  <si>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</si>
  <si>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</si>
  <si>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</si>
  <si>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</si>
  <si>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</si>
  <si>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</si>
  <si>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</si>
  <si>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</si>
  <si>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</si>
  <si>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</si>
  <si>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</si>
  <si>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</si>
  <si>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</si>
  <si>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</si>
  <si>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</si>
  <si>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</si>
  <si>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</si>
  <si>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</si>
  <si>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</si>
  <si>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</si>
  <si>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</si>
  <si>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</si>
  <si>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</si>
  <si>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</si>
  <si>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</si>
  <si>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</si>
  <si>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</si>
  <si>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</si>
  <si>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</si>
  <si>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</si>
  <si>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</si>
  <si>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</si>
  <si>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</si>
  <si>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</si>
  <si>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</si>
  <si>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</si>
  <si>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</si>
  <si>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</si>
  <si>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</si>
  <si>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</si>
  <si>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</si>
  <si>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</si>
  <si>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</si>
  <si>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</si>
  <si>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</si>
  <si>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</si>
  <si>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</si>
  <si>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</si>
  <si>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</si>
  <si>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</si>
  <si>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</si>
  <si>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</si>
  <si>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</si>
  <si>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</si>
  <si>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</si>
  <si>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</si>
  <si>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</si>
  <si>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</si>
  <si>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</si>
  <si>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</si>
  <si>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</si>
  <si>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</si>
  <si>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</si>
  <si>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</si>
  <si>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</si>
  <si>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</si>
  <si>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</si>
  <si>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</si>
  <si>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</si>
  <si>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</si>
  <si>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</si>
  <si>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</si>
  <si>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</si>
  <si>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</si>
  <si>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</si>
  <si>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</si>
  <si>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</si>
  <si>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</si>
  <si>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</si>
  <si>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</si>
  <si>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</si>
  <si>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</si>
  <si>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</si>
  <si>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</si>
  <si>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</si>
  <si>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</si>
  <si>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</si>
  <si>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</si>
  <si>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</si>
  <si>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</si>
  <si>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</si>
  <si>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</si>
  <si>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</si>
  <si>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</si>
  <si>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</si>
  <si>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</si>
  <si>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</si>
  <si>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</si>
  <si>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</si>
  <si>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</si>
  <si>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</si>
  <si>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</si>
  <si>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</si>
  <si>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</si>
  <si>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</si>
  <si>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</si>
  <si>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</si>
  <si>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</si>
  <si>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</si>
  <si>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</si>
  <si>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</si>
  <si>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</si>
  <si>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</si>
  <si>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</si>
  <si>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</si>
  <si>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</si>
  <si>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</si>
  <si>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</si>
  <si>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</si>
  <si>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</si>
  <si>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</si>
  <si>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</si>
  <si>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</si>
  <si>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</si>
  <si>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</si>
  <si>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</si>
  <si>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</si>
  <si>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</si>
  <si>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</si>
  <si>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</si>
  <si>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</si>
  <si>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</si>
  <si>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</si>
  <si>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</si>
  <si>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</si>
  <si>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</si>
  <si>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</si>
  <si>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</si>
  <si>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</si>
  <si>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</si>
  <si>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</si>
  <si>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</si>
  <si>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</si>
  <si>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</si>
  <si>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</si>
  <si>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</si>
  <si>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</si>
  <si>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</si>
  <si>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</si>
  <si>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</si>
  <si>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</si>
  <si>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</si>
  <si>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</si>
  <si>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</si>
  <si>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</si>
  <si>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</si>
  <si>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</si>
  <si>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</si>
  <si>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</si>
  <si>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</si>
  <si>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</si>
  <si>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</si>
  <si>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</si>
  <si>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</si>
  <si>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</si>
  <si>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</si>
  <si>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</si>
  <si>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</si>
  <si>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</si>
  <si>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</si>
  <si>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</si>
  <si>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</si>
  <si>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</si>
  <si>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</si>
  <si>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</si>
  <si>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</si>
  <si>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</si>
  <si>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</si>
  <si>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</si>
  <si>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</si>
  <si>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</si>
  <si>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</si>
  <si>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</si>
  <si>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</si>
  <si>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</si>
  <si>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</si>
  <si>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</si>
  <si>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</si>
  <si>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</si>
  <si>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</si>
  <si>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</si>
  <si>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</si>
  <si>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</si>
  <si>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</si>
  <si>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</si>
  <si>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</si>
  <si>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</si>
  <si>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</si>
  <si>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</si>
  <si>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</si>
  <si>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</si>
  <si>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</si>
  <si>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</si>
  <si>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</si>
  <si>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</si>
  <si>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</si>
  <si>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</si>
  <si>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</si>
  <si>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</si>
  <si>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</si>
  <si>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</si>
  <si>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</si>
  <si>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</si>
  <si>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</si>
  <si>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</si>
  <si>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</si>
  <si>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</si>
  <si>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</si>
  <si>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</si>
  <si>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</si>
  <si>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</si>
  <si>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</si>
  <si>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</si>
  <si>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</si>
  <si>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</si>
  <si>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</si>
  <si>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</si>
  <si>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</si>
  <si>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</si>
  <si>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</si>
  <si>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</si>
  <si>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</si>
  <si>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</si>
  <si>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</si>
  <si>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</si>
  <si>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</si>
  <si>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</si>
  <si>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</si>
  <si>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</si>
  <si>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</si>
  <si>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</si>
  <si>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</si>
  <si>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</si>
  <si>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</si>
  <si>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</si>
  <si>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</si>
  <si>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</si>
  <si>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</si>
  <si>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</si>
  <si>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</si>
  <si>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</si>
  <si>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</si>
  <si>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</si>
  <si>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</si>
  <si>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</si>
  <si>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</si>
  <si>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</si>
  <si>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</si>
  <si>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</si>
  <si>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</si>
  <si>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</si>
  <si>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</si>
  <si>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</si>
  <si>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</si>
  <si>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</si>
  <si>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</si>
  <si>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</si>
  <si>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</si>
  <si>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</si>
  <si>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</si>
  <si>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</si>
  <si>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</si>
  <si>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</si>
  <si>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</si>
  <si>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</si>
  <si>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</si>
  <si>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</si>
  <si>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</si>
  <si>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</si>
  <si>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</si>
  <si>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</si>
  <si>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</si>
  <si>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</si>
  <si>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</si>
  <si>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</si>
  <si>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</si>
  <si>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</si>
  <si>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</si>
  <si>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</si>
  <si>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</si>
  <si>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</si>
  <si>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</si>
  <si>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</si>
  <si>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</si>
  <si>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</si>
  <si>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</si>
  <si>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</si>
  <si>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</si>
  <si>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</si>
  <si>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</si>
  <si>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</si>
  <si>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</si>
  <si>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</si>
  <si>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</si>
  <si>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</si>
  <si>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</si>
  <si>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</si>
  <si>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</si>
  <si>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</si>
  <si>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</si>
  <si>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</si>
  <si>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</si>
  <si>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</si>
  <si>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</si>
  <si>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</si>
  <si>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</si>
  <si>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</si>
  <si>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</si>
  <si>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</si>
  <si>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</si>
  <si>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</si>
  <si>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</si>
  <si>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</si>
  <si>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</si>
  <si>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</si>
  <si>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</si>
  <si>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</si>
  <si>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</si>
  <si>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</si>
  <si>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</si>
  <si>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</si>
  <si>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</si>
  <si>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</si>
  <si>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</si>
  <si>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</si>
  <si>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</si>
  <si>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</si>
  <si>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</si>
  <si>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</si>
  <si>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</si>
  <si>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</si>
  <si>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</si>
  <si>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</si>
  <si>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</si>
  <si>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</si>
  <si>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</si>
  <si>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</si>
  <si>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</si>
  <si>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</si>
  <si>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</si>
  <si>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</si>
  <si>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</si>
  <si>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</si>
  <si>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</si>
  <si>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</si>
  <si>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</si>
  <si>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</si>
  <si>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</si>
  <si>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</si>
  <si>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</si>
  <si>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</si>
  <si>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</si>
  <si>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</si>
  <si>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</si>
  <si>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</si>
  <si>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</si>
  <si>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</si>
  <si>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</si>
  <si>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</si>
  <si>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</si>
  <si>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</si>
  <si>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</si>
  <si>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</si>
  <si>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</si>
  <si>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</si>
  <si>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</si>
  <si>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</si>
  <si>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</si>
  <si>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</si>
  <si>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</si>
  <si>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</si>
  <si>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</si>
  <si>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</si>
  <si>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</si>
  <si>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</si>
  <si>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</si>
  <si>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</si>
  <si>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</si>
  <si>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</si>
  <si>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</si>
  <si>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</si>
  <si>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</si>
  <si>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</si>
  <si>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</si>
  <si>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</si>
  <si>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</si>
  <si>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</si>
  <si>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</si>
  <si>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</si>
  <si>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</si>
  <si>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</si>
  <si>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</si>
  <si>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</si>
  <si>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</si>
  <si>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</si>
  <si>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</si>
  <si>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</si>
  <si>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</si>
  <si>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</si>
  <si>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</si>
  <si>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</si>
  <si>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</si>
  <si>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</si>
  <si>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</si>
  <si>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</si>
  <si>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</si>
  <si>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</si>
  <si>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</si>
  <si>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</si>
  <si>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</si>
  <si>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</si>
  <si>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</si>
  <si>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</si>
  <si>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</si>
  <si>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</si>
  <si>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</si>
  <si>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</si>
  <si>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</si>
  <si>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</si>
  <si>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</si>
  <si>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</si>
  <si>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</si>
  <si>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</si>
  <si>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</si>
  <si>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</si>
  <si>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</si>
  <si>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</si>
  <si>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</si>
  <si>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</si>
  <si>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</si>
  <si>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</si>
  <si>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</si>
  <si>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</si>
  <si>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</si>
  <si>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</si>
  <si>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</si>
  <si>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</si>
  <si>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</si>
  <si>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</si>
  <si>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</si>
  <si>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</si>
  <si>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</si>
  <si>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</si>
  <si>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</si>
  <si>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</si>
  <si>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</si>
  <si>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</si>
  <si>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</si>
  <si>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</si>
  <si>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</si>
  <si>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</si>
  <si>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</si>
  <si>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</si>
  <si>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</si>
  <si>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</si>
  <si>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</si>
  <si>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</si>
  <si>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</si>
  <si>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</si>
  <si>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</si>
  <si>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</si>
  <si>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</si>
  <si>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</si>
  <si>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</si>
  <si>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</si>
  <si>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</si>
  <si>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</si>
  <si>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</si>
  <si>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</si>
  <si>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</si>
  <si>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</si>
  <si>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</si>
  <si>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</si>
  <si>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</si>
  <si>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</si>
  <si>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</si>
  <si>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</si>
  <si>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</si>
  <si>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</si>
  <si>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</si>
  <si>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</si>
  <si>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</si>
  <si>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</si>
  <si>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</si>
  <si>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</si>
  <si>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</si>
  <si>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</si>
  <si>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</si>
  <si>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</si>
  <si>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</si>
  <si>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</si>
  <si>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</si>
  <si>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</si>
  <si>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</si>
  <si>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</si>
  <si>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2018-1-0360</t>
    <phoneticPr fontId="6" type="noConversion"/>
  </si>
  <si>
    <t>欧红伟</t>
  </si>
  <si>
    <r>
      <t xml:space="preserve"> </t>
    </r>
    <r>
      <rPr>
        <sz val="12"/>
        <color indexed="8"/>
        <rFont val="宋体"/>
        <family val="3"/>
        <charset val="134"/>
      </rPr>
      <t>工商银行总行北京通州支行</t>
    </r>
    <phoneticPr fontId="6" type="noConversion"/>
  </si>
  <si>
    <t>抵押</t>
  </si>
  <si>
    <t>房地产抵押价值</t>
  </si>
  <si>
    <t>其他：</t>
  </si>
  <si>
    <t>河北省</t>
    <phoneticPr fontId="6" type="noConversion"/>
  </si>
  <si>
    <t>企业</t>
  </si>
  <si>
    <t>出让</t>
  </si>
  <si>
    <t>原件</t>
  </si>
  <si>
    <t>否</t>
  </si>
  <si>
    <t>工业项目</t>
  </si>
  <si>
    <t>现房</t>
  </si>
  <si>
    <t>通电</t>
  </si>
  <si>
    <t>通讯</t>
  </si>
  <si>
    <t>通上水</t>
  </si>
  <si>
    <t>通下水</t>
  </si>
  <si>
    <t>通热</t>
  </si>
  <si>
    <t>是</t>
  </si>
  <si>
    <t>地上</t>
  </si>
  <si>
    <t>标准厂房</t>
  </si>
  <si>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</si>
  <si>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</si>
  <si>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</si>
  <si>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</si>
  <si>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</si>
  <si>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</si>
  <si>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</si>
  <si>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</si>
  <si>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</si>
  <si>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</si>
  <si>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</si>
  <si>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</si>
  <si>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</si>
  <si>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</si>
  <si>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</si>
  <si>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</si>
  <si>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</si>
  <si>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</si>
  <si>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</si>
  <si>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</si>
  <si>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</si>
  <si>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</si>
  <si>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</si>
  <si>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</si>
  <si>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</si>
  <si>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</si>
  <si>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</si>
  <si>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</si>
  <si>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</si>
  <si>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</si>
  <si>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</si>
  <si>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</si>
  <si>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</si>
  <si>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</si>
  <si>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</si>
  <si>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</si>
  <si>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</si>
  <si>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</si>
  <si>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</si>
  <si>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</si>
  <si>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</si>
  <si>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</si>
  <si>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</si>
  <si>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</si>
  <si>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地面单价</t>
    <phoneticPr fontId="3" type="noConversion"/>
  </si>
  <si>
    <t>工业三路北侧、福喜五路西侧</t>
  </si>
  <si>
    <t>廊坊市</t>
  </si>
  <si>
    <t>工业用地</t>
  </si>
  <si>
    <t>大厂回族自治县</t>
  </si>
  <si>
    <t>拍卖</t>
  </si>
  <si>
    <t>5-(50)-166</t>
  </si>
  <si>
    <t>大于或等于1并且小于或等于2.5</t>
  </si>
  <si>
    <t>大于或等于40</t>
  </si>
  <si>
    <t>小于或等于30</t>
  </si>
  <si>
    <t>未开工</t>
  </si>
  <si>
    <t>2017-12-20</t>
  </si>
  <si>
    <t>2018-01-12</t>
  </si>
  <si>
    <t>DGZGT[2017]7号</t>
  </si>
  <si>
    <t>已成交</t>
  </si>
  <si>
    <t>阿果安娜水果(大厂)有限公司</t>
  </si>
  <si>
    <t>50年</t>
  </si>
  <si>
    <t>首创大街东侧、工业三路北侧</t>
  </si>
  <si>
    <t>5-(50)-165</t>
  </si>
  <si>
    <t>大于或等于0.7并且小于或等于2.5</t>
  </si>
  <si>
    <t>河北冠能石油机械制造有限公司</t>
  </si>
  <si>
    <t>金隅路东侧、兴旺街北侧</t>
  </si>
  <si>
    <t>02-(50)-472</t>
  </si>
  <si>
    <t>大于或等于0.8并且小于或等于2.5</t>
  </si>
  <si>
    <t>大于或等于30</t>
  </si>
  <si>
    <t>大厂金隅现代工业园管理有限公司</t>
  </si>
  <si>
    <t>金隅路西侧、兴盛街北侧</t>
  </si>
  <si>
    <t>挂牌</t>
  </si>
  <si>
    <t>02-(50)-471</t>
  </si>
  <si>
    <t>开工中</t>
  </si>
  <si>
    <t>2017-11-01</t>
  </si>
  <si>
    <t>2017-11-21</t>
  </si>
  <si>
    <t>2017-11-30</t>
  </si>
  <si>
    <t>DGZGT[2017]5号</t>
  </si>
  <si>
    <t>02-(50)-474</t>
  </si>
  <si>
    <t>大于或等于0.6并且小于或等于2.5</t>
  </si>
  <si>
    <t>2017-07-27</t>
  </si>
  <si>
    <t>2017-08-18</t>
  </si>
  <si>
    <t>2017-08-28</t>
  </si>
  <si>
    <t>DGZGT[2017]2号</t>
  </si>
  <si>
    <t>工业三路南侧、首创大街东侧</t>
  </si>
  <si>
    <t>5-(50)-162</t>
  </si>
  <si>
    <t>廊坊迈威机械设备有限公司</t>
  </si>
  <si>
    <t>夏垫街南侧、金隅路西侧</t>
  </si>
  <si>
    <t>02-(50)-473</t>
  </si>
  <si>
    <t>5-(50)-163</t>
  </si>
  <si>
    <t>工业一路北侧、福喜路西侧</t>
  </si>
  <si>
    <t>5-(50)-134</t>
  </si>
  <si>
    <t>大于或等于1</t>
  </si>
  <si>
    <t>小于或等于20</t>
  </si>
  <si>
    <t>2015-12-09</t>
  </si>
  <si>
    <t>2015-12-30</t>
  </si>
  <si>
    <t>2016-01-08</t>
  </si>
  <si>
    <t>大厂告字[2015]15号</t>
  </si>
  <si>
    <t>大厂回族自治县美宝龙塑料制品有限公司</t>
  </si>
  <si>
    <t>工业二路北侧、福喜一路东侧</t>
  </si>
  <si>
    <t>5-(50)-138</t>
  </si>
  <si>
    <t>大于或等于0.7</t>
  </si>
  <si>
    <t>廊坊新时代链条输送设备有限公司</t>
  </si>
  <si>
    <t>工业一路南侧、福喜三路西侧</t>
  </si>
  <si>
    <t>5-(50)-136</t>
  </si>
  <si>
    <t>廊坊南铝幕墙工程有限公司</t>
  </si>
  <si>
    <t>工业四路北侧、福喜三路东侧</t>
  </si>
  <si>
    <t>5-(50)-143</t>
  </si>
  <si>
    <t>廊坊动益汽车配件有限公司</t>
  </si>
  <si>
    <t>工业二路北侧、夏祁路东侧</t>
  </si>
  <si>
    <t>5-(50)-137</t>
  </si>
  <si>
    <t>2015-12-07</t>
  </si>
  <si>
    <t>2015-12-28</t>
  </si>
  <si>
    <t>2016-01-06</t>
  </si>
  <si>
    <t>大厂告字[2015]14号</t>
  </si>
  <si>
    <t>河北高得机械设备有限公司</t>
  </si>
  <si>
    <t>工业三路北侧、福喜一路东侧</t>
  </si>
  <si>
    <t>5-(50)-140</t>
  </si>
  <si>
    <t>小于或等于15</t>
  </si>
  <si>
    <t>廊坊世韩宝龙环保设备有限公司</t>
  </si>
  <si>
    <t>邵大路东侧、福喜三路东侧</t>
  </si>
  <si>
    <t>5-(50)-164</t>
  </si>
  <si>
    <t>大厂京御房地产开发有限公司</t>
  </si>
  <si>
    <t>工业</t>
    <phoneticPr fontId="7" type="noConversion"/>
  </si>
  <si>
    <t>成新度</t>
  </si>
  <si>
    <t>收益法</t>
  </si>
  <si>
    <t>大福南路60号</t>
    <phoneticPr fontId="3" type="noConversion"/>
  </si>
  <si>
    <t>大厂回族自治县</t>
    <phoneticPr fontId="3" type="noConversion"/>
  </si>
  <si>
    <t>正常</t>
  </si>
  <si>
    <t>工业</t>
    <phoneticPr fontId="33" type="noConversion"/>
  </si>
  <si>
    <t>单位面积地价</t>
  </si>
  <si>
    <t>较好</t>
  </si>
  <si>
    <t>一般</t>
  </si>
  <si>
    <t>六通</t>
  </si>
  <si>
    <t>五通</t>
  </si>
  <si>
    <t>单面临街</t>
  </si>
  <si>
    <t>高速路</t>
    <phoneticPr fontId="33" type="noConversion"/>
  </si>
  <si>
    <t>快速路</t>
    <phoneticPr fontId="33" type="noConversion"/>
  </si>
  <si>
    <t>主干道</t>
    <phoneticPr fontId="33" type="noConversion"/>
  </si>
  <si>
    <t>次干道</t>
  </si>
  <si>
    <t>次干道</t>
    <phoneticPr fontId="33" type="noConversion"/>
  </si>
  <si>
    <t>支路</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</si>
  <si>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</si>
  <si>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</si>
  <si>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</si>
  <si>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</si>
  <si>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</si>
  <si>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七通</t>
    <phoneticPr fontId="33" type="noConversion"/>
  </si>
  <si>
    <t>六通</t>
    <phoneticPr fontId="33" type="noConversion"/>
  </si>
  <si>
    <t>五通</t>
    <phoneticPr fontId="33" type="noConversion"/>
  </si>
  <si>
    <t>四通</t>
    <phoneticPr fontId="33" type="noConversion"/>
  </si>
  <si>
    <t>三通</t>
    <phoneticPr fontId="33" type="noConversion"/>
  </si>
  <si>
    <t>好</t>
    <phoneticPr fontId="33" type="noConversion"/>
  </si>
  <si>
    <t>较好</t>
    <phoneticPr fontId="33" type="noConversion"/>
  </si>
  <si>
    <t>一般</t>
    <phoneticPr fontId="33" type="noConversion"/>
  </si>
  <si>
    <t>较差</t>
    <phoneticPr fontId="33" type="noConversion"/>
  </si>
  <si>
    <t>差</t>
    <phoneticPr fontId="33" type="noConversion"/>
  </si>
  <si>
    <t>未包含在土地购买价格中</t>
  </si>
  <si>
    <t>全部缴纳</t>
  </si>
  <si>
    <t>已包含在土地取得成本中</t>
  </si>
  <si>
    <t>押一</t>
  </si>
  <si>
    <t>按租金收入计税</t>
  </si>
  <si>
    <t>钢混</t>
  </si>
  <si>
    <t>生产用房</t>
  </si>
  <si>
    <t>成本法</t>
  </si>
  <si>
    <t>建筑与土地面积依据相同</t>
  </si>
  <si>
    <t>崔锴</t>
  </si>
  <si>
    <t>通路</t>
    <phoneticPr fontId="6" type="noConversion"/>
  </si>
  <si>
    <t>廊坊京磁精密材料有限公司</t>
    <phoneticPr fontId="6" type="noConversion"/>
  </si>
  <si>
    <r>
      <rPr>
        <sz val="12"/>
        <color theme="9" tint="-0.249977111117893"/>
        <rFont val="宋体"/>
        <family val="3"/>
        <charset val="134"/>
      </rPr>
      <t>廊坊市大厂回族自治县大福南路</t>
    </r>
    <r>
      <rPr>
        <sz val="12"/>
        <color theme="9" tint="-0.249977111117893"/>
        <rFont val="Arial"/>
        <family val="2"/>
      </rPr>
      <t>60</t>
    </r>
    <r>
      <rPr>
        <sz val="12"/>
        <color theme="9" tint="-0.249977111117893"/>
        <rFont val="宋体"/>
        <family val="3"/>
        <charset val="134"/>
      </rPr>
      <t>号</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</si>
  <si>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大厂国用（</t>
    </r>
    <r>
      <rPr>
        <sz val="12"/>
        <color theme="9" tint="-0.249977111117893"/>
        <rFont val="Arial"/>
        <family val="2"/>
      </rPr>
      <t>2014</t>
    </r>
    <r>
      <rPr>
        <sz val="12"/>
        <color theme="9" tint="-0.249977111117893"/>
        <rFont val="宋体"/>
        <family val="3"/>
        <charset val="134"/>
      </rPr>
      <t>）第</t>
    </r>
    <r>
      <rPr>
        <sz val="12"/>
        <color theme="9" tint="-0.249977111117893"/>
        <rFont val="Arial"/>
        <family val="2"/>
      </rPr>
      <t>02071</t>
    </r>
    <r>
      <rPr>
        <sz val="12"/>
        <color theme="9" tint="-0.249977111117893"/>
        <rFont val="宋体"/>
        <family val="3"/>
        <charset val="134"/>
      </rPr>
      <t>号、大厂国用（</t>
    </r>
    <r>
      <rPr>
        <sz val="12"/>
        <color theme="9" tint="-0.249977111117893"/>
        <rFont val="Arial"/>
        <family val="2"/>
      </rPr>
      <t>2016</t>
    </r>
    <r>
      <rPr>
        <sz val="12"/>
        <color theme="9" tint="-0.249977111117893"/>
        <rFont val="宋体"/>
        <family val="3"/>
        <charset val="134"/>
      </rPr>
      <t>）第</t>
    </r>
    <r>
      <rPr>
        <sz val="12"/>
        <color theme="9" tint="-0.249977111117893"/>
        <rFont val="Arial"/>
        <family val="2"/>
      </rPr>
      <t>02021</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</si>
  <si>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大厂县房权证大字第</t>
    </r>
    <r>
      <rPr>
        <sz val="12"/>
        <color theme="9" tint="-0.249977111117893"/>
        <rFont val="Arial"/>
        <family val="2"/>
      </rPr>
      <t>24832</t>
    </r>
    <r>
      <rPr>
        <sz val="12"/>
        <color theme="9" tint="-0.249977111117893"/>
        <rFont val="宋体"/>
        <family val="3"/>
        <charset val="134"/>
      </rPr>
      <t>、</t>
    </r>
    <r>
      <rPr>
        <sz val="12"/>
        <color theme="9" tint="-0.249977111117893"/>
        <rFont val="Arial"/>
        <family val="2"/>
      </rPr>
      <t>24833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</si>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</sst>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19" fillId="0" borderId="1" xfId="0" applyFont="1" applyBorder="1" applyAlignment="1"/>
    <xf numFmtId="0" fontId="190" fillId="7" borderId="151" xfId="0" applyFont="1" applyFill="1" applyBorder="1" applyAlignment="1" applyProtection="1">
      <alignment vertical="center" wrapText="1"/>
      <protection locked="0"/>
    </xf>
    <xf numFmtId="0" fontId="190" fillId="7" borderId="60" xfId="0" applyFont="1" applyFill="1" applyBorder="1" applyAlignment="1" applyProtection="1">
      <alignment vertical="center" wrapText="1"/>
      <protection locked="0"/>
    </xf>
    <xf numFmtId="0" fontId="56" fillId="0" borderId="1" xfId="0" applyFont="1" applyBorder="1" applyAlignment="1"/>
    <xf numFmtId="0" fontId="56" fillId="5" borderId="1" xfId="0" applyFont="1" applyFill="1" applyBorder="1" applyAlignment="1"/>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37" fillId="5" borderId="1" xfId="0" applyFont="1" applyFill="1" applyBorder="1" applyAlignment="1" applyProtection="1">
      <alignment horizontal="center" vertical="center" wrapText="1"/>
      <protection locked="0"/>
    </xf>
    <xf numFmtId="176" fontId="106" fillId="5" borderId="24"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179"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16</xdr:col>
      <xdr:colOff>417828</xdr:colOff>
      <xdr:row>23</xdr:row>
      <xdr:rowOff>72221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682240"/>
          <a:ext cx="10171428" cy="1352381"/>
        </a:xfrm>
        <a:prstGeom prst="rect">
          <a:avLst/>
        </a:prstGeom>
      </xdr:spPr>
    </xdr:pic>
    <xdr:clientData/>
  </xdr:twoCellAnchor>
  <xdr:twoCellAnchor editAs="oneCell">
    <xdr:from>
      <xdr:col>0</xdr:col>
      <xdr:colOff>0</xdr:colOff>
      <xdr:row>23</xdr:row>
      <xdr:rowOff>0</xdr:rowOff>
    </xdr:from>
    <xdr:to>
      <xdr:col>15</xdr:col>
      <xdr:colOff>494095</xdr:colOff>
      <xdr:row>29</xdr:row>
      <xdr:rowOff>45577</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962400"/>
          <a:ext cx="9638095" cy="1142857"/>
        </a:xfrm>
        <a:prstGeom prst="rect">
          <a:avLst/>
        </a:prstGeom>
      </xdr:spPr>
    </xdr:pic>
    <xdr:clientData/>
  </xdr:twoCellAnchor>
  <xdr:twoCellAnchor editAs="oneCell">
    <xdr:from>
      <xdr:col>0</xdr:col>
      <xdr:colOff>0</xdr:colOff>
      <xdr:row>29</xdr:row>
      <xdr:rowOff>0</xdr:rowOff>
    </xdr:from>
    <xdr:to>
      <xdr:col>15</xdr:col>
      <xdr:colOff>351238</xdr:colOff>
      <xdr:row>35</xdr:row>
      <xdr:rowOff>102720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059680"/>
          <a:ext cx="9495238" cy="1200000"/>
        </a:xfrm>
        <a:prstGeom prst="rect">
          <a:avLst/>
        </a:prstGeom>
      </xdr:spPr>
    </xdr:pic>
    <xdr:clientData/>
  </xdr:twoCellAnchor>
  <xdr:twoCellAnchor editAs="oneCell">
    <xdr:from>
      <xdr:col>0</xdr:col>
      <xdr:colOff>0</xdr:colOff>
      <xdr:row>35</xdr:row>
      <xdr:rowOff>0</xdr:rowOff>
    </xdr:from>
    <xdr:to>
      <xdr:col>15</xdr:col>
      <xdr:colOff>436952</xdr:colOff>
      <xdr:row>41</xdr:row>
      <xdr:rowOff>102720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156960"/>
          <a:ext cx="9580952" cy="12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0108;&#2639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B14">
            <v>15000</v>
          </cell>
          <cell r="C14">
            <v>15176.04</v>
          </cell>
          <cell r="D14">
            <v>2000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7" customWidth="1"/>
    <col min="2" max="2" width="81" style="1604" customWidth="1"/>
    <col min="3" max="16384" width="9" style="1602"/>
  </cols>
  <sheetData>
    <row r="1" spans="1:2" s="1590" customFormat="1" ht="16.2" thickBot="1">
      <c r="A1" s="1589" t="s">
        <v>1219</v>
      </c>
      <c r="B1" s="1588" t="s">
        <v>1298</v>
      </c>
    </row>
    <row r="2" spans="1:2" s="1593" customFormat="1" ht="16.2" thickTop="1">
      <c r="A2" s="1591" t="s">
        <v>1220</v>
      </c>
      <c r="B2" s="1592" t="str">
        <f>'预评函-封皮'!B37:I37</f>
        <v>河北省廊坊市大厂回族自治县大福南路60号房地产抵押价值预评估</v>
      </c>
    </row>
    <row r="3" spans="1:2" s="1596" customFormat="1">
      <c r="A3" s="1594" t="s">
        <v>1221</v>
      </c>
      <c r="B3" s="1595" t="str">
        <f>'预评函-封皮'!B40</f>
        <v>廊坊京磁精密材料有限公司</v>
      </c>
    </row>
    <row r="4" spans="1:2" s="1596" customFormat="1">
      <c r="A4" s="1594" t="s">
        <v>1222</v>
      </c>
      <c r="B4" s="1595" t="str">
        <f ca="1">'预评函-封皮'!B46</f>
        <v>欧红伟（注册号：1120000080)、崔锴（注册号：1120100036)</v>
      </c>
    </row>
    <row r="5" spans="1:2" s="1590" customFormat="1" ht="16.2" thickBot="1">
      <c r="A5" s="1597" t="s">
        <v>1223</v>
      </c>
      <c r="B5" s="1598" t="str">
        <f>'预评函-封皮'!B49</f>
        <v>康正预评字2018-1-0360号</v>
      </c>
    </row>
    <row r="6" spans="1:2" s="1593" customFormat="1" ht="16.2" thickTop="1">
      <c r="A6" s="1591" t="s">
        <v>1224</v>
      </c>
      <c r="B6" s="1592" t="str">
        <f>'预评函-1'!A4</f>
        <v>受贵公司委托，我公司对河北省廊坊市大厂回族自治县大福南路60号房地产抵押价值进行了预评估。</v>
      </c>
    </row>
    <row r="7" spans="1:2" s="1596" customFormat="1">
      <c r="A7" s="1594" t="s">
        <v>1264</v>
      </c>
      <c r="B7" s="1595" t="str">
        <f>'预评函-1'!A7</f>
        <v>估价对象为河北省廊坊市大厂回族自治县大福南路60号房地产，为廊坊京磁精密材料有限公司所有。根据《国有土地使用证》[大厂国用（2014）第02071号、大厂国用（2016）第02021号]，估价对象（分摊）出让国有建设用地使用权面积为26594.63平方米，建筑面积为36762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河北省廊坊市大厂回族自治县大福南路60号房地产,属廊坊京磁精密材料有限公司开发建设的工业项目，该项目尚在开发建设中。根据《国有土地使用证》[大厂国用（2014）第02071号、大厂国用（2016）第02021号]，估价对象（分摊）出让国有建设用地使用权面积为26594.63平方米，规划建筑面积为36762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 工商银行总行北京通州支行办理贷款手续过程中，确定房地产抵押贷款额度提供参考依据而评估房地产抵押价值。</v>
      </c>
    </row>
    <row r="12" spans="1:2" s="1596" customFormat="1">
      <c r="A12" s="1594" t="s">
        <v>1226</v>
      </c>
      <c r="B12" s="1595" t="str">
        <f>'预评函-1'!A15</f>
        <v>2018年8月27日（评估专业人员实地查勘之日）</v>
      </c>
    </row>
    <row r="13" spans="1:2" s="1596" customFormat="1">
      <c r="A13" s="1594" t="s">
        <v>1227</v>
      </c>
      <c r="B13" s="1595" t="str">
        <f>'预评函-1'!A18</f>
        <v>本次估价的“房地产价值”是指在正常市场情况下，在价值时点2018年8月27日，估价对象规划用途为，土地取得方式为出让，出让国有建设用地使用权剩余土地使用年限为43.87，假定未设立法定优先受偿款下的房地产市场价值。</v>
      </c>
    </row>
    <row r="14" spans="1:2" s="1596" customFormat="1">
      <c r="A14" s="1594" t="s">
        <v>1228</v>
      </c>
      <c r="B14" s="1595" t="str">
        <f>'预评函-1'!A19</f>
        <v>其中，“出让国有建设用地使用权价值”是指估价对象用途为，实际开发程度为宗地红线外“七通”（即通路、通电、通讯、通上水、通下水、通热、）、红线内场地平整条件下，剩余土地使用年限为43.87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
      </c>
    </row>
    <row r="18" spans="1:2" s="1590" customFormat="1" ht="16.2" thickBot="1">
      <c r="A18" s="1597" t="s">
        <v>1232</v>
      </c>
      <c r="B18" s="1598" t="str">
        <f>'预评函-1'!A24</f>
        <v>本次评估采用的主估价方法为成本法和收益法。</v>
      </c>
    </row>
    <row r="19" spans="1:2" s="1593" customFormat="1" ht="16.2"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13889</v>
      </c>
    </row>
    <row r="21" spans="1:2" s="1596" customFormat="1">
      <c r="A21" s="1594" t="s">
        <v>1235</v>
      </c>
      <c r="B21" s="1595">
        <f ca="1">'预评函-2'!D7</f>
        <v>3778</v>
      </c>
    </row>
    <row r="22" spans="1:2" s="1596" customFormat="1">
      <c r="A22" s="1594" t="s">
        <v>1236</v>
      </c>
      <c r="B22" s="1595" t="str">
        <f ca="1">'预评函-2'!D6</f>
        <v>壹亿叁仟捌佰捌拾玖万元整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13889</v>
      </c>
    </row>
    <row r="31" spans="1:2" s="1596" customFormat="1">
      <c r="A31" s="1594" t="s">
        <v>1274</v>
      </c>
      <c r="B31" s="1595">
        <f ca="1">'预评函-2'!D15</f>
        <v>3778</v>
      </c>
    </row>
    <row r="32" spans="1:2" s="1596" customFormat="1">
      <c r="A32" s="1594" t="s">
        <v>1241</v>
      </c>
      <c r="B32" s="1595" t="str">
        <f ca="1">'预评函-2'!D14</f>
        <v>壹亿叁仟捌佰捌拾玖万元整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河北省廊坊市大厂回族自治县大福南路60号房地产</v>
      </c>
    </row>
    <row r="42" spans="1:2" s="1596" customFormat="1" ht="31.2">
      <c r="A42" s="1594" t="s">
        <v>1288</v>
      </c>
      <c r="B42" s="1595" t="str">
        <f>'预评函-3'!B2</f>
        <v>建筑面积</v>
      </c>
    </row>
    <row r="43" spans="1:2" s="1596" customFormat="1">
      <c r="A43" s="1594" t="s">
        <v>1289</v>
      </c>
      <c r="B43" s="1595">
        <f>'预评函-3'!B4</f>
        <v>36762</v>
      </c>
    </row>
    <row r="44" spans="1:2" s="1596" customFormat="1" ht="31.2">
      <c r="A44" s="1594" t="s">
        <v>1273</v>
      </c>
      <c r="B44" s="1595" t="str">
        <f>'预评函-3'!C2</f>
        <v>(分摊)土地面积</v>
      </c>
    </row>
    <row r="45" spans="1:2" s="1596" customFormat="1">
      <c r="A45" s="1594" t="s">
        <v>1245</v>
      </c>
      <c r="B45" s="1595">
        <f>'预评函-3'!C4</f>
        <v>26594.63</v>
      </c>
    </row>
    <row r="46" spans="1:2" s="1596" customFormat="1">
      <c r="A46" s="1594" t="s">
        <v>1271</v>
      </c>
      <c r="B46" s="1595" t="str">
        <f>'预评函-3'!D2</f>
        <v>出让国有建设用地使用权价值</v>
      </c>
    </row>
    <row r="47" spans="1:2" s="1596" customFormat="1">
      <c r="A47" s="1594" t="s">
        <v>1246</v>
      </c>
      <c r="B47" s="1595">
        <f ca="1">'预评函-3'!D4</f>
        <v>3542</v>
      </c>
    </row>
    <row r="48" spans="1:2" s="1596" customFormat="1">
      <c r="A48" s="1594" t="s">
        <v>1247</v>
      </c>
      <c r="B48" s="1595">
        <f ca="1">'预评函-3'!E4</f>
        <v>963</v>
      </c>
    </row>
    <row r="49" spans="1:2" s="1596" customFormat="1">
      <c r="A49" s="1594" t="s">
        <v>1248</v>
      </c>
      <c r="B49" s="1595" t="str">
        <f ca="1">'预评函-3'!D5</f>
        <v>叁仟伍佰肆拾贰万元整</v>
      </c>
    </row>
    <row r="50" spans="1:2" s="1596" customFormat="1">
      <c r="A50" s="1594" t="s">
        <v>1272</v>
      </c>
      <c r="B50" s="1595" t="str">
        <f>'预评函-3'!F2</f>
        <v>在建建筑物价值</v>
      </c>
    </row>
    <row r="51" spans="1:2" s="1596" customFormat="1">
      <c r="A51" s="1594" t="s">
        <v>1249</v>
      </c>
      <c r="B51" s="1595">
        <f ca="1">'预评函-3'!F4</f>
        <v>10347</v>
      </c>
    </row>
    <row r="52" spans="1:2" s="1596" customFormat="1">
      <c r="A52" s="1594" t="s">
        <v>1250</v>
      </c>
      <c r="B52" s="1595">
        <f ca="1">'预评函-3'!G4</f>
        <v>2815</v>
      </c>
    </row>
    <row r="53" spans="1:2" s="1596" customFormat="1">
      <c r="A53" s="1594" t="s">
        <v>1278</v>
      </c>
      <c r="B53" s="1595" t="str">
        <f ca="1">'预评函-3'!F5</f>
        <v>壹亿零叁佰肆拾柒万元整</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6.2" thickBot="1">
      <c r="A57" s="1597" t="s">
        <v>1297</v>
      </c>
      <c r="B57" s="1598" t="str">
        <f>'预评函-3'!A6</f>
        <v>估价师知悉的法定优先受偿款</v>
      </c>
    </row>
    <row r="58" spans="1:2" s="1593" customFormat="1" ht="16.2"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（1）根据估价对象《房屋所有权证》原件、《国有土地使用权》原件，截至价值时点，估价对象抵押权未见登记。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6.2" thickBot="1">
      <c r="A69" s="1597" t="s">
        <v>1259</v>
      </c>
      <c r="B69" s="1599">
        <f>'预评函-4'!C31</f>
        <v>42551</v>
      </c>
    </row>
    <row r="70" spans="1:2" ht="16.2"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6.2" thickBot="1">
      <c r="A73" s="1597" t="s">
        <v>1263</v>
      </c>
      <c r="B73" s="1598">
        <f ca="1">'预评函-4'!B5</f>
        <v>1120100036</v>
      </c>
    </row>
    <row r="74" spans="1:2" ht="16.2"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4.4"/>
  <cols>
    <col min="1" max="1" width="13.44140625" style="2027" customWidth="1"/>
    <col min="2" max="2" width="23.21875" style="1978" customWidth="1"/>
    <col min="3" max="3" width="13" style="2022" hidden="1" customWidth="1"/>
    <col min="4" max="4" width="5.77734375" style="2019" hidden="1" customWidth="1"/>
    <col min="5" max="5" width="7.109375" style="2019" hidden="1" customWidth="1"/>
    <col min="6" max="6" width="10.6640625" style="2019" hidden="1" customWidth="1"/>
    <col min="7" max="7" width="7.44140625" style="2019" hidden="1" customWidth="1"/>
    <col min="8" max="8" width="9" style="2022" hidden="1" customWidth="1"/>
    <col min="9" max="9" width="11.6640625" style="2022" hidden="1" customWidth="1"/>
    <col min="10" max="10" width="9" style="2022" hidden="1" customWidth="1"/>
    <col min="11" max="19" width="9" style="2019" hidden="1" customWidth="1"/>
    <col min="20" max="22" width="9" style="2022" hidden="1" customWidth="1"/>
    <col min="23" max="23" width="9" style="2022" customWidth="1"/>
    <col min="24" max="24" width="21.109375" style="1978" customWidth="1"/>
    <col min="25" max="16384" width="9" style="1978"/>
  </cols>
  <sheetData>
    <row r="1" spans="1:23" s="2016" customFormat="1" ht="28.8">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 工商银行总行北京通州支行办理贷款手续过程中，确定房地产抵押贷款额度提供参考依据而评估房地产抵押价值。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廊坊京磁精密材料有限公司拟使用河北省廊坊市大厂回族自治县大福南路60号房地产作为抵押担保物，向 工商银行总行北京通州支行办理贷款手续。 工商银行总行北京通州支行特委托北京康正宏基房地产评估有限公司对上述抵押物进行评估。本次评估为确定房地产抵押贷款额度提供参考依据而评估房地产抵押价值。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1"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1"/>
      <c r="B54" s="2025" t="s">
        <v>864</v>
      </c>
      <c r="C54" s="2022" t="s">
        <v>1281</v>
      </c>
    </row>
    <row r="55" spans="1:4">
      <c r="A55" s="3001"/>
      <c r="B55" s="2025" t="s">
        <v>865</v>
      </c>
      <c r="C55" s="2022" t="s">
        <v>1282</v>
      </c>
    </row>
    <row r="56" spans="1:4">
      <c r="A56" s="3001"/>
      <c r="B56" s="2025" t="s">
        <v>866</v>
      </c>
      <c r="C56" s="2022" t="s">
        <v>1286</v>
      </c>
    </row>
    <row r="57" spans="1:4">
      <c r="A57" s="3001"/>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8671875" style="2035" customWidth="1"/>
    <col min="2" max="2" width="15.33203125" style="2035" bestFit="1" customWidth="1"/>
    <col min="3" max="3" width="11.44140625" style="2035" customWidth="1"/>
    <col min="4" max="4" width="17.88671875" style="2035" bestFit="1" customWidth="1"/>
    <col min="5" max="6" width="10" style="2035" customWidth="1"/>
    <col min="7" max="7" width="10.77734375" style="2035" customWidth="1"/>
    <col min="8" max="8" width="10" style="2035" customWidth="1"/>
    <col min="9" max="9" width="11.10937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1776</v>
      </c>
      <c r="B1" s="3002" t="str">
        <f>IF(B10="北京市","北京市",C10)&amp;F10&amp;IF(结果表!G1="在建","出让国有建设用地使用权及在建建筑物",IF(结果表!G1="土地","出让国有建设用地使用权",))&amp;B9&amp;"预评估"</f>
        <v>河北省廊坊市大厂回族自治县大福南路60号房地产抵押价值预评估</v>
      </c>
      <c r="C1" s="3003"/>
      <c r="D1" s="3003"/>
      <c r="E1" s="3003"/>
      <c r="F1" s="3003"/>
      <c r="G1" s="3003"/>
      <c r="H1" s="3003"/>
      <c r="I1" s="300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河北省廊坊市大厂回族自治县大福南路60号房地产抵押价值</v>
      </c>
    </row>
    <row r="2" spans="1:19" ht="18" customHeight="1">
      <c r="A2" s="2029" t="s">
        <v>1777</v>
      </c>
      <c r="B2" s="1042" t="s">
        <v>3047</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河北省廊坊市大厂回族自治县大福南路60号房地产</v>
      </c>
    </row>
    <row r="3" spans="1:19" ht="18" customHeight="1">
      <c r="A3" s="2038" t="s">
        <v>1778</v>
      </c>
      <c r="B3" s="2039">
        <v>43339</v>
      </c>
      <c r="C3" s="2040" t="s">
        <v>1779</v>
      </c>
      <c r="D3" s="2039">
        <f>B3</f>
        <v>43339</v>
      </c>
      <c r="E3" s="2029"/>
      <c r="F3" s="2029"/>
      <c r="G3" s="2029"/>
      <c r="H3" s="2029"/>
      <c r="I3" s="2029"/>
      <c r="J3" s="2029"/>
      <c r="K3" s="2030"/>
      <c r="L3" s="2031"/>
      <c r="M3" s="2031"/>
      <c r="N3" s="2032"/>
      <c r="O3" s="2033"/>
      <c r="P3" s="2032"/>
      <c r="Q3" s="2032"/>
      <c r="R3" s="2032"/>
      <c r="S3" s="2034"/>
    </row>
    <row r="4" spans="1:19" ht="18" customHeight="1" thickBot="1">
      <c r="A4" s="2041" t="s">
        <v>1780</v>
      </c>
      <c r="B4" s="2042" t="s">
        <v>3048</v>
      </c>
      <c r="C4" s="1040">
        <f ca="1">SUMIF(注册房地产估价师,B4,估价师及机构信息!B3:B24)</f>
        <v>1120000080</v>
      </c>
      <c r="D4" s="2042" t="s">
        <v>3234</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1781</v>
      </c>
      <c r="B5" s="2947" t="s">
        <v>3236</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4" t="s">
        <v>3049</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1783</v>
      </c>
      <c r="B7" s="2054" t="str">
        <f>B5</f>
        <v>廊坊京磁精密材料有限公司</v>
      </c>
      <c r="C7" s="2051"/>
      <c r="D7" s="2052"/>
      <c r="E7" s="2037"/>
      <c r="F7" s="2045"/>
      <c r="G7" s="2045"/>
      <c r="H7" s="2045"/>
      <c r="I7" s="2045"/>
      <c r="J7" s="2045"/>
      <c r="K7" s="2055"/>
      <c r="L7" s="2031"/>
      <c r="M7" s="2031"/>
      <c r="N7" s="2032"/>
      <c r="O7" s="2033"/>
      <c r="P7" s="2032"/>
      <c r="Q7" s="2032"/>
      <c r="R7" s="2032"/>
    </row>
    <row r="8" spans="1:19" ht="18" customHeight="1">
      <c r="A8" s="2050" t="s">
        <v>1784</v>
      </c>
      <c r="B8" s="2056" t="s">
        <v>3050</v>
      </c>
      <c r="C8" s="2057"/>
      <c r="D8" s="3005" t="s">
        <v>1785</v>
      </c>
      <c r="E8" s="2058" t="s">
        <v>3051</v>
      </c>
      <c r="F8" s="2059"/>
      <c r="G8" s="2029"/>
      <c r="H8" s="2029"/>
      <c r="I8" s="2029"/>
      <c r="J8" s="2045"/>
      <c r="K8" s="2046"/>
      <c r="L8" s="2031"/>
      <c r="M8" s="2031"/>
      <c r="N8" s="2032"/>
      <c r="O8" s="2033"/>
      <c r="P8" s="2032"/>
      <c r="Q8" s="2032"/>
      <c r="R8" s="2032"/>
    </row>
    <row r="9" spans="1:19" ht="18" customHeight="1" thickBot="1">
      <c r="A9" s="2043" t="s">
        <v>1786</v>
      </c>
      <c r="B9" s="2060" t="s">
        <v>3051</v>
      </c>
      <c r="C9" s="2061"/>
      <c r="D9" s="3006"/>
      <c r="E9" s="2060" t="s">
        <v>70</v>
      </c>
      <c r="F9" s="2062"/>
      <c r="G9" s="2063"/>
      <c r="H9" s="2063"/>
      <c r="I9" s="2063"/>
      <c r="J9" s="2045"/>
      <c r="K9" s="2055"/>
      <c r="L9" s="2031"/>
      <c r="M9" s="2031"/>
      <c r="N9" s="2032"/>
      <c r="O9" s="2033"/>
      <c r="P9" s="2032"/>
      <c r="Q9" s="2032"/>
      <c r="R9" s="2032"/>
    </row>
    <row r="10" spans="1:19" ht="18" customHeight="1" thickTop="1">
      <c r="A10" s="2064" t="s">
        <v>1787</v>
      </c>
      <c r="B10" s="2065" t="s">
        <v>3052</v>
      </c>
      <c r="C10" s="2948" t="s">
        <v>3053</v>
      </c>
      <c r="D10" s="2049"/>
      <c r="E10" s="2066" t="s">
        <v>1788</v>
      </c>
      <c r="F10" s="2067" t="s">
        <v>3237</v>
      </c>
      <c r="G10" s="2068"/>
      <c r="H10" s="2069"/>
      <c r="I10" s="2049"/>
      <c r="J10" s="2045"/>
      <c r="K10" s="2055"/>
      <c r="L10" s="2031"/>
      <c r="M10" s="2031"/>
      <c r="N10" s="2032"/>
      <c r="O10" s="2033"/>
      <c r="P10" s="2032"/>
      <c r="Q10" s="2032"/>
      <c r="R10" s="2032"/>
    </row>
    <row r="11" spans="1:19" ht="18" customHeight="1">
      <c r="A11" s="2070" t="s">
        <v>1789</v>
      </c>
      <c r="B11" s="2071" t="s">
        <v>3054</v>
      </c>
      <c r="C11" s="2072" t="str">
        <f>B5</f>
        <v>廊坊京磁精密材料有限公司</v>
      </c>
      <c r="D11" s="2073"/>
      <c r="E11" s="2045"/>
      <c r="F11" s="2045"/>
      <c r="G11" s="2045"/>
      <c r="H11" s="2045"/>
      <c r="I11" s="2045"/>
      <c r="J11" s="2045"/>
      <c r="K11" s="2055"/>
      <c r="L11" s="2031"/>
      <c r="M11" s="2031"/>
      <c r="N11" s="2032"/>
      <c r="O11" s="2033"/>
      <c r="P11" s="2032"/>
      <c r="Q11" s="2032"/>
      <c r="R11" s="2032"/>
    </row>
    <row r="12" spans="1:19" ht="18" customHeight="1">
      <c r="A12" s="2074" t="s">
        <v>1790</v>
      </c>
      <c r="B12" s="2071" t="s">
        <v>3055</v>
      </c>
      <c r="C12" s="2075" t="s">
        <v>1791</v>
      </c>
      <c r="D12" s="2076" t="s">
        <v>1792</v>
      </c>
      <c r="E12" s="2076" t="s">
        <v>1793</v>
      </c>
      <c r="F12" s="2076" t="s">
        <v>1794</v>
      </c>
      <c r="G12" s="2076" t="s">
        <v>1795</v>
      </c>
      <c r="H12" s="2076" t="s">
        <v>1796</v>
      </c>
      <c r="I12" s="2076" t="s">
        <v>1797</v>
      </c>
      <c r="J12" s="2045"/>
      <c r="K12" s="2055"/>
      <c r="L12" s="2031"/>
      <c r="M12" s="2031"/>
      <c r="N12" s="2032"/>
      <c r="O12" s="2033"/>
      <c r="P12" s="2032"/>
      <c r="Q12" s="2032"/>
      <c r="R12" s="2032"/>
    </row>
    <row r="13" spans="1:19" ht="18" customHeight="1">
      <c r="A13" s="2077"/>
      <c r="B13" s="2078"/>
      <c r="C13" s="2079" t="s">
        <v>1798</v>
      </c>
      <c r="D13" s="2080"/>
      <c r="E13" s="2080"/>
      <c r="F13" s="2080"/>
      <c r="G13" s="2080"/>
      <c r="H13" s="2080"/>
      <c r="I13" s="1050">
        <v>59352</v>
      </c>
      <c r="J13" s="2045"/>
      <c r="K13" s="2055"/>
      <c r="L13" s="2031"/>
      <c r="M13" s="2031"/>
      <c r="N13" s="2032"/>
      <c r="O13" s="2033"/>
      <c r="P13" s="2032"/>
      <c r="Q13" s="2032"/>
      <c r="R13" s="2032"/>
    </row>
    <row r="14" spans="1:19" ht="18" customHeight="1">
      <c r="A14" s="2077"/>
      <c r="B14" s="2078"/>
      <c r="C14" s="2079" t="s">
        <v>1799</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1800</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43.87</v>
      </c>
      <c r="J15" s="2045"/>
      <c r="K15" s="2083"/>
      <c r="L15" s="2084"/>
      <c r="M15" s="2084"/>
      <c r="N15" s="2085"/>
      <c r="O15" s="2084"/>
      <c r="P15" s="2085"/>
      <c r="Q15" s="2032"/>
      <c r="R15" s="2032"/>
    </row>
    <row r="16" spans="1:19" ht="30.75" customHeight="1">
      <c r="A16" s="2066" t="s">
        <v>1801</v>
      </c>
      <c r="B16" s="3012"/>
      <c r="C16" s="3013"/>
      <c r="D16" s="3014"/>
      <c r="E16" s="2086" t="s">
        <v>1802</v>
      </c>
      <c r="F16" s="3015">
        <f>I15</f>
        <v>43.87</v>
      </c>
      <c r="G16" s="3016"/>
      <c r="H16" s="3016"/>
      <c r="I16" s="3017"/>
      <c r="J16" s="2032"/>
      <c r="K16" s="2083"/>
      <c r="L16" s="2084"/>
      <c r="M16" s="2084"/>
      <c r="N16" s="2085"/>
      <c r="O16" s="2084"/>
      <c r="P16" s="2085"/>
      <c r="Q16" s="2032"/>
      <c r="R16" s="2032"/>
    </row>
    <row r="17" spans="1:22" ht="18" customHeight="1">
      <c r="A17" s="2087" t="s">
        <v>1803</v>
      </c>
      <c r="B17" s="2038" t="s">
        <v>1804</v>
      </c>
      <c r="C17" s="1057">
        <f>'数据-汇总表'!E3</f>
        <v>36762</v>
      </c>
      <c r="D17" s="2088" t="s">
        <v>1805</v>
      </c>
      <c r="E17" s="3018" t="s">
        <v>3239</v>
      </c>
      <c r="F17" s="3019"/>
      <c r="G17" s="3019"/>
      <c r="H17" s="3019"/>
      <c r="I17" s="3020"/>
      <c r="J17" s="2032"/>
      <c r="K17" s="2089"/>
      <c r="L17" s="2084"/>
      <c r="M17" s="2084"/>
      <c r="N17" s="2085"/>
      <c r="O17" s="2084"/>
      <c r="P17" s="2085"/>
      <c r="Q17" s="2032"/>
      <c r="R17" s="2032"/>
      <c r="S17" s="2032"/>
      <c r="T17" s="2032"/>
      <c r="U17" s="2032"/>
      <c r="V17" s="2032"/>
    </row>
    <row r="18" spans="1:22" ht="36" customHeight="1" thickBot="1">
      <c r="A18" s="2090" t="s">
        <v>3233</v>
      </c>
      <c r="B18" s="2041" t="s">
        <v>1806</v>
      </c>
      <c r="C18" s="1447">
        <f>'数据-汇总表'!D3</f>
        <v>26594.63</v>
      </c>
      <c r="D18" s="2091" t="s">
        <v>1805</v>
      </c>
      <c r="E18" s="3021" t="s">
        <v>3238</v>
      </c>
      <c r="F18" s="3022"/>
      <c r="G18" s="3022"/>
      <c r="H18" s="3022"/>
      <c r="I18" s="3023"/>
      <c r="J18" s="2032"/>
      <c r="K18" s="2089"/>
      <c r="L18" s="2084"/>
      <c r="M18" s="2084"/>
      <c r="N18" s="2085"/>
      <c r="O18" s="2084"/>
      <c r="P18" s="2085"/>
      <c r="Q18" s="2032"/>
      <c r="R18" s="2032"/>
      <c r="S18" s="2032"/>
      <c r="T18" s="2032"/>
      <c r="U18" s="2032"/>
      <c r="V18" s="2032"/>
    </row>
    <row r="19" spans="1:22" ht="37.5" customHeight="1" thickTop="1" thickBot="1">
      <c r="A19" s="373" t="s">
        <v>1807</v>
      </c>
      <c r="B19" s="352" t="s">
        <v>1808</v>
      </c>
      <c r="C19" s="2092" t="s">
        <v>3057</v>
      </c>
      <c r="D19" s="2093" t="s">
        <v>1809</v>
      </c>
      <c r="E19" s="2094" t="s">
        <v>70</v>
      </c>
      <c r="F19" s="2095" t="str">
        <f>IF(AND(C19="是",E19="否"),"是否提供他项权证或相关说明","")</f>
        <v/>
      </c>
      <c r="G19" s="2096" t="s">
        <v>70</v>
      </c>
      <c r="H19" s="2045"/>
      <c r="I19" s="2045"/>
      <c r="J19" s="2045"/>
      <c r="K19" s="2055"/>
      <c r="L19" s="2031"/>
      <c r="M19" s="2031"/>
      <c r="N19" s="2085"/>
      <c r="O19" s="2084"/>
      <c r="P19" s="2085"/>
      <c r="Q19" s="2032"/>
      <c r="R19" s="2032"/>
      <c r="S19" s="2032"/>
      <c r="T19" s="2032"/>
      <c r="U19" s="2032"/>
      <c r="V19" s="2032"/>
    </row>
    <row r="20" spans="1:22" ht="18" customHeight="1">
      <c r="A20" s="2097" t="s">
        <v>1810</v>
      </c>
      <c r="B20" s="3008" t="s">
        <v>1811</v>
      </c>
      <c r="C20" s="3009"/>
      <c r="D20" s="3010" t="s">
        <v>1812</v>
      </c>
      <c r="E20" s="3011"/>
      <c r="F20" s="2098" t="s">
        <v>1813</v>
      </c>
      <c r="G20" s="2045"/>
      <c r="H20" s="2045"/>
      <c r="I20" s="2045"/>
      <c r="J20" s="2045"/>
      <c r="K20" s="3007" t="s">
        <v>1814</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31"/>
      <c r="N20" s="2085"/>
      <c r="O20" s="2084"/>
      <c r="P20" s="2085"/>
      <c r="Q20" s="2032"/>
      <c r="R20" s="2032"/>
      <c r="S20" s="2032"/>
      <c r="T20" s="2032"/>
      <c r="U20" s="2032"/>
      <c r="V20" s="2032"/>
    </row>
    <row r="21" spans="1:22" ht="24.75" customHeight="1">
      <c r="A21" s="2097"/>
      <c r="B21" s="2099" t="s">
        <v>1815</v>
      </c>
      <c r="C21" s="2100" t="s">
        <v>1816</v>
      </c>
      <c r="D21" s="2101" t="s">
        <v>1817</v>
      </c>
      <c r="E21" s="2102" t="s">
        <v>70</v>
      </c>
      <c r="F21" s="2103"/>
      <c r="G21" s="2045"/>
      <c r="H21" s="2045"/>
      <c r="I21" s="2045"/>
      <c r="J21" s="2045"/>
      <c r="K21" s="300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1818</v>
      </c>
      <c r="C22" s="2100" t="s">
        <v>3056</v>
      </c>
      <c r="D22" s="2029"/>
      <c r="E22" s="2029"/>
      <c r="F22" s="2105"/>
      <c r="G22" s="2045"/>
      <c r="H22" s="2045"/>
      <c r="I22" s="2045"/>
      <c r="J22" s="2045"/>
      <c r="K22" s="300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25" t="s">
        <v>1825</v>
      </c>
      <c r="B27" s="2064" t="s">
        <v>1826</v>
      </c>
      <c r="C27" s="2120" t="s">
        <v>3058</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25"/>
      <c r="B28" s="2038" t="s">
        <v>1827</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25"/>
      <c r="B29" s="2038" t="s">
        <v>1828</v>
      </c>
      <c r="C29" s="2125" t="s">
        <v>3057</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26"/>
      <c r="B30" s="2038" t="s">
        <v>1829</v>
      </c>
      <c r="C30" s="3027"/>
      <c r="D30" s="3028"/>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29" t="s">
        <v>1830</v>
      </c>
      <c r="B31" s="2127" t="s">
        <v>3059</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30"/>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30"/>
      <c r="B33" s="2131"/>
      <c r="C33" s="2070"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1831</v>
      </c>
      <c r="B34" s="2956" t="s">
        <v>3235</v>
      </c>
      <c r="C34" s="2134" t="s">
        <v>3060</v>
      </c>
      <c r="D34" s="2134" t="s">
        <v>3061</v>
      </c>
      <c r="E34" s="2134" t="s">
        <v>3062</v>
      </c>
      <c r="F34" s="2134" t="s">
        <v>3063</v>
      </c>
      <c r="G34" s="2134" t="s">
        <v>3064</v>
      </c>
      <c r="H34" s="2134"/>
      <c r="I34" s="2045"/>
      <c r="J34" s="2045"/>
      <c r="K34" s="1798">
        <f>COUNTIF(B34:H34,"——")</f>
        <v>0</v>
      </c>
      <c r="L34" s="2075" t="s">
        <v>1832</v>
      </c>
      <c r="M34" s="2075" t="s">
        <v>1833</v>
      </c>
      <c r="N34" s="2075" t="s">
        <v>1834</v>
      </c>
      <c r="O34" s="2075" t="s">
        <v>1835</v>
      </c>
      <c r="P34" s="2075" t="s">
        <v>1836</v>
      </c>
      <c r="Q34" s="2075" t="s">
        <v>1837</v>
      </c>
      <c r="R34" s="2075" t="s">
        <v>1838</v>
      </c>
      <c r="S34" s="3024" t="s">
        <v>1839</v>
      </c>
      <c r="T34" s="2135" t="str">
        <f>NUMBERSTRING(7-K34,1)&amp;"通"</f>
        <v>七通</v>
      </c>
      <c r="U34" s="2032"/>
      <c r="V34" s="2032"/>
    </row>
    <row r="35" spans="1:22" ht="18" customHeight="1">
      <c r="A35" s="2136"/>
      <c r="B35" s="3031" t="s">
        <v>1840</v>
      </c>
      <c r="C35" s="3031"/>
      <c r="D35" s="3031"/>
      <c r="E35" s="3031"/>
      <c r="F35" s="2137" t="str">
        <f>C10</f>
        <v>河北省</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24"/>
      <c r="T35" s="48" t="str">
        <f>IF(T34="一通",L35,IF(T34="二通",M35,IF(T34="三通",N35,IF(T34="四通",O35,IF(T34="五通",P35,IF(T34="六通",Q35,R35))))))</f>
        <v>通路、通电、通讯、通上水、通下水、通热、</v>
      </c>
      <c r="U35" s="2032"/>
      <c r="V35" s="2032"/>
    </row>
    <row r="36" spans="1:22" ht="18" customHeight="1">
      <c r="A36" s="2138"/>
      <c r="B36" s="2137" t="s">
        <v>1841</v>
      </c>
      <c r="C36" s="2137" t="s">
        <v>1842</v>
      </c>
      <c r="D36" s="2137" t="s">
        <v>1843</v>
      </c>
      <c r="E36" s="2137" t="s">
        <v>1844</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1845</v>
      </c>
      <c r="B37" s="2141"/>
      <c r="C37" s="2141"/>
      <c r="D37" s="2141"/>
      <c r="E37" s="2141"/>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1846</v>
      </c>
      <c r="B38" s="2143"/>
      <c r="C38" s="2143"/>
      <c r="D38" s="2143"/>
      <c r="E38" s="2143"/>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32" t="s">
        <v>0</v>
      </c>
      <c r="B1" s="3032" t="s">
        <v>4</v>
      </c>
      <c r="C1" s="3032" t="s">
        <v>5</v>
      </c>
      <c r="D1" s="3033" t="s">
        <v>53</v>
      </c>
      <c r="E1" s="3033" t="s">
        <v>54</v>
      </c>
      <c r="F1" s="3033"/>
      <c r="G1" s="3033"/>
      <c r="H1" s="3033"/>
      <c r="I1" s="3033"/>
      <c r="J1" s="3033"/>
      <c r="K1" s="3033"/>
      <c r="L1" s="3033"/>
      <c r="M1" s="3033"/>
    </row>
    <row r="2" spans="1:13" ht="27" customHeight="1">
      <c r="A2" s="3032"/>
      <c r="B2" s="3032"/>
      <c r="C2" s="3032"/>
      <c r="D2" s="3033"/>
      <c r="E2" s="3033" t="s">
        <v>37</v>
      </c>
      <c r="F2" s="3033" t="s">
        <v>38</v>
      </c>
      <c r="G2" s="3033"/>
      <c r="H2" s="3033"/>
      <c r="I2" s="3033"/>
      <c r="J2" s="3033" t="s">
        <v>39</v>
      </c>
      <c r="K2" s="3033"/>
      <c r="L2" s="3033"/>
      <c r="M2" s="3033"/>
    </row>
    <row r="3" spans="1:13" ht="46.8">
      <c r="A3" s="3032"/>
      <c r="B3" s="3032"/>
      <c r="C3" s="3032"/>
      <c r="D3" s="3033"/>
      <c r="E3" s="3033"/>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3" t="s">
        <v>55</v>
      </c>
      <c r="B9" s="3033"/>
      <c r="C9" s="303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0" sqref="I20"/>
    </sheetView>
  </sheetViews>
  <sheetFormatPr defaultColWidth="8.88671875" defaultRowHeight="13.8"/>
  <cols>
    <col min="1" max="1" width="10.6640625" style="2160" customWidth="1"/>
    <col min="2" max="2" width="11" style="2160" customWidth="1"/>
    <col min="3" max="3" width="10.33203125" style="2160" customWidth="1"/>
    <col min="4" max="4" width="9.109375" style="2160" customWidth="1"/>
    <col min="5" max="6" width="10" style="2223" customWidth="1"/>
    <col min="7" max="8" width="10" style="2160" customWidth="1"/>
    <col min="9" max="9" width="10.6640625" style="2160" customWidth="1"/>
    <col min="10" max="10" width="9.44140625" style="2160" customWidth="1"/>
    <col min="11" max="11" width="11" style="2160" customWidth="1"/>
    <col min="12" max="14" width="9.44140625" style="2160" customWidth="1"/>
    <col min="15" max="15" width="9.88671875" style="2160" customWidth="1"/>
    <col min="16" max="16" width="9.77734375" style="2160" customWidth="1"/>
    <col min="17" max="17" width="9.33203125" style="2160" customWidth="1"/>
    <col min="18" max="18" width="9.21875" style="2160" customWidth="1"/>
    <col min="19" max="19" width="10.88671875" style="2160" customWidth="1"/>
    <col min="20" max="21" width="10.77734375" style="2160" customWidth="1"/>
    <col min="22" max="22" width="10.88671875" style="2160" customWidth="1"/>
    <col min="23" max="27" width="10.77734375" style="2160" customWidth="1"/>
    <col min="28" max="28" width="10.88671875" style="2160" customWidth="1"/>
    <col min="29" max="29" width="11" style="2160" bestFit="1" customWidth="1"/>
    <col min="30" max="30" width="10" style="2160" bestFit="1" customWidth="1"/>
    <col min="31" max="31" width="9.77734375" style="2160" customWidth="1"/>
    <col min="32" max="46" width="9.44140625" style="2160" customWidth="1"/>
    <col min="47" max="47" width="18.109375" style="2160" customWidth="1"/>
    <col min="48" max="50" width="9.77734375" style="2160" customWidth="1"/>
    <col min="51" max="55" width="10.44140625" style="2160" bestFit="1" customWidth="1"/>
    <col min="56" max="56" width="9.44140625" style="2160" bestFit="1" customWidth="1"/>
    <col min="57" max="63" width="9.109375" style="2160" bestFit="1" customWidth="1"/>
    <col min="64" max="64" width="9.44140625" style="2160" bestFit="1" customWidth="1"/>
    <col min="65" max="65" width="9.109375" style="2160" bestFit="1" customWidth="1"/>
    <col min="66" max="66" width="9.44140625" style="2160" bestFit="1" customWidth="1"/>
    <col min="67" max="69" width="9.109375" style="2160" bestFit="1" customWidth="1"/>
    <col min="70" max="70" width="9.44140625" style="2160" bestFit="1" customWidth="1"/>
    <col min="71" max="71" width="9" style="2160" customWidth="1"/>
    <col min="72" max="72" width="9.109375" style="2160" bestFit="1" customWidth="1"/>
    <col min="73" max="16384" width="8.88671875" style="2160"/>
  </cols>
  <sheetData>
    <row r="1" spans="1:72" ht="21">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3.2">
      <c r="A3" s="13">
        <v>26594.63</v>
      </c>
      <c r="B3" s="14">
        <f>IF(C3="否",G5-AT5,G5)</f>
        <v>36762</v>
      </c>
      <c r="C3" s="2169" t="s">
        <v>3065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3.2">
      <c r="A5" s="15" t="s">
        <v>1875</v>
      </c>
      <c r="B5" s="1806"/>
      <c r="C5" s="1806"/>
      <c r="D5" s="1809"/>
      <c r="E5" s="16" t="s">
        <v>1</v>
      </c>
      <c r="F5" s="16">
        <f>SUM(F13:F587)</f>
        <v>0</v>
      </c>
      <c r="G5" s="16">
        <f>SUM(G13:G587)</f>
        <v>36762</v>
      </c>
      <c r="H5" s="16">
        <f t="shared" ref="H5:AT5" si="0">SUM(H13:H656)</f>
        <v>36762</v>
      </c>
      <c r="I5" s="16">
        <f t="shared" si="0"/>
        <v>36762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36762</v>
      </c>
      <c r="BA5" s="18">
        <f t="shared" si="1"/>
        <v>36762</v>
      </c>
      <c r="BB5" s="18">
        <f t="shared" si="1"/>
        <v>36762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3.2">
      <c r="A6" s="15" t="s">
        <v>1876</v>
      </c>
      <c r="B6" s="2175"/>
      <c r="C6" s="2175"/>
      <c r="D6" s="2176"/>
      <c r="E6" s="16">
        <f>H6+AC6+AT6</f>
        <v>26594.63</v>
      </c>
      <c r="F6" s="16" t="s">
        <v>1</v>
      </c>
      <c r="G6" s="16" t="s">
        <v>2</v>
      </c>
      <c r="H6" s="20">
        <f>SUMIF(I$12:AB$12,"总值",I6:AB6)</f>
        <v>26594.63</v>
      </c>
      <c r="I6" s="16">
        <f t="shared" ref="I6:AB6" si="2">ROUND($A$3*I5/$B$3,2)</f>
        <v>26594.63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1876</v>
      </c>
      <c r="AW6" s="2175"/>
      <c r="AX6" s="2175"/>
      <c r="AY6" s="21">
        <f>IF(AY3&gt;0,AY3,ROUND($A$3*AZ5/$B$3,2))</f>
        <v>26594.63</v>
      </c>
      <c r="AZ6" s="16" t="s">
        <v>3</v>
      </c>
      <c r="BA6" s="16">
        <f>ROUND($AY$6*BA5/$AZ$5,2)</f>
        <v>26594.63</v>
      </c>
      <c r="BB6" s="16">
        <f>ROUND($AY$6*BB5/$AZ$5,2)</f>
        <v>26594.63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5.2">
      <c r="A7" s="2110" t="s">
        <v>1877</v>
      </c>
      <c r="B7" s="2110" t="s">
        <v>1878</v>
      </c>
      <c r="C7" s="2110" t="s">
        <v>1879</v>
      </c>
      <c r="D7" s="2110" t="s">
        <v>1880</v>
      </c>
      <c r="E7" s="2110" t="s">
        <v>1881</v>
      </c>
      <c r="F7" s="2110" t="s">
        <v>1882</v>
      </c>
      <c r="G7" s="2179" t="s">
        <v>1883</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1884</v>
      </c>
      <c r="AV7" s="23" t="s">
        <v>1885</v>
      </c>
      <c r="AW7" s="2167" t="s">
        <v>1886</v>
      </c>
      <c r="AX7" s="23" t="s">
        <v>1879</v>
      </c>
      <c r="AY7" s="1806" t="s">
        <v>1887</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1888</v>
      </c>
      <c r="H8" s="2185" t="s">
        <v>1889</v>
      </c>
      <c r="I8" s="2186"/>
      <c r="J8" s="1821"/>
      <c r="K8" s="1821"/>
      <c r="L8" s="1821"/>
      <c r="M8" s="1821"/>
      <c r="N8" s="1821"/>
      <c r="O8" s="1821"/>
      <c r="P8" s="1821"/>
      <c r="Q8" s="1821"/>
      <c r="R8" s="1821"/>
      <c r="S8" s="1821"/>
      <c r="T8" s="1821"/>
      <c r="U8" s="1821"/>
      <c r="V8" s="2187"/>
      <c r="W8" s="1821"/>
      <c r="X8" s="1821"/>
      <c r="Y8" s="1821"/>
      <c r="Z8" s="1821"/>
      <c r="AA8" s="2187"/>
      <c r="AB8" s="2188"/>
      <c r="AC8" s="984" t="s">
        <v>1890</v>
      </c>
      <c r="AD8" s="2189"/>
      <c r="AE8" s="2181"/>
      <c r="AF8" s="1821"/>
      <c r="AG8" s="1821"/>
      <c r="AH8" s="1821"/>
      <c r="AI8" s="1821"/>
      <c r="AJ8" s="1821"/>
      <c r="AK8" s="1821"/>
      <c r="AL8" s="1821"/>
      <c r="AM8" s="1821"/>
      <c r="AN8" s="1821"/>
      <c r="AO8" s="1821"/>
      <c r="AP8" s="1821"/>
      <c r="AQ8" s="1821"/>
      <c r="AR8" s="1821"/>
      <c r="AS8" s="1821"/>
      <c r="AT8" s="1295" t="s">
        <v>1891</v>
      </c>
      <c r="AU8" s="2183" t="s">
        <v>1892</v>
      </c>
      <c r="AV8" s="1295"/>
      <c r="AW8" s="2166"/>
      <c r="AX8" s="1295"/>
      <c r="AY8" s="2167"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3.2">
      <c r="A9" s="2183"/>
      <c r="B9" s="2183"/>
      <c r="C9" s="2183"/>
      <c r="D9" s="2183"/>
      <c r="E9" s="2183"/>
      <c r="F9" s="2183"/>
      <c r="G9" s="1295"/>
      <c r="H9" s="2191" t="s">
        <v>1895</v>
      </c>
      <c r="I9" s="2192" t="s">
        <v>3066</v>
      </c>
      <c r="J9" s="984"/>
      <c r="K9" s="2192"/>
      <c r="L9" s="984"/>
      <c r="M9" s="2192"/>
      <c r="N9" s="984"/>
      <c r="O9" s="2192"/>
      <c r="P9" s="984"/>
      <c r="Q9" s="2192"/>
      <c r="R9" s="984"/>
      <c r="S9" s="2192"/>
      <c r="T9" s="984"/>
      <c r="U9" s="2192"/>
      <c r="V9" s="984"/>
      <c r="W9" s="2192"/>
      <c r="X9" s="2193"/>
      <c r="Y9" s="2192"/>
      <c r="Z9" s="984"/>
      <c r="AA9" s="2192"/>
      <c r="AB9" s="984"/>
      <c r="AC9" s="2184"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4"/>
      <c r="AT9" s="2183"/>
      <c r="AU9" s="2183" t="s">
        <v>1898</v>
      </c>
      <c r="AV9" s="1295"/>
      <c r="AW9" s="2166"/>
      <c r="AX9" s="1295"/>
      <c r="AY9" s="28"/>
      <c r="AZ9" s="28" t="s">
        <v>1888</v>
      </c>
      <c r="BA9" s="2195" t="s">
        <v>1899</v>
      </c>
      <c r="BB9" s="2196"/>
      <c r="BC9" s="1341"/>
      <c r="BD9" s="1341"/>
      <c r="BE9" s="1341"/>
      <c r="BF9" s="1341"/>
      <c r="BG9" s="1341"/>
      <c r="BH9" s="1341"/>
      <c r="BI9" s="1341"/>
      <c r="BJ9" s="1341"/>
      <c r="BK9" s="2197"/>
      <c r="BL9" s="15" t="s">
        <v>1900</v>
      </c>
      <c r="BM9" s="1821"/>
      <c r="BN9" s="2186"/>
      <c r="BO9" s="1821"/>
      <c r="BP9" s="1821"/>
      <c r="BQ9" s="1821"/>
      <c r="BR9" s="1821"/>
      <c r="BS9" s="1821"/>
      <c r="BT9" s="26"/>
    </row>
    <row r="10" spans="1:72" s="2190" customFormat="1" ht="13.2">
      <c r="A10" s="2183"/>
      <c r="B10" s="2183"/>
      <c r="C10" s="2183"/>
      <c r="D10" s="2183"/>
      <c r="E10" s="2183"/>
      <c r="F10" s="2183"/>
      <c r="G10" s="1295"/>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1901</v>
      </c>
      <c r="AE10" s="2199"/>
      <c r="AF10" s="15" t="s">
        <v>1901</v>
      </c>
      <c r="AG10" s="2199"/>
      <c r="AH10" s="15" t="s">
        <v>1902</v>
      </c>
      <c r="AI10" s="2199"/>
      <c r="AJ10" s="15" t="s">
        <v>1902</v>
      </c>
      <c r="AK10" s="2199"/>
      <c r="AL10" s="15" t="s">
        <v>1903</v>
      </c>
      <c r="AM10" s="1301"/>
      <c r="AN10" s="15" t="s">
        <v>1903</v>
      </c>
      <c r="AO10" s="1301"/>
      <c r="AP10" s="15" t="s">
        <v>1904</v>
      </c>
      <c r="AQ10" s="1301"/>
      <c r="AR10" s="15" t="s">
        <v>1904</v>
      </c>
      <c r="AS10" s="1301"/>
      <c r="AT10" s="2183"/>
      <c r="AU10" s="2183"/>
      <c r="AV10" s="1295"/>
      <c r="AW10" s="2166"/>
      <c r="AX10" s="1295"/>
      <c r="AY10" s="28"/>
      <c r="AZ10" s="28"/>
      <c r="BA10" s="2200" t="s">
        <v>1895</v>
      </c>
      <c r="BB10" s="2201"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3.2">
      <c r="A11" s="2183"/>
      <c r="B11" s="2183"/>
      <c r="C11" s="2183"/>
      <c r="D11" s="2183"/>
      <c r="E11" s="2183"/>
      <c r="F11" s="2183"/>
      <c r="G11" s="1295"/>
      <c r="H11" s="2200"/>
      <c r="I11" s="2203" t="s">
        <v>3067</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1905</v>
      </c>
      <c r="AE11" s="1822"/>
      <c r="AF11" s="2205" t="s">
        <v>1905</v>
      </c>
      <c r="AG11" s="1822"/>
      <c r="AH11" s="2205" t="s">
        <v>1906</v>
      </c>
      <c r="AI11" s="2206"/>
      <c r="AJ11" s="2205" t="s">
        <v>1906</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3.2">
      <c r="A12" s="2208"/>
      <c r="B12" s="2208"/>
      <c r="C12" s="2208"/>
      <c r="D12" s="2208"/>
      <c r="E12" s="2208"/>
      <c r="F12" s="2208"/>
      <c r="G12" s="30"/>
      <c r="H12" s="2209"/>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0"/>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8" t="s">
        <v>1908</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3.2">
      <c r="A13" s="1275"/>
      <c r="B13" s="1275"/>
      <c r="C13" s="1275"/>
      <c r="D13" s="2214" t="s">
        <v>3065</v>
      </c>
      <c r="E13" s="16">
        <f>IF($C$3="是",ROUND($A$3*G13/$B$3,2),ROUND($A$3*(G13-AT13)/$B$3,2))</f>
        <v>26594.63</v>
      </c>
      <c r="F13" s="32"/>
      <c r="G13" s="33">
        <f>H13+AC13+AT13</f>
        <v>36762</v>
      </c>
      <c r="H13" s="20">
        <f>SUMIF(I$12:AB$12,"总值",I13:AB13)</f>
        <v>36762</v>
      </c>
      <c r="I13" s="2215">
        <f>7486.8+29275.2</f>
        <v>36762</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9">
        <f>ROUND($AY$6*AZ13/$AZ$5,2)</f>
        <v>26594.63</v>
      </c>
      <c r="AZ13" s="16">
        <f>BA13+BL13</f>
        <v>36762</v>
      </c>
      <c r="BA13" s="16">
        <f>SUM(BB13:BK13)</f>
        <v>36762</v>
      </c>
      <c r="BB13" s="16">
        <f>IF($D13="是",I13-J13,0)</f>
        <v>36762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3.2">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3.2">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3.2">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3.2">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6" sqref="H36"/>
    </sheetView>
  </sheetViews>
  <sheetFormatPr defaultColWidth="9.21875" defaultRowHeight="13.8"/>
  <cols>
    <col min="1" max="1" width="12.109375" style="2227" customWidth="1"/>
    <col min="2" max="2" width="10.21875" style="2227" customWidth="1"/>
    <col min="3" max="3" width="18.44140625" style="2227" customWidth="1"/>
    <col min="4" max="4" width="11.6640625" style="2227" customWidth="1"/>
    <col min="5" max="5" width="13.33203125" style="2227" customWidth="1"/>
    <col min="6" max="8" width="11.44140625" style="2227" customWidth="1"/>
    <col min="9" max="9" width="11.109375" style="2227" customWidth="1"/>
    <col min="10" max="10" width="3.109375" style="2227" customWidth="1"/>
    <col min="11" max="16" width="10" style="2227" customWidth="1"/>
    <col min="17" max="17" width="2.6640625" style="2227" customWidth="1"/>
    <col min="18" max="18" width="9.33203125" style="2227" bestFit="1" customWidth="1"/>
    <col min="19" max="19" width="10.44140625" style="2227" bestFit="1" customWidth="1"/>
    <col min="20" max="16384" width="9.21875" style="2227"/>
  </cols>
  <sheetData>
    <row r="1" spans="1:16" ht="17.399999999999999">
      <c r="A1" s="2226" t="s">
        <v>1934</v>
      </c>
      <c r="B1" s="1395"/>
      <c r="C1" s="1395"/>
      <c r="D1" s="1395"/>
      <c r="E1" s="1395"/>
      <c r="F1" s="1395"/>
      <c r="G1" s="1395"/>
      <c r="H1" s="1395"/>
      <c r="I1" s="1395"/>
      <c r="J1" s="1395"/>
      <c r="K1" s="1395"/>
      <c r="L1" s="1395"/>
      <c r="M1" s="1395"/>
      <c r="N1" s="1395"/>
      <c r="O1" s="1395"/>
      <c r="P1" s="1395"/>
    </row>
    <row r="2" spans="1:16" ht="14.4">
      <c r="A2" s="3043" t="s">
        <v>1935</v>
      </c>
      <c r="B2" s="3043"/>
      <c r="C2" s="3043"/>
      <c r="D2" s="970" t="s">
        <v>1911</v>
      </c>
      <c r="E2" s="2228" t="s">
        <v>1912</v>
      </c>
      <c r="F2" s="1395"/>
      <c r="G2" s="2229"/>
      <c r="H2" s="2230"/>
      <c r="I2" s="2231" t="s">
        <v>1936</v>
      </c>
      <c r="J2" s="1395"/>
      <c r="K2" s="1395"/>
      <c r="L2" s="1395"/>
      <c r="M2" s="1395"/>
      <c r="N2" s="1430"/>
      <c r="O2" s="1395"/>
      <c r="P2" s="1395"/>
    </row>
    <row r="3" spans="1:16" ht="15" thickBot="1">
      <c r="A3" s="3044" t="s">
        <v>1909</v>
      </c>
      <c r="B3" s="3044"/>
      <c r="C3" s="3044"/>
      <c r="D3" s="46">
        <f>'数据-基础表'!AY6</f>
        <v>26594.63</v>
      </c>
      <c r="E3" s="46">
        <f>'数据-基础表'!AZ5</f>
        <v>36762</v>
      </c>
      <c r="F3" s="1395"/>
      <c r="G3" s="1402"/>
      <c r="H3" s="1250" t="s">
        <v>1910</v>
      </c>
      <c r="I3" s="55">
        <f>ROUND('数据-基础表'!B3/'数据-基础表'!A3,2)</f>
        <v>1.38</v>
      </c>
      <c r="J3" s="1395"/>
      <c r="K3" s="1395"/>
      <c r="L3" s="1395"/>
      <c r="M3" s="1395"/>
      <c r="N3" s="1430"/>
      <c r="O3" s="1395"/>
      <c r="P3" s="1395"/>
    </row>
    <row r="4" spans="1:16" ht="14.4">
      <c r="A4" s="3045"/>
      <c r="B4" s="3046"/>
      <c r="C4" s="3047"/>
      <c r="D4" s="2232" t="s">
        <v>1911</v>
      </c>
      <c r="E4" s="2233" t="s">
        <v>1912</v>
      </c>
      <c r="F4" s="1395"/>
      <c r="G4" s="2234" t="s">
        <v>1937</v>
      </c>
      <c r="H4" s="1250" t="s">
        <v>1917</v>
      </c>
      <c r="I4" s="55">
        <f>ROUND(SUMIF('数据-基础表'!I9:AS9,"地上",'数据-基础表'!I5:AS5)/'数据-基础表'!A3,2)</f>
        <v>1.38</v>
      </c>
      <c r="J4" s="1395"/>
      <c r="K4" s="1395"/>
      <c r="L4" s="1395"/>
      <c r="M4" s="1395"/>
      <c r="N4" s="1430"/>
      <c r="O4" s="1395"/>
      <c r="P4" s="1395"/>
    </row>
    <row r="5" spans="1:16" ht="14.4">
      <c r="A5" s="47" t="s">
        <v>1913</v>
      </c>
      <c r="B5" s="3048" t="s">
        <v>1914</v>
      </c>
      <c r="C5" s="3048"/>
      <c r="D5" s="48">
        <f>ROUND($D$3*E5/$E$3,2)</f>
        <v>0</v>
      </c>
      <c r="E5" s="49">
        <f>SUMIF('数据-基础表'!$11:$11,"住宅",'数据-基础表'!$5:$5)</f>
        <v>0</v>
      </c>
      <c r="F5" s="1395"/>
      <c r="G5" s="1402"/>
      <c r="H5" s="1250" t="s">
        <v>1910</v>
      </c>
      <c r="I5" s="55">
        <f>ROUND(E31/D31,2)</f>
        <v>1.38</v>
      </c>
      <c r="J5" s="1395"/>
      <c r="K5" s="1395"/>
      <c r="L5" s="1395"/>
      <c r="M5" s="1395"/>
      <c r="N5" s="1395"/>
      <c r="O5" s="1395"/>
      <c r="P5" s="1395"/>
    </row>
    <row r="6" spans="1:16" ht="15" thickBot="1">
      <c r="A6" s="2235"/>
      <c r="B6" s="3048" t="s">
        <v>1915</v>
      </c>
      <c r="C6" s="3048"/>
      <c r="D6" s="48">
        <f>ROUND($D$3*E6/$E$3,2)</f>
        <v>26594.63</v>
      </c>
      <c r="E6" s="49">
        <f>E3-E5</f>
        <v>36762</v>
      </c>
      <c r="F6" s="1395"/>
      <c r="G6" s="2236" t="s">
        <v>1916</v>
      </c>
      <c r="H6" s="1402" t="s">
        <v>1917</v>
      </c>
      <c r="I6" s="942">
        <f>ROUND(F31/D31,2)</f>
        <v>1.38</v>
      </c>
      <c r="J6" s="1395"/>
      <c r="K6" s="1395"/>
      <c r="L6" s="1395"/>
      <c r="M6" s="1395"/>
      <c r="N6" s="1395"/>
      <c r="O6" s="1395"/>
      <c r="P6" s="1395"/>
    </row>
    <row r="7" spans="1:16" ht="14.4">
      <c r="A7" s="3040"/>
      <c r="B7" s="3041"/>
      <c r="C7" s="3042"/>
      <c r="D7" s="2232" t="s">
        <v>1911</v>
      </c>
      <c r="E7" s="2237" t="s">
        <v>1918</v>
      </c>
      <c r="F7" s="1395"/>
      <c r="G7" s="2229" t="s">
        <v>1919</v>
      </c>
      <c r="H7" s="64"/>
      <c r="I7" s="420"/>
      <c r="J7" s="1395"/>
      <c r="K7" s="1395"/>
      <c r="L7" s="1395"/>
      <c r="M7" s="1395"/>
      <c r="N7" s="1395"/>
      <c r="O7" s="1395"/>
      <c r="P7" s="1395"/>
    </row>
    <row r="8" spans="1:16" ht="14.4">
      <c r="A8" s="47" t="s">
        <v>1920</v>
      </c>
      <c r="B8" s="50" t="s">
        <v>1921</v>
      </c>
      <c r="C8" s="48" t="s">
        <v>1922</v>
      </c>
      <c r="D8" s="48">
        <f t="shared" ref="D8:D15" si="0">ROUND($D$3*E8/$E$3,2)</f>
        <v>26594.63</v>
      </c>
      <c r="E8" s="51">
        <f>SUMIF('数据-基础表'!BB10:BK10,"地上",'数据-基础表'!BB5:BK5)</f>
        <v>36762</v>
      </c>
      <c r="F8" s="1395"/>
      <c r="G8" s="2238"/>
      <c r="H8" s="2238"/>
      <c r="I8" s="1395"/>
      <c r="J8" s="1395"/>
      <c r="K8" s="1395"/>
      <c r="L8" s="1395"/>
      <c r="M8" s="1395"/>
      <c r="N8" s="1395"/>
      <c r="O8" s="1395"/>
      <c r="P8" s="1395"/>
    </row>
    <row r="9" spans="1:16" ht="14.4">
      <c r="A9" s="2239"/>
      <c r="B9" s="2240"/>
      <c r="C9" s="48" t="s">
        <v>1923</v>
      </c>
      <c r="D9" s="48">
        <f t="shared" si="0"/>
        <v>0</v>
      </c>
      <c r="E9" s="52">
        <v>0</v>
      </c>
      <c r="F9" s="1395"/>
      <c r="G9" s="2238"/>
      <c r="H9" s="2238"/>
      <c r="I9" s="1395"/>
      <c r="J9" s="1395"/>
      <c r="K9" s="1395"/>
      <c r="L9" s="1395"/>
      <c r="M9" s="1395"/>
      <c r="N9" s="1395"/>
      <c r="O9" s="1395"/>
      <c r="P9" s="1395"/>
    </row>
    <row r="10" spans="1:16" ht="14.4">
      <c r="A10" s="2239"/>
      <c r="B10" s="2240"/>
      <c r="C10" s="48" t="s">
        <v>1932</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ht="14.4">
      <c r="A11" s="2239"/>
      <c r="B11" s="2240"/>
      <c r="C11" s="48" t="s">
        <v>1924</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ht="14.4">
      <c r="A12" s="2239"/>
      <c r="B12" s="2240"/>
      <c r="C12" s="48" t="s">
        <v>1925</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ht="14.4">
      <c r="A13" s="2239"/>
      <c r="B13" s="2240"/>
      <c r="C13" s="48" t="s">
        <v>1926</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ht="14.4">
      <c r="A14" s="2239"/>
      <c r="B14" s="2240"/>
      <c r="C14" s="48" t="s">
        <v>1938</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1933</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 thickBot="1">
      <c r="A16" s="2235"/>
      <c r="B16" s="2240"/>
      <c r="C16" s="50" t="s">
        <v>1927</v>
      </c>
      <c r="D16" s="50">
        <f>SUM(D8:D15)</f>
        <v>26594.63</v>
      </c>
      <c r="E16" s="53">
        <f>SUM(E8:E15)</f>
        <v>36762</v>
      </c>
      <c r="F16" s="1395"/>
      <c r="G16" s="2238"/>
      <c r="H16" s="2241" t="s">
        <v>1939</v>
      </c>
      <c r="I16" s="2242"/>
      <c r="J16" s="1395"/>
      <c r="K16" s="3037" t="s">
        <v>1939</v>
      </c>
      <c r="L16" s="3038"/>
      <c r="M16" s="3038"/>
      <c r="N16" s="3038"/>
      <c r="O16" s="3038"/>
      <c r="P16" s="3039"/>
    </row>
    <row r="17" spans="1:19" ht="14.4">
      <c r="A17" s="2243" t="s">
        <v>1940</v>
      </c>
      <c r="B17" s="2244" t="s">
        <v>1941</v>
      </c>
      <c r="C17" s="2245" t="s">
        <v>1942</v>
      </c>
      <c r="D17" s="2246" t="s">
        <v>1930</v>
      </c>
      <c r="E17" s="2247" t="s">
        <v>1931</v>
      </c>
      <c r="F17" s="2248"/>
      <c r="G17" s="2249"/>
      <c r="H17" s="2250" t="s">
        <v>1943</v>
      </c>
      <c r="I17" s="2251" t="s">
        <v>1928</v>
      </c>
      <c r="J17" s="1395"/>
      <c r="K17" s="3034" t="s">
        <v>1944</v>
      </c>
      <c r="L17" s="3035"/>
      <c r="M17" s="3036"/>
      <c r="N17" s="3034" t="s">
        <v>1945</v>
      </c>
      <c r="O17" s="3035"/>
      <c r="P17" s="3036"/>
      <c r="R17" s="2229" t="s">
        <v>1946</v>
      </c>
      <c r="S17" s="64"/>
    </row>
    <row r="18" spans="1:19" ht="14.4">
      <c r="A18" s="2239"/>
      <c r="B18" s="2252"/>
      <c r="C18" s="2253"/>
      <c r="D18" s="2254"/>
      <c r="E18" s="2255" t="s">
        <v>1947</v>
      </c>
      <c r="F18" s="2256" t="s">
        <v>1948</v>
      </c>
      <c r="G18" s="2257" t="s">
        <v>1949</v>
      </c>
      <c r="H18" s="1265" t="s">
        <v>1950</v>
      </c>
      <c r="I18" s="2258" t="s">
        <v>1951</v>
      </c>
      <c r="J18" s="1395"/>
      <c r="K18" s="1265" t="s">
        <v>1952</v>
      </c>
      <c r="L18" s="2259" t="s">
        <v>1953</v>
      </c>
      <c r="M18" s="1049" t="s">
        <v>1954</v>
      </c>
      <c r="N18" s="1265" t="s">
        <v>1952</v>
      </c>
      <c r="O18" s="2259" t="s">
        <v>1953</v>
      </c>
      <c r="P18" s="1049" t="s">
        <v>1954</v>
      </c>
      <c r="R18" s="1250" t="s">
        <v>1955</v>
      </c>
      <c r="S18" s="1250" t="s">
        <v>1956</v>
      </c>
    </row>
    <row r="19" spans="1:19" ht="14.4">
      <c r="A19" s="2260"/>
      <c r="B19" s="50" t="s">
        <v>1929</v>
      </c>
      <c r="C19" s="2951" t="s">
        <v>3191</v>
      </c>
      <c r="D19" s="48">
        <f>ROUND($D$3*E19/$E$3,2)</f>
        <v>26594.63</v>
      </c>
      <c r="E19" s="56">
        <f t="shared" ref="E19:E26" si="1">SUM(F19:G19)</f>
        <v>36762</v>
      </c>
      <c r="F19" s="57">
        <f>'数据-基础表'!I5</f>
        <v>36762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26594.63</v>
      </c>
      <c r="S19" s="1251">
        <f t="shared" si="5"/>
        <v>36762</v>
      </c>
    </row>
    <row r="20" spans="1:19" ht="14.4">
      <c r="A20" s="2264"/>
      <c r="B20" s="50" t="s">
        <v>1957</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ht="14.4">
      <c r="A21" s="2264"/>
      <c r="B21" s="50" t="s">
        <v>1957</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ht="14.4">
      <c r="A22" s="2264"/>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ht="14.4">
      <c r="A23" s="2264"/>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ht="14.4">
      <c r="A24" s="2264"/>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ht="14.4">
      <c r="A25" s="2264"/>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ht="14.4">
      <c r="A26" s="2264"/>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 thickBot="1">
      <c r="A27" s="2264"/>
      <c r="B27" s="48"/>
      <c r="C27" s="2267" t="s">
        <v>1958</v>
      </c>
      <c r="D27" s="1396">
        <f>SUM(D19:D26)</f>
        <v>26594.63</v>
      </c>
      <c r="E27" s="1397">
        <f>IF(SUM(E19:E26)='数据-基础表'!BA5,SUM(E19:E26),IF(F27="地上面积有误","面积有误","地下面积有误"))</f>
        <v>36762</v>
      </c>
      <c r="F27" s="1396">
        <f>IF(SUM(F19:F26)=E8,SUM(F19:F26),"地上面积有误")</f>
        <v>36762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26594.63</v>
      </c>
      <c r="S27" s="1250">
        <f>IF(SUM(S19:S26)=$E$3,SUM(S19:S26),SUM(S19:S26)&amp;"误差"&amp;ROUND(SUM(S19:S26)-E3,2))</f>
        <v>36762</v>
      </c>
    </row>
    <row r="28" spans="1:19" ht="14.4">
      <c r="A28" s="2264"/>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ht="14.4">
      <c r="A29" s="2264"/>
      <c r="B29" s="50" t="s">
        <v>1959</v>
      </c>
      <c r="C29" s="2268"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4.4">
      <c r="A30" s="2264"/>
      <c r="B30" s="50"/>
      <c r="C30" s="2269" t="s">
        <v>1958</v>
      </c>
      <c r="D30" s="1396">
        <f>SUM(D28:D29)</f>
        <v>0</v>
      </c>
      <c r="E30" s="1396">
        <f>SUM(E28:E29)</f>
        <v>0</v>
      </c>
      <c r="F30" s="1396">
        <f>SUM(F28:F29)</f>
        <v>0</v>
      </c>
      <c r="G30" s="1398">
        <f>SUM(G28:G29)</f>
        <v>0</v>
      </c>
      <c r="H30" s="1395"/>
      <c r="I30" s="1395"/>
      <c r="J30" s="1395"/>
      <c r="K30" s="1395"/>
      <c r="L30" s="1395"/>
      <c r="M30" s="1395"/>
      <c r="N30" s="1395"/>
      <c r="O30" s="1395"/>
      <c r="P30" s="1395"/>
    </row>
    <row r="31" spans="1:19" ht="15" thickBot="1">
      <c r="A31" s="2270"/>
      <c r="B31" s="2271"/>
      <c r="C31" s="1010" t="s">
        <v>1962</v>
      </c>
      <c r="D31" s="729">
        <f>D27+D30</f>
        <v>26594.63</v>
      </c>
      <c r="E31" s="729">
        <f>E27+E30</f>
        <v>36762</v>
      </c>
      <c r="F31" s="730">
        <f>F27+F30</f>
        <v>36762</v>
      </c>
      <c r="G31" s="731">
        <f>G27+G30</f>
        <v>0</v>
      </c>
      <c r="H31" s="1395"/>
      <c r="I31" s="1395"/>
      <c r="J31" s="1395"/>
      <c r="K31" s="1395"/>
      <c r="L31" s="1395"/>
      <c r="M31" s="1395"/>
      <c r="N31" s="1395"/>
      <c r="O31" s="1395"/>
      <c r="P31" s="1395"/>
    </row>
    <row r="32" spans="1:19" ht="14.4">
      <c r="A32" s="2234"/>
      <c r="B32" s="2234" t="s">
        <v>1963</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10" sqref="L10"/>
    </sheetView>
  </sheetViews>
  <sheetFormatPr defaultColWidth="13.77734375" defaultRowHeight="13.2"/>
  <cols>
    <col min="1" max="1" width="20.88671875" style="2346" customWidth="1"/>
    <col min="2" max="2" width="12" style="2276" customWidth="1"/>
    <col min="3" max="3" width="10.77734375" style="2276" customWidth="1"/>
    <col min="4" max="4" width="9.109375" style="2347" customWidth="1"/>
    <col min="5" max="5" width="15" style="2276" bestFit="1" customWidth="1"/>
    <col min="6" max="10" width="8.88671875" style="2276" customWidth="1"/>
    <col min="11" max="12" width="12.33203125" style="2190" customWidth="1"/>
    <col min="13" max="13" width="8.6640625" style="2276" customWidth="1"/>
    <col min="14" max="14" width="11.88671875" style="2276" customWidth="1"/>
    <col min="15" max="15" width="8.44140625" style="2276" customWidth="1"/>
    <col min="16" max="17" width="10.88671875" style="2276" customWidth="1"/>
    <col min="18" max="19" width="12.44140625" style="2276" customWidth="1"/>
    <col min="20" max="20" width="12.109375" style="2276" customWidth="1"/>
    <col min="21" max="21" width="7.44140625" style="2276" customWidth="1"/>
    <col min="22" max="22" width="6.33203125" style="2276" customWidth="1"/>
    <col min="23" max="30" width="6.77734375" style="2276" customWidth="1"/>
    <col min="31" max="31" width="8" style="2276" customWidth="1"/>
    <col min="32" max="34" width="7.21875" style="2276" customWidth="1"/>
    <col min="35" max="39" width="8" style="2276" customWidth="1"/>
    <col min="40" max="40" width="13.77734375" style="2275"/>
    <col min="41" max="41" width="11.6640625" style="2275" customWidth="1"/>
    <col min="42" max="42" width="9.77734375" style="2275" customWidth="1"/>
    <col min="43" max="67" width="13.77734375" style="2275"/>
    <col min="68" max="16384" width="13.77734375" style="2276"/>
  </cols>
  <sheetData>
    <row r="1" spans="1:67" ht="18" thickBot="1">
      <c r="A1" s="2273" t="s">
        <v>1964</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 thickBot="1">
      <c r="A2" s="2277" t="s">
        <v>1965</v>
      </c>
      <c r="B2" s="1269">
        <f>项目基本情况!D3</f>
        <v>43339</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4.4"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57.6">
      <c r="A5" s="2290" t="s">
        <v>1972</v>
      </c>
      <c r="B5" s="2291" t="s">
        <v>1973</v>
      </c>
      <c r="C5" s="2292" t="s">
        <v>1974</v>
      </c>
      <c r="D5" s="2293" t="s">
        <v>1975</v>
      </c>
      <c r="E5" s="1271" t="s">
        <v>1976</v>
      </c>
      <c r="F5" s="2294" t="s">
        <v>1977</v>
      </c>
      <c r="G5" s="1271" t="s">
        <v>1978</v>
      </c>
      <c r="H5" s="1271" t="s">
        <v>1979</v>
      </c>
      <c r="I5" s="1271" t="s">
        <v>1980</v>
      </c>
      <c r="J5" s="2295" t="s">
        <v>1981</v>
      </c>
      <c r="K5" s="2296" t="s">
        <v>1982</v>
      </c>
      <c r="L5" s="2297" t="s">
        <v>1983</v>
      </c>
      <c r="M5" s="2298" t="s">
        <v>1984</v>
      </c>
      <c r="N5" s="2299" t="s">
        <v>3192</v>
      </c>
      <c r="O5" s="2297" t="s">
        <v>1985</v>
      </c>
      <c r="P5" s="2300" t="s">
        <v>1986</v>
      </c>
      <c r="Q5" s="69" t="s">
        <v>1987</v>
      </c>
      <c r="R5" s="2301" t="s">
        <v>1988</v>
      </c>
      <c r="S5" s="2302" t="s">
        <v>1989</v>
      </c>
      <c r="T5" s="2303" t="s">
        <v>1990</v>
      </c>
      <c r="U5" s="1270" t="s">
        <v>1991</v>
      </c>
      <c r="V5" s="1271" t="s">
        <v>1992</v>
      </c>
      <c r="W5" s="1271" t="s">
        <v>1993</v>
      </c>
      <c r="X5" s="71"/>
      <c r="Y5" s="70" t="s">
        <v>1994</v>
      </c>
      <c r="Z5" s="2304" t="s">
        <v>1991</v>
      </c>
      <c r="AA5" s="1271" t="s">
        <v>1992</v>
      </c>
      <c r="AB5" s="1271" t="s">
        <v>1993</v>
      </c>
      <c r="AC5" s="71"/>
      <c r="AD5" s="71" t="s">
        <v>1994</v>
      </c>
      <c r="AE5" s="1270" t="s">
        <v>1995</v>
      </c>
      <c r="AF5" s="1271" t="s">
        <v>1996</v>
      </c>
      <c r="AG5" s="70" t="s">
        <v>1997</v>
      </c>
      <c r="AH5" s="1270" t="s">
        <v>1998</v>
      </c>
      <c r="AI5" s="2304" t="s">
        <v>1999</v>
      </c>
      <c r="AJ5" s="2304" t="s">
        <v>2000</v>
      </c>
      <c r="AK5" s="1271" t="s">
        <v>2001</v>
      </c>
      <c r="AL5" s="1271" t="s">
        <v>2002</v>
      </c>
      <c r="AM5" s="70" t="s">
        <v>2003</v>
      </c>
      <c r="AN5" s="2305" t="s">
        <v>2004</v>
      </c>
      <c r="AO5" s="2075" t="s">
        <v>2005</v>
      </c>
      <c r="AP5" s="1252" t="s">
        <v>2006</v>
      </c>
      <c r="AQ5" s="2306" t="s">
        <v>2007</v>
      </c>
      <c r="AR5" s="2306" t="s">
        <v>2008</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3.8">
      <c r="A6" s="2307" t="str">
        <f>'数据-汇总表'!C19</f>
        <v>工业</v>
      </c>
      <c r="B6" s="2308" t="str">
        <f>IF(A6=0,"","经营性")</f>
        <v>经营性</v>
      </c>
      <c r="C6" s="2309" t="s">
        <v>6</v>
      </c>
      <c r="D6" s="1054">
        <f>SUMIF(项目基本情况!D$12:I$12,C6,项目基本情况!D$14:I$14)</f>
        <v>50</v>
      </c>
      <c r="E6" s="1051">
        <f>IF(B6="","",SUMIF(项目基本情况!D$12:I$12,C6,项目基本情况!D$13:I$13))</f>
        <v>59352</v>
      </c>
      <c r="F6" s="72">
        <f>SUMIF(项目基本情况!D$12:I$12,C6,项目基本情况!D$15:I$15)</f>
        <v>43.87</v>
      </c>
      <c r="G6" s="73">
        <f>IF(ISERROR(ROUND(POWER(1+H6,D6-F6)*(POWER(1+H6,F6)-1)/(POWER(1+H6,D6)-1),3)),0,ROUND(POWER(1+H6,D6-F6)*(POWER(1+H6,F6)-1)/(POWER(1+H6,D6)-1),3))</f>
        <v>0.96699999999999997</v>
      </c>
      <c r="H6" s="802">
        <v>0.05</v>
      </c>
      <c r="I6" s="802">
        <v>5.5E-2</v>
      </c>
      <c r="J6" s="74">
        <v>8.5000000000000006E-2</v>
      </c>
      <c r="K6" s="1254">
        <f>SUMIF('数据-汇总表'!C$19:C$33,A6,'数据-汇总表'!E$19:E$33)</f>
        <v>36762</v>
      </c>
      <c r="L6" s="803">
        <v>1800</v>
      </c>
      <c r="M6" s="75">
        <f t="shared" ref="M6:M14" si="0">ROUND(K6*L6/10000,0)</f>
        <v>6617</v>
      </c>
      <c r="N6" s="801">
        <f>ROUND(1-(2018-2013)/50,2)</f>
        <v>0.9</v>
      </c>
      <c r="O6" s="75" t="str">
        <f>IF($N$5="成新度","——",ROUND(M6*N6,0))</f>
        <v>——</v>
      </c>
      <c r="P6" s="76" t="str">
        <f>IF($N$5="成新度","——",M6-O6)</f>
        <v>——</v>
      </c>
      <c r="Q6" s="804">
        <v>0.05</v>
      </c>
      <c r="R6" s="77">
        <f ca="1">SUMIF('数据-汇总表'!C$19:C$33,A6,'数据-汇总表'!R$19:R$27)</f>
        <v>26594.63</v>
      </c>
      <c r="S6" s="54">
        <f>IF('数据-汇总表'!$I$17="按面积比例",SUMIF('数据-汇总表'!C$19:C$33,A6,'数据-汇总表'!K$19:K$33),SUMIF('数据-汇总表'!C$19:C$33,A6,'数据-汇总表'!N$19:N$33))</f>
        <v>0</v>
      </c>
      <c r="T6" s="1446">
        <f>ROUND($L$14*S6/10000,0)</f>
        <v>0</v>
      </c>
      <c r="U6" s="78">
        <v>1</v>
      </c>
      <c r="V6" s="79">
        <v>0.02</v>
      </c>
      <c r="W6" s="79">
        <v>0.1</v>
      </c>
      <c r="X6" s="1264"/>
      <c r="Y6" s="80">
        <f>N6</f>
        <v>0.9</v>
      </c>
      <c r="Z6" s="81"/>
      <c r="AA6" s="74"/>
      <c r="AB6" s="74"/>
      <c r="AC6" s="1264"/>
      <c r="AD6" s="82"/>
      <c r="AE6" s="1265">
        <f ca="1">IF(AN6="",0,SUMIF(INDIRECT("'"&amp;AN6&amp;"'"&amp;"!E:E"),$AE$5,INDIRECT("'"&amp;AN6&amp;"'"&amp;"!F:F")))</f>
        <v>43.87</v>
      </c>
      <c r="AF6" s="1807"/>
      <c r="AG6" s="147">
        <f>IF(AF6="",0,AE6-AF6)</f>
        <v>0</v>
      </c>
      <c r="AH6" s="83"/>
      <c r="AI6" s="85">
        <v>365</v>
      </c>
      <c r="AJ6" s="86"/>
      <c r="AK6" s="87">
        <v>1.4999999999999999E-2</v>
      </c>
      <c r="AL6" s="88">
        <v>1.5E-3</v>
      </c>
      <c r="AM6" s="89">
        <v>1.4999999999999999E-2</v>
      </c>
      <c r="AN6" s="2310" t="s">
        <v>3193</v>
      </c>
      <c r="AO6" s="55">
        <f ca="1">SUMIF(INDIRECT("'"&amp;AN6&amp;"'"&amp;"!A:A"),"总价",INDIRECT("'"&amp;AN6&amp;"'"&amp;"!B:B"))</f>
        <v>18354</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3.8">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3.8">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3.8">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3.8">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3.8">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3.8">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3.8">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4">
      <c r="A14" s="2312" t="s">
        <v>2009</v>
      </c>
      <c r="B14" s="2308" t="s">
        <v>2010</v>
      </c>
      <c r="C14" s="2313"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8.8">
      <c r="A15" s="2312" t="s">
        <v>2011</v>
      </c>
      <c r="B15" s="2308" t="s">
        <v>2010</v>
      </c>
      <c r="C15" s="2313"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 thickBot="1">
      <c r="A16" s="2314" t="s">
        <v>2013</v>
      </c>
      <c r="B16" s="97"/>
      <c r="C16" s="1008"/>
      <c r="D16" s="2315"/>
      <c r="E16" s="97"/>
      <c r="F16" s="97"/>
      <c r="G16" s="98">
        <f>ROUND(SUMPRODUCT(G6:G13,K6:K13)/SUMPRODUCT((G6:G13&gt;0)*(K6:K13)),3)</f>
        <v>0.96699999999999997</v>
      </c>
      <c r="H16" s="99">
        <f>ROUND(SUMPRODUCT(H6:H13,K6:K13)/SUMPRODUCT((H6:H13&gt;0)*(K6:K13)),3)</f>
        <v>0.05</v>
      </c>
      <c r="I16" s="100"/>
      <c r="J16" s="100"/>
      <c r="K16" s="101">
        <f>SUM(K6:K15)</f>
        <v>36762</v>
      </c>
      <c r="L16" s="102">
        <f>ROUND(M16*10000/SUM(K6:K14),0)</f>
        <v>1800</v>
      </c>
      <c r="M16" s="102">
        <f>SUM(M6:M14)</f>
        <v>6617</v>
      </c>
      <c r="N16" s="103">
        <f>ROUND(SUMPRODUCT(M6:M14,N6:N14)/M16,3)</f>
        <v>0.9</v>
      </c>
      <c r="O16" s="102">
        <f>SUM(O6:O14)</f>
        <v>0</v>
      </c>
      <c r="P16" s="102">
        <f>SUM(P6:P14)</f>
        <v>0</v>
      </c>
      <c r="Q16" s="104">
        <f>ROUND(SUMPRODUCT(Q6:Q13,K6:K13)/SUMPRODUCT((Q6:Q13&gt;0)*(K6:K13)),2)</f>
        <v>0.05</v>
      </c>
      <c r="R16" s="1258">
        <f ca="1">SUM(R6:R13)</f>
        <v>26594.63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8"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4">
      <c r="A19" s="2317" t="s">
        <v>2015</v>
      </c>
      <c r="B19" s="112">
        <v>0</v>
      </c>
      <c r="C19" s="2278" t="s">
        <v>2016</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4">
      <c r="A20" s="2318" t="s">
        <v>2017</v>
      </c>
      <c r="B20" s="2957">
        <v>1</v>
      </c>
      <c r="C20" s="2278" t="s">
        <v>2018</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4">
      <c r="A21" s="2319" t="s">
        <v>2019</v>
      </c>
      <c r="B21" s="113">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4">
      <c r="A22" s="2318" t="s">
        <v>2020</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4">
      <c r="A23" s="2319" t="s">
        <v>2021</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2022</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4.4"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2023</v>
      </c>
      <c r="B26" s="2321" t="s">
        <v>2024</v>
      </c>
      <c r="C26" s="2322" t="s">
        <v>2025</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8.8">
      <c r="A27" s="2323" t="s">
        <v>2026</v>
      </c>
      <c r="B27" s="116"/>
      <c r="C27" s="1767" t="s">
        <v>2027</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8.8">
      <c r="A28" s="2326" t="s">
        <v>2028</v>
      </c>
      <c r="B28" s="119">
        <v>21.6</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9.4" thickBot="1">
      <c r="A29" s="2328" t="s">
        <v>2029</v>
      </c>
      <c r="B29" s="121">
        <f>ROUND(K16*B28/10000,0)</f>
        <v>79</v>
      </c>
      <c r="C29" s="1767" t="s">
        <v>2030</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8.8">
      <c r="A30" s="2329" t="s">
        <v>2031</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8.8">
      <c r="A31" s="2326" t="s">
        <v>2032</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9.4" thickBot="1">
      <c r="A32" s="2330" t="s">
        <v>2033</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4">
      <c r="A33" s="2323" t="s">
        <v>2034</v>
      </c>
      <c r="B33" s="726">
        <v>0.03</v>
      </c>
      <c r="C33" s="1766" t="s">
        <v>2035</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4">
      <c r="A34" s="2326" t="s">
        <v>2036</v>
      </c>
      <c r="B34" s="122">
        <v>0</v>
      </c>
      <c r="C34" s="1766" t="s">
        <v>2037</v>
      </c>
      <c r="D34" s="2279" t="s">
        <v>2038</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4">
      <c r="A35" s="2326" t="s">
        <v>2039</v>
      </c>
      <c r="B35" s="119">
        <v>200</v>
      </c>
      <c r="C35" s="1766" t="s">
        <v>2040</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2041</v>
      </c>
      <c r="B36" s="123">
        <v>1.4999999999999999E-2</v>
      </c>
      <c r="C36" s="1766" t="s">
        <v>2042</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4">
      <c r="A37" s="2329" t="s">
        <v>2043</v>
      </c>
      <c r="B37" s="124">
        <v>0.02</v>
      </c>
      <c r="C37" s="1766" t="s">
        <v>2044</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4">
      <c r="A38" s="2326" t="s">
        <v>2045</v>
      </c>
      <c r="B38" s="122">
        <v>0.02</v>
      </c>
      <c r="C38" s="1766" t="s">
        <v>2044</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4">
      <c r="A39" s="2330" t="s">
        <v>2046</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2047</v>
      </c>
      <c r="B40" s="1303">
        <f ca="1">存贷款利率!G1</f>
        <v>4.3499999999999997E-2</v>
      </c>
      <c r="C40" s="1766" t="s">
        <v>2048</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4">
      <c r="A41" s="2323" t="s">
        <v>2049</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4">
      <c r="A42" s="2331" t="s">
        <v>2050</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4">
      <c r="A43" s="2331" t="s">
        <v>2051</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4">
      <c r="A44" s="2333" t="s">
        <v>2052</v>
      </c>
      <c r="B44" s="128">
        <v>0.05</v>
      </c>
      <c r="C44" s="1766" t="s">
        <v>2053</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4">
      <c r="A45" s="2333" t="s">
        <v>2054</v>
      </c>
      <c r="B45" s="126">
        <v>0.03</v>
      </c>
      <c r="C45" s="1767" t="s">
        <v>2055</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4">
      <c r="A46" s="2333" t="s">
        <v>2056</v>
      </c>
      <c r="B46" s="126">
        <v>0.02</v>
      </c>
      <c r="C46" s="1767" t="s">
        <v>2057</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2058</v>
      </c>
      <c r="B47" s="129"/>
      <c r="C47" s="1767" t="s">
        <v>2059</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4">
      <c r="A48" s="2335" t="s">
        <v>2060</v>
      </c>
      <c r="B48" s="130">
        <v>0.03</v>
      </c>
      <c r="C48" s="1774" t="s">
        <v>2061</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2062</v>
      </c>
      <c r="B49" s="126">
        <v>5.0000000000000001E-4</v>
      </c>
      <c r="C49" s="1774" t="s">
        <v>2063</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4">
      <c r="A50" s="2336" t="s">
        <v>2064</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2065</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4">
      <c r="A52" s="2336" t="s">
        <v>2066</v>
      </c>
      <c r="B52" s="133">
        <f>SUMIF(A54:A63,B53,B54:B63)</f>
        <v>3</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8.8">
      <c r="A53" s="2326" t="s">
        <v>2067</v>
      </c>
      <c r="B53" s="2337" t="s">
        <v>523</v>
      </c>
      <c r="C53" s="1430" t="s">
        <v>2068</v>
      </c>
      <c r="D53" s="2338" t="s">
        <v>2069</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4">
      <c r="A54" s="2339" t="s">
        <v>2070</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4">
      <c r="A55" s="2339" t="s">
        <v>2071</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4">
      <c r="A56" s="2339" t="s">
        <v>2072</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4">
      <c r="A57" s="2339" t="s">
        <v>2073</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4">
      <c r="A58" s="2339" t="s">
        <v>2074</v>
      </c>
      <c r="B58" s="84">
        <v>3</v>
      </c>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4">
      <c r="A59" s="2339" t="s">
        <v>2075</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4">
      <c r="A60" s="2339" t="s">
        <v>2076</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4">
      <c r="A61" s="2339" t="s">
        <v>2077</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4">
      <c r="A62" s="2339" t="s">
        <v>2078</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2079</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7" sqref="F27"/>
    </sheetView>
  </sheetViews>
  <sheetFormatPr defaultColWidth="9" defaultRowHeight="13.8"/>
  <cols>
    <col min="1" max="1" width="9.44140625" style="2370" customWidth="1"/>
    <col min="2" max="2" width="24.44140625" style="2418" customWidth="1"/>
    <col min="3" max="3" width="24.44140625" style="2417" customWidth="1"/>
    <col min="4" max="4" width="2.6640625" style="2417" customWidth="1"/>
    <col min="5" max="5" width="5.88671875" style="2417" customWidth="1"/>
    <col min="6" max="6" width="27" style="2418" customWidth="1"/>
    <col min="7" max="7" width="27" style="2419" customWidth="1"/>
    <col min="8" max="8" width="11.88671875" style="2397" customWidth="1"/>
    <col min="9" max="9" width="16.77734375" style="2398" customWidth="1"/>
    <col min="10" max="10" width="2.6640625" style="2397" customWidth="1"/>
    <col min="11" max="11" width="11.88671875" style="2397" customWidth="1"/>
    <col min="12" max="12" width="16.77734375" style="2398" customWidth="1"/>
    <col min="13" max="13" width="2.6640625" style="2397" customWidth="1"/>
    <col min="14" max="14" width="11.88671875" style="2397" customWidth="1"/>
    <col min="15" max="15" width="16.77734375" style="2398" customWidth="1"/>
    <col min="16" max="16" width="2.6640625" style="2397" customWidth="1"/>
    <col min="17" max="17" width="11.88671875" style="2397" customWidth="1"/>
    <col min="18" max="18" width="16.77734375" style="2399" customWidth="1"/>
    <col min="19" max="29" width="9" style="2369"/>
    <col min="30" max="16384" width="9" style="2370"/>
  </cols>
  <sheetData>
    <row r="1" spans="1:29" s="2363" customFormat="1" ht="18" thickBot="1">
      <c r="A1" s="3049" t="s">
        <v>2080</v>
      </c>
      <c r="B1" s="3050"/>
      <c r="C1" s="3050"/>
      <c r="D1" s="3050"/>
      <c r="E1" s="3050"/>
      <c r="F1" s="3050"/>
      <c r="G1" s="3050"/>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 thickBot="1">
      <c r="A2" s="2364"/>
      <c r="B2" s="2365"/>
      <c r="C2" s="2366" t="s">
        <v>2081</v>
      </c>
      <c r="D2" s="2367"/>
      <c r="E2" s="2368"/>
      <c r="F2" s="2287"/>
      <c r="G2" s="2366" t="s">
        <v>2082</v>
      </c>
      <c r="H2" s="2369"/>
      <c r="I2" s="2369"/>
      <c r="J2" s="2369"/>
      <c r="K2" s="2369"/>
      <c r="L2" s="2369"/>
      <c r="M2" s="2369"/>
      <c r="N2" s="2369"/>
      <c r="O2" s="2369"/>
      <c r="P2" s="2369"/>
      <c r="Q2" s="2369"/>
      <c r="R2" s="2369"/>
    </row>
    <row r="3" spans="1:29" ht="57.6">
      <c r="A3" s="415" t="s">
        <v>2083</v>
      </c>
      <c r="B3" s="1271" t="s">
        <v>2084</v>
      </c>
      <c r="C3" s="2371" t="s">
        <v>2085</v>
      </c>
      <c r="D3" s="2372"/>
      <c r="E3" s="431" t="s">
        <v>2083</v>
      </c>
      <c r="F3" s="2373" t="s">
        <v>2086</v>
      </c>
      <c r="G3" s="2374" t="s">
        <v>2087</v>
      </c>
      <c r="H3" s="2369"/>
      <c r="I3" s="2369"/>
      <c r="J3" s="2369"/>
      <c r="K3" s="2369"/>
      <c r="L3" s="2369"/>
      <c r="M3" s="2369"/>
      <c r="N3" s="2369"/>
      <c r="O3" s="2369"/>
      <c r="P3" s="2369"/>
      <c r="Q3" s="2369"/>
      <c r="R3" s="2369"/>
    </row>
    <row r="4" spans="1:29" ht="43.2">
      <c r="A4" s="431"/>
      <c r="B4" s="1798" t="s">
        <v>2088</v>
      </c>
      <c r="C4" s="2375" t="s">
        <v>2089</v>
      </c>
      <c r="D4" s="2372"/>
      <c r="E4" s="2376"/>
      <c r="F4" s="42" t="s">
        <v>2090</v>
      </c>
      <c r="G4" s="2377" t="s">
        <v>2091</v>
      </c>
      <c r="H4" s="2369"/>
      <c r="I4" s="2369"/>
      <c r="J4" s="2369"/>
      <c r="K4" s="2369"/>
      <c r="L4" s="2369"/>
      <c r="M4" s="2369"/>
      <c r="N4" s="2369"/>
      <c r="O4" s="2369"/>
      <c r="P4" s="2369"/>
      <c r="Q4" s="2369"/>
      <c r="R4" s="2369"/>
    </row>
    <row r="5" spans="1:29" ht="43.2">
      <c r="A5" s="431"/>
      <c r="B5" s="1798" t="s">
        <v>2092</v>
      </c>
      <c r="C5" s="2375" t="s">
        <v>2093</v>
      </c>
      <c r="D5" s="2372"/>
      <c r="E5" s="2376"/>
      <c r="F5" s="1798" t="s">
        <v>2094</v>
      </c>
      <c r="G5" s="2377" t="s">
        <v>2095</v>
      </c>
      <c r="H5" s="2369"/>
      <c r="I5" s="2369"/>
      <c r="J5" s="2369"/>
      <c r="K5" s="2369"/>
      <c r="L5" s="2369"/>
      <c r="M5" s="2369"/>
      <c r="N5" s="2369"/>
      <c r="O5" s="2369"/>
      <c r="P5" s="2369"/>
      <c r="Q5" s="2369"/>
      <c r="R5" s="2369"/>
    </row>
    <row r="6" spans="1:29" ht="57.6">
      <c r="A6" s="431"/>
      <c r="B6" s="1798" t="s">
        <v>2096</v>
      </c>
      <c r="C6" s="2377" t="s">
        <v>2091</v>
      </c>
      <c r="D6" s="2372"/>
      <c r="E6" s="2376"/>
      <c r="F6" s="1798" t="s">
        <v>2097</v>
      </c>
      <c r="G6" s="2377" t="s">
        <v>2098</v>
      </c>
      <c r="H6" s="2369"/>
      <c r="I6" s="2369"/>
      <c r="J6" s="2369"/>
      <c r="K6" s="2369"/>
      <c r="L6" s="2369"/>
      <c r="M6" s="2369"/>
      <c r="N6" s="2369"/>
      <c r="O6" s="2369"/>
      <c r="P6" s="2369"/>
      <c r="Q6" s="2369"/>
      <c r="R6" s="2369"/>
    </row>
    <row r="7" spans="1:29" ht="43.8" thickBot="1">
      <c r="A7" s="431"/>
      <c r="B7" s="1798" t="s">
        <v>2094</v>
      </c>
      <c r="C7" s="2377" t="s">
        <v>2095</v>
      </c>
      <c r="D7" s="2378"/>
      <c r="E7" s="2379"/>
      <c r="F7" s="2380" t="s">
        <v>2099</v>
      </c>
      <c r="G7" s="2381" t="s">
        <v>2100</v>
      </c>
      <c r="H7" s="2369"/>
      <c r="I7" s="2369"/>
      <c r="J7" s="2369"/>
      <c r="K7" s="2369"/>
      <c r="L7" s="2369"/>
      <c r="M7" s="2369"/>
      <c r="N7" s="2369"/>
      <c r="O7" s="2369"/>
      <c r="P7" s="2369"/>
      <c r="Q7" s="2369"/>
      <c r="R7" s="2369"/>
    </row>
    <row r="8" spans="1:29" ht="28.8">
      <c r="A8" s="431"/>
      <c r="B8" s="1798" t="s">
        <v>2097</v>
      </c>
      <c r="C8" s="2377" t="s">
        <v>2098</v>
      </c>
      <c r="D8" s="2378"/>
      <c r="E8" s="2378"/>
      <c r="F8" s="1136"/>
      <c r="G8" s="1136"/>
      <c r="H8" s="2369"/>
      <c r="I8" s="2369"/>
      <c r="J8" s="2369"/>
      <c r="K8" s="2369"/>
      <c r="L8" s="2369"/>
      <c r="M8" s="2369"/>
      <c r="N8" s="2369"/>
      <c r="O8" s="2369"/>
      <c r="P8" s="2369"/>
      <c r="Q8" s="2369"/>
      <c r="R8" s="2369"/>
    </row>
    <row r="9" spans="1:29" ht="43.2">
      <c r="A9" s="431"/>
      <c r="B9" s="1798" t="s">
        <v>2101</v>
      </c>
      <c r="C9" s="2375" t="s">
        <v>2102</v>
      </c>
      <c r="D9" s="2372"/>
      <c r="E9" s="2378"/>
      <c r="F9" s="1136"/>
      <c r="G9" s="1136"/>
      <c r="H9" s="2369"/>
      <c r="I9" s="2369"/>
      <c r="J9" s="2369"/>
      <c r="K9" s="2369"/>
      <c r="L9" s="2369"/>
      <c r="M9" s="2369"/>
      <c r="N9" s="2369"/>
      <c r="O9" s="2369"/>
      <c r="P9" s="2369"/>
      <c r="Q9" s="2369"/>
      <c r="R9" s="2369"/>
    </row>
    <row r="10" spans="1:29" s="117" customFormat="1" ht="15" thickBot="1">
      <c r="A10" s="2382"/>
      <c r="B10" s="2383" t="s">
        <v>2103</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7.399999999999999">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8" thickBot="1">
      <c r="A13" s="2395" t="s">
        <v>2104</v>
      </c>
      <c r="B13" s="2389"/>
      <c r="C13" s="2389"/>
      <c r="D13" s="2396"/>
      <c r="E13" s="2389"/>
      <c r="F13" s="2389"/>
      <c r="G13" s="2389"/>
    </row>
    <row r="14" spans="1:29" ht="15" thickBot="1">
      <c r="A14" s="2400"/>
      <c r="B14" s="2401"/>
      <c r="C14" s="2402" t="s">
        <v>2105</v>
      </c>
      <c r="D14" s="2372"/>
      <c r="E14" s="2403"/>
      <c r="F14" s="2403"/>
      <c r="G14" s="2366" t="s">
        <v>2106</v>
      </c>
    </row>
    <row r="15" spans="1:29" ht="55.2">
      <c r="A15" s="68" t="s">
        <v>2107</v>
      </c>
      <c r="B15" s="1270" t="s">
        <v>2084</v>
      </c>
      <c r="C15" s="2404" t="str">
        <f>C3</f>
        <v>估价对象周边居住用地比例、居住小区规模和社区发展完善程度，综合评价居住社区成熟度一般</v>
      </c>
      <c r="D15" s="2372"/>
      <c r="E15" s="2405" t="s">
        <v>2108</v>
      </c>
      <c r="F15" s="1270" t="s">
        <v>2109</v>
      </c>
      <c r="G15" s="135" t="str">
        <f>G3</f>
        <v>估价对象位于XX开发区，园区建设成熟度XX，产业集聚程度XX</v>
      </c>
    </row>
    <row r="16" spans="1:29" ht="41.4">
      <c r="A16" s="645"/>
      <c r="B16" s="2406" t="s">
        <v>2088</v>
      </c>
      <c r="C16" s="2407" t="str">
        <f>C4</f>
        <v>估价对象位于XX商圈，周边商业氛围成熟，人流量大，商业繁华度好</v>
      </c>
      <c r="D16" s="2372"/>
      <c r="E16" s="2408"/>
      <c r="F16" s="2409" t="s">
        <v>2090</v>
      </c>
      <c r="G16" s="136" t="str">
        <f>G4</f>
        <v>估价对象周边道路状况、公共交通通达情况、停车便捷程度，综合评价交通便捷度较好</v>
      </c>
    </row>
    <row r="17" spans="1:18" ht="41.4">
      <c r="A17" s="645"/>
      <c r="B17" s="2406" t="s">
        <v>2092</v>
      </c>
      <c r="C17" s="2407" t="str">
        <f>C5</f>
        <v>估价对象位于XX商圈，周边办公楼项目较多，入驻率高，办公集聚程度较好</v>
      </c>
      <c r="D17" s="2378"/>
      <c r="E17" s="2408"/>
      <c r="F17" s="2409" t="s">
        <v>2110</v>
      </c>
      <c r="G17" s="1572"/>
    </row>
    <row r="18" spans="1:18" ht="55.2">
      <c r="A18" s="645"/>
      <c r="B18" s="2409" t="s">
        <v>2096</v>
      </c>
      <c r="C18" s="136" t="str">
        <f>C6</f>
        <v>估价对象周边道路状况、公共交通通达情况、停车便捷程度，综合评价交通便捷度较好</v>
      </c>
      <c r="D18" s="2378"/>
      <c r="E18" s="2408"/>
      <c r="F18" s="2409" t="s">
        <v>2099</v>
      </c>
      <c r="G18" s="136" t="str">
        <f>G7</f>
        <v>该园区内是否有污染型企业，绿化情况，卫生条件，整体环境状况判断</v>
      </c>
    </row>
    <row r="19" spans="1:18" ht="27.6">
      <c r="A19" s="645"/>
      <c r="B19" s="2409" t="s">
        <v>2111</v>
      </c>
      <c r="C19" s="1572"/>
      <c r="D19" s="2372"/>
      <c r="E19" s="2408"/>
      <c r="F19" s="1798" t="s">
        <v>2094</v>
      </c>
      <c r="G19" s="136" t="str">
        <f>G5</f>
        <v>估价对象所在区域公共配套设施齐备情况</v>
      </c>
    </row>
    <row r="20" spans="1:18" ht="41.4">
      <c r="A20" s="645"/>
      <c r="B20" s="2409" t="s">
        <v>2112</v>
      </c>
      <c r="C20" s="2407" t="str">
        <f>C9</f>
        <v>区域自然环境：；人文环境；综合评价环境状况一般</v>
      </c>
      <c r="D20" s="2378"/>
      <c r="E20" s="2408"/>
      <c r="F20" s="1798" t="s">
        <v>2113</v>
      </c>
      <c r="G20" s="136" t="str">
        <f>G6</f>
        <v>估价对象所在区域基础设施水平</v>
      </c>
    </row>
    <row r="21" spans="1:18" ht="27.6">
      <c r="A21" s="645"/>
      <c r="B21" s="1798" t="s">
        <v>2094</v>
      </c>
      <c r="C21" s="136" t="str">
        <f>C7</f>
        <v>估价对象所在区域公共配套设施齐备情况</v>
      </c>
      <c r="D21" s="2372"/>
      <c r="E21" s="2408"/>
      <c r="F21" s="2409" t="s">
        <v>2114</v>
      </c>
      <c r="G21" s="2410"/>
    </row>
    <row r="22" spans="1:18" ht="13.5" customHeight="1">
      <c r="A22" s="645"/>
      <c r="B22" s="1798" t="s">
        <v>2097</v>
      </c>
      <c r="C22" s="136" t="str">
        <f>C8</f>
        <v>估价对象所在区域基础设施水平</v>
      </c>
      <c r="D22" s="2372"/>
      <c r="E22" s="2408"/>
      <c r="F22" s="2409" t="s">
        <v>2103</v>
      </c>
      <c r="G22" s="1572"/>
    </row>
    <row r="23" spans="1:18" s="2369" customFormat="1" ht="15" thickBot="1">
      <c r="A23" s="645"/>
      <c r="B23" s="2409" t="s">
        <v>2114</v>
      </c>
      <c r="C23" s="2410"/>
      <c r="D23" s="2397"/>
      <c r="E23" s="2411"/>
      <c r="F23" s="2412" t="s">
        <v>2115</v>
      </c>
      <c r="G23" s="2413"/>
      <c r="H23" s="2397"/>
      <c r="I23" s="2398"/>
      <c r="J23" s="2397"/>
      <c r="K23" s="2397"/>
      <c r="L23" s="2398"/>
      <c r="M23" s="2397"/>
      <c r="N23" s="2397"/>
      <c r="O23" s="2398"/>
      <c r="P23" s="2397"/>
      <c r="Q23" s="2397"/>
      <c r="R23" s="2399"/>
    </row>
    <row r="24" spans="1:18" s="2369" customFormat="1" ht="15" thickBot="1">
      <c r="A24" s="2414"/>
      <c r="B24" s="2412" t="s">
        <v>2116</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9" sqref="C19"/>
    </sheetView>
  </sheetViews>
  <sheetFormatPr defaultColWidth="9" defaultRowHeight="14.4"/>
  <cols>
    <col min="1" max="1" width="23.33203125" style="1741" customWidth="1"/>
    <col min="2" max="9" width="15.77734375" style="1741" customWidth="1"/>
    <col min="10" max="16384" width="9" style="1741"/>
  </cols>
  <sheetData>
    <row r="1" spans="1:10" ht="16.2">
      <c r="A1" s="1746" t="s">
        <v>1365</v>
      </c>
      <c r="B1" s="1746">
        <f>SUM(B14:B23)</f>
        <v>51762</v>
      </c>
      <c r="C1" s="1745"/>
      <c r="D1" s="1745"/>
      <c r="E1" s="1745"/>
      <c r="F1" s="1745"/>
      <c r="G1" s="1743"/>
    </row>
    <row r="2" spans="1:10" ht="16.2">
      <c r="A2" s="1746" t="s">
        <v>1353</v>
      </c>
      <c r="B2" s="1746">
        <f>SUM(C14:C23)</f>
        <v>41770.67</v>
      </c>
      <c r="C2" s="1745"/>
      <c r="D2" s="1745"/>
      <c r="E2" s="1745"/>
      <c r="F2" s="1745"/>
      <c r="G2" s="1743"/>
    </row>
    <row r="3" spans="1:10" ht="15.6">
      <c r="A3" s="1746" t="s">
        <v>1362</v>
      </c>
      <c r="B3" s="1747">
        <f>项目基本情况!D3</f>
        <v>43339</v>
      </c>
      <c r="C3" s="1745"/>
      <c r="D3" s="1745"/>
      <c r="E3" s="1745"/>
      <c r="F3" s="1745"/>
      <c r="G3" s="1743"/>
    </row>
    <row r="4" spans="1:10" ht="31.2">
      <c r="A4" s="1746" t="s">
        <v>1361</v>
      </c>
      <c r="B4" s="1746" t="s">
        <v>1360</v>
      </c>
      <c r="C4" s="1746" t="s">
        <v>1359</v>
      </c>
      <c r="D4" s="1746" t="s">
        <v>1358</v>
      </c>
      <c r="E4" s="1745"/>
      <c r="F4" s="1743"/>
      <c r="G4" s="1743"/>
    </row>
    <row r="5" spans="1:10" ht="15.6">
      <c r="A5" s="1746" t="s">
        <v>1357</v>
      </c>
      <c r="B5" s="1746">
        <f ca="1">SUM(D14:D23)</f>
        <v>15889</v>
      </c>
      <c r="C5" s="1746">
        <f ca="1">ROUND(B5*10000/$B$1,0)</f>
        <v>3070</v>
      </c>
      <c r="D5" s="1746">
        <f ca="1">ROUND(B5*10000/$B$2,0)</f>
        <v>3804</v>
      </c>
      <c r="E5" s="1745"/>
      <c r="F5" s="1743"/>
      <c r="G5" s="1743"/>
    </row>
    <row r="6" spans="1:10" ht="15.6">
      <c r="A6" s="1746" t="s">
        <v>1356</v>
      </c>
      <c r="B6" s="1746">
        <f ca="1">SUM(G14:G23)</f>
        <v>15889</v>
      </c>
      <c r="C6" s="1746">
        <f ca="1">ROUND(B6*10000/$B$1,0)</f>
        <v>3070</v>
      </c>
      <c r="D6" s="1746">
        <f ca="1">ROUND(B6*10000/$B$2,0)</f>
        <v>3804</v>
      </c>
      <c r="E6" s="1745"/>
      <c r="F6" s="1743"/>
      <c r="G6" s="1743"/>
    </row>
    <row r="7" spans="1:10" ht="15.6">
      <c r="A7" s="1746" t="s">
        <v>1364</v>
      </c>
      <c r="B7" s="1746">
        <f>SUM(H14:H23)</f>
        <v>0</v>
      </c>
      <c r="C7" s="1746">
        <f>ROUND(B7*10000/$B$1,0)</f>
        <v>0</v>
      </c>
      <c r="D7" s="1746">
        <f>ROUND(B7*10000/$B$2,0)</f>
        <v>0</v>
      </c>
      <c r="E7" s="1745"/>
      <c r="F7" s="1743"/>
      <c r="G7" s="1743"/>
    </row>
    <row r="8" spans="1:10" ht="15.6">
      <c r="A8" s="1746" t="s">
        <v>1285</v>
      </c>
      <c r="B8" s="1746">
        <f>SUM(I14:I23)</f>
        <v>0</v>
      </c>
      <c r="C8" s="1746">
        <f>ROUND(B8*10000/$B$1,0)</f>
        <v>0</v>
      </c>
      <c r="D8" s="1746">
        <f>ROUND(B8*10000/$B$2,0)</f>
        <v>0</v>
      </c>
      <c r="E8" s="1745"/>
      <c r="F8" s="1743"/>
      <c r="G8" s="1743"/>
    </row>
    <row r="9" spans="1:10" ht="15.6">
      <c r="A9" s="1746" t="s">
        <v>1355</v>
      </c>
      <c r="B9" s="1748"/>
      <c r="C9" s="1745"/>
      <c r="D9" s="1745"/>
      <c r="E9" s="1745"/>
      <c r="F9" s="1743"/>
      <c r="G9" s="1743"/>
    </row>
    <row r="10" spans="1:10" ht="15.6">
      <c r="A10" s="1746" t="s">
        <v>1354</v>
      </c>
      <c r="B10" s="1748"/>
      <c r="C10" s="1745"/>
      <c r="D10" s="1745"/>
      <c r="E10" s="1745"/>
      <c r="F10" s="1743"/>
      <c r="G10" s="1743"/>
    </row>
    <row r="11" spans="1:10" ht="15.6">
      <c r="A11" s="1746" t="s">
        <v>1370</v>
      </c>
      <c r="B11" s="1748"/>
      <c r="C11" s="1745"/>
      <c r="D11" s="1745"/>
      <c r="E11" s="1745"/>
      <c r="F11" s="1743"/>
      <c r="G11" s="1743"/>
    </row>
    <row r="12" spans="1:10" ht="15.6">
      <c r="A12" s="1745"/>
      <c r="B12" s="1745"/>
      <c r="C12" s="1745"/>
      <c r="D12" s="1745"/>
      <c r="E12" s="1745"/>
      <c r="F12" s="1743"/>
      <c r="G12" s="1743"/>
    </row>
    <row r="13" spans="1:10" ht="31.8">
      <c r="A13" s="1751" t="s">
        <v>1369</v>
      </c>
      <c r="B13" s="1744" t="s">
        <v>1366</v>
      </c>
      <c r="C13" s="1744" t="s">
        <v>1368</v>
      </c>
      <c r="D13" s="1744" t="s">
        <v>1367</v>
      </c>
      <c r="E13" s="1746" t="s">
        <v>1359</v>
      </c>
      <c r="F13" s="1746" t="s">
        <v>1358</v>
      </c>
      <c r="G13" s="1744" t="s">
        <v>1352</v>
      </c>
      <c r="H13" s="1744" t="s">
        <v>1363</v>
      </c>
      <c r="I13" s="1744" t="s">
        <v>1351</v>
      </c>
      <c r="J13" s="1743"/>
    </row>
    <row r="14" spans="1:10" ht="15.6">
      <c r="A14" s="1742" t="s">
        <v>1350</v>
      </c>
      <c r="B14" s="1744">
        <f>结果表!B118</f>
        <v>36762</v>
      </c>
      <c r="C14" s="1744">
        <f>结果表!C118</f>
        <v>26594.63</v>
      </c>
      <c r="D14" s="1744">
        <f ca="1">结果表!H118</f>
        <v>13889</v>
      </c>
      <c r="E14" s="1744">
        <f ca="1">ROUND(D14*10000/B14,0)</f>
        <v>3778</v>
      </c>
      <c r="F14" s="1744">
        <f ca="1">ROUND(D14*10000/C14,0)</f>
        <v>5222</v>
      </c>
      <c r="G14" s="1744">
        <f ca="1">结果表!D122</f>
        <v>13889</v>
      </c>
      <c r="H14" s="1744" t="str">
        <f>结果表!D124</f>
        <v>——</v>
      </c>
      <c r="I14" s="1744" t="str">
        <f>结果表!D126</f>
        <v>——</v>
      </c>
      <c r="J14" s="1743"/>
    </row>
    <row r="15" spans="1:10" ht="15.6">
      <c r="A15" s="1742" t="s">
        <v>1349</v>
      </c>
      <c r="B15" s="1749">
        <f>[1]系统读取表!$B$14</f>
        <v>15000</v>
      </c>
      <c r="C15" s="1749">
        <f>[1]系统读取表!$C$14</f>
        <v>15176.04</v>
      </c>
      <c r="D15" s="1749">
        <f ca="1">[1]系统读取表!$D$14</f>
        <v>2000</v>
      </c>
      <c r="E15" s="1744">
        <f t="shared" ref="E15:E23" ca="1" si="0">ROUND(D15*10000/B15,0)</f>
        <v>1333</v>
      </c>
      <c r="F15" s="1744">
        <f t="shared" ref="F15:F23" ca="1" si="1">ROUND(D15*10000/C15,0)</f>
        <v>1318</v>
      </c>
      <c r="G15" s="1750">
        <f ca="1">D15</f>
        <v>2000</v>
      </c>
      <c r="H15" s="1750"/>
      <c r="I15" s="1749"/>
      <c r="J15" s="1743"/>
    </row>
    <row r="16" spans="1:10" ht="15.6">
      <c r="A16" s="1742" t="s">
        <v>1348</v>
      </c>
      <c r="B16" s="1749"/>
      <c r="C16" s="1749"/>
      <c r="D16" s="1749"/>
      <c r="E16" s="1744" t="e">
        <f t="shared" si="0"/>
        <v>#DIV/0!</v>
      </c>
      <c r="F16" s="1744" t="e">
        <f t="shared" si="1"/>
        <v>#DIV/0!</v>
      </c>
      <c r="G16" s="1750"/>
      <c r="H16" s="1750"/>
      <c r="I16" s="1749"/>
    </row>
    <row r="17" spans="1:9" ht="15.6">
      <c r="A17" s="1742" t="s">
        <v>1347</v>
      </c>
      <c r="B17" s="1749"/>
      <c r="C17" s="1749"/>
      <c r="D17" s="1749"/>
      <c r="E17" s="1744" t="e">
        <f t="shared" si="0"/>
        <v>#DIV/0!</v>
      </c>
      <c r="F17" s="1744" t="e">
        <f t="shared" si="1"/>
        <v>#DIV/0!</v>
      </c>
      <c r="G17" s="1750"/>
      <c r="H17" s="1750"/>
      <c r="I17" s="1749"/>
    </row>
    <row r="18" spans="1:9" ht="15.6">
      <c r="A18" s="1742" t="s">
        <v>1346</v>
      </c>
      <c r="B18" s="1749"/>
      <c r="C18" s="1749"/>
      <c r="D18" s="1749"/>
      <c r="E18" s="1744" t="e">
        <f t="shared" si="0"/>
        <v>#DIV/0!</v>
      </c>
      <c r="F18" s="1744" t="e">
        <f t="shared" si="1"/>
        <v>#DIV/0!</v>
      </c>
      <c r="G18" s="1749"/>
      <c r="H18" s="1749"/>
      <c r="I18" s="1749"/>
    </row>
    <row r="19" spans="1:9" ht="15.6">
      <c r="A19" s="1742" t="s">
        <v>1345</v>
      </c>
      <c r="B19" s="1749"/>
      <c r="C19" s="1749"/>
      <c r="D19" s="1749"/>
      <c r="E19" s="1744" t="e">
        <f t="shared" si="0"/>
        <v>#DIV/0!</v>
      </c>
      <c r="F19" s="1744" t="e">
        <f t="shared" si="1"/>
        <v>#DIV/0!</v>
      </c>
      <c r="G19" s="1749"/>
      <c r="H19" s="1749"/>
      <c r="I19" s="1749"/>
    </row>
    <row r="20" spans="1:9" ht="15.6">
      <c r="A20" s="1742" t="s">
        <v>1344</v>
      </c>
      <c r="B20" s="1749"/>
      <c r="C20" s="1749"/>
      <c r="D20" s="1749"/>
      <c r="E20" s="1744" t="e">
        <f t="shared" si="0"/>
        <v>#DIV/0!</v>
      </c>
      <c r="F20" s="1744" t="e">
        <f t="shared" si="1"/>
        <v>#DIV/0!</v>
      </c>
      <c r="G20" s="1749"/>
      <c r="H20" s="1749"/>
      <c r="I20" s="1749"/>
    </row>
    <row r="21" spans="1:9" ht="15.6">
      <c r="A21" s="1742" t="s">
        <v>1343</v>
      </c>
      <c r="B21" s="1749"/>
      <c r="C21" s="1749"/>
      <c r="D21" s="1749"/>
      <c r="E21" s="1744" t="e">
        <f t="shared" si="0"/>
        <v>#DIV/0!</v>
      </c>
      <c r="F21" s="1744" t="e">
        <f t="shared" si="1"/>
        <v>#DIV/0!</v>
      </c>
      <c r="G21" s="1749"/>
      <c r="H21" s="1749"/>
      <c r="I21" s="1749"/>
    </row>
    <row r="22" spans="1:9" ht="15.6">
      <c r="A22" s="1742" t="s">
        <v>1342</v>
      </c>
      <c r="B22" s="1749"/>
      <c r="C22" s="1749"/>
      <c r="D22" s="1749"/>
      <c r="E22" s="1744" t="e">
        <f t="shared" si="0"/>
        <v>#DIV/0!</v>
      </c>
      <c r="F22" s="1744" t="e">
        <f t="shared" si="1"/>
        <v>#DIV/0!</v>
      </c>
      <c r="G22" s="1749"/>
      <c r="H22" s="1749"/>
      <c r="I22" s="1749"/>
    </row>
    <row r="23" spans="1:9" ht="15.6">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B106" zoomScaleNormal="100" zoomScaleSheetLayoutView="100" zoomScalePageLayoutView="80" workbookViewId="0">
      <selection activeCell="D118" sqref="D118:I118"/>
    </sheetView>
  </sheetViews>
  <sheetFormatPr defaultColWidth="12.6640625" defaultRowHeight="21.75" customHeight="1"/>
  <cols>
    <col min="1" max="2" width="12.6640625" style="2426"/>
    <col min="3" max="4" width="12.6640625" style="2426" customWidth="1"/>
    <col min="5" max="9" width="12.6640625" style="2426"/>
    <col min="10" max="11" width="12.6640625" style="795" customWidth="1"/>
    <col min="12" max="12" width="12.6640625" style="795"/>
    <col min="13" max="13" width="14.109375" style="795" bestFit="1" customWidth="1"/>
    <col min="14" max="26" width="12.6640625" style="795"/>
    <col min="27" max="35" width="12.6640625" style="2425"/>
    <col min="36" max="16384" width="12.6640625" style="2426"/>
  </cols>
  <sheetData>
    <row r="1" spans="1:12" ht="21.75" customHeight="1" thickBot="1">
      <c r="A1" s="2226" t="s">
        <v>2117</v>
      </c>
      <c r="B1" s="2420"/>
      <c r="C1" s="2421"/>
      <c r="D1" s="2420"/>
      <c r="E1" s="2420"/>
      <c r="F1" s="2422" t="s">
        <v>2118</v>
      </c>
      <c r="G1" s="2071" t="s">
        <v>3059</v>
      </c>
      <c r="H1" s="2423" t="str">
        <f>IF(G1="现房","——","估价对象范围")</f>
        <v>——</v>
      </c>
      <c r="I1" s="2424"/>
    </row>
    <row r="2" spans="1:12" ht="21.75" customHeight="1" thickBot="1">
      <c r="A2" s="3123" t="str">
        <f>项目基本情况!S2</f>
        <v>河北省廊坊市大厂回族自治县大福南路60号房地产</v>
      </c>
      <c r="B2" s="3124"/>
      <c r="C2" s="3124"/>
      <c r="D2" s="3124"/>
      <c r="E2" s="3124"/>
      <c r="F2" s="3124"/>
      <c r="G2" s="3124"/>
      <c r="H2" s="3124"/>
      <c r="I2" s="3125"/>
    </row>
    <row r="3" spans="1:12" ht="13.2">
      <c r="A3" s="3126" t="s">
        <v>2119</v>
      </c>
      <c r="B3" s="3127"/>
      <c r="C3" s="3127"/>
      <c r="D3" s="3127"/>
      <c r="E3" s="3127"/>
      <c r="F3" s="3127"/>
      <c r="G3" s="3127"/>
      <c r="H3" s="3127"/>
      <c r="I3" s="3127"/>
    </row>
    <row r="4" spans="1:12" ht="14.4">
      <c r="A4" s="2427" t="s">
        <v>2120</v>
      </c>
      <c r="B4" s="2428" t="s">
        <v>2121</v>
      </c>
      <c r="C4" s="2429" t="s">
        <v>3232</v>
      </c>
      <c r="D4" s="2429" t="s">
        <v>3193</v>
      </c>
      <c r="E4" s="3107" t="s">
        <v>2122</v>
      </c>
      <c r="F4" s="3120"/>
      <c r="G4" s="3120"/>
      <c r="H4" s="3120"/>
      <c r="I4" s="3108"/>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3.2">
      <c r="A5" s="3098" t="s">
        <v>2123</v>
      </c>
      <c r="B5" s="3024">
        <v>25</v>
      </c>
      <c r="C5" s="3128"/>
      <c r="D5" s="3116"/>
      <c r="E5" s="140" t="s">
        <v>2124</v>
      </c>
      <c r="F5" s="2431"/>
      <c r="G5" s="2431"/>
      <c r="H5" s="2431"/>
      <c r="I5" s="1834"/>
    </row>
    <row r="6" spans="1:12" ht="13.2">
      <c r="A6" s="3098"/>
      <c r="B6" s="3024"/>
      <c r="C6" s="3130"/>
      <c r="D6" s="3116"/>
      <c r="E6" s="140" t="s">
        <v>2125</v>
      </c>
      <c r="F6" s="2431"/>
      <c r="G6" s="2431"/>
      <c r="H6" s="2431"/>
      <c r="I6" s="1834"/>
    </row>
    <row r="7" spans="1:12" ht="13.2">
      <c r="A7" s="3098"/>
      <c r="B7" s="3024"/>
      <c r="C7" s="3129"/>
      <c r="D7" s="3116"/>
      <c r="E7" s="140" t="s">
        <v>2126</v>
      </c>
      <c r="F7" s="2431"/>
      <c r="G7" s="2431"/>
      <c r="H7" s="2431"/>
      <c r="I7" s="1834"/>
    </row>
    <row r="8" spans="1:12" ht="13.2">
      <c r="A8" s="3098" t="s">
        <v>2127</v>
      </c>
      <c r="B8" s="3024">
        <v>15</v>
      </c>
      <c r="C8" s="3128"/>
      <c r="D8" s="3116"/>
      <c r="E8" s="140" t="s">
        <v>2128</v>
      </c>
      <c r="F8" s="2431"/>
      <c r="G8" s="2431"/>
      <c r="H8" s="2431"/>
      <c r="I8" s="1834"/>
    </row>
    <row r="9" spans="1:12" ht="13.2">
      <c r="A9" s="3098"/>
      <c r="B9" s="3024"/>
      <c r="C9" s="3129"/>
      <c r="D9" s="3116"/>
      <c r="E9" s="140" t="s">
        <v>2129</v>
      </c>
      <c r="F9" s="2431"/>
      <c r="G9" s="2431"/>
      <c r="H9" s="2431"/>
      <c r="I9" s="1834"/>
    </row>
    <row r="10" spans="1:12" ht="13.2">
      <c r="A10" s="3098" t="s">
        <v>2130</v>
      </c>
      <c r="B10" s="3024">
        <v>15</v>
      </c>
      <c r="C10" s="3128"/>
      <c r="D10" s="3116"/>
      <c r="E10" s="140" t="s">
        <v>2131</v>
      </c>
      <c r="F10" s="2431"/>
      <c r="G10" s="2431"/>
      <c r="H10" s="2431"/>
      <c r="I10" s="1834"/>
    </row>
    <row r="11" spans="1:12" ht="13.2">
      <c r="A11" s="3098"/>
      <c r="B11" s="3024"/>
      <c r="C11" s="3129"/>
      <c r="D11" s="3116"/>
      <c r="E11" s="140" t="s">
        <v>2132</v>
      </c>
      <c r="F11" s="2431"/>
      <c r="G11" s="2431"/>
      <c r="H11" s="2431"/>
      <c r="I11" s="1834"/>
    </row>
    <row r="12" spans="1:12" ht="13.2">
      <c r="A12" s="3098" t="s">
        <v>2133</v>
      </c>
      <c r="B12" s="3024">
        <v>15</v>
      </c>
      <c r="C12" s="3128"/>
      <c r="D12" s="3116"/>
      <c r="E12" s="140" t="s">
        <v>2134</v>
      </c>
      <c r="F12" s="2431"/>
      <c r="G12" s="2431"/>
      <c r="H12" s="2431"/>
      <c r="I12" s="1834"/>
    </row>
    <row r="13" spans="1:12" ht="13.2">
      <c r="A13" s="3098"/>
      <c r="B13" s="3024"/>
      <c r="C13" s="3129"/>
      <c r="D13" s="3116"/>
      <c r="E13" s="140" t="s">
        <v>2135</v>
      </c>
      <c r="F13" s="2431"/>
      <c r="G13" s="2431"/>
      <c r="H13" s="2431"/>
      <c r="I13" s="1834"/>
    </row>
    <row r="14" spans="1:12" ht="13.2">
      <c r="A14" s="3098" t="s">
        <v>2136</v>
      </c>
      <c r="B14" s="3024">
        <v>30</v>
      </c>
      <c r="C14" s="3128">
        <v>6</v>
      </c>
      <c r="D14" s="3116">
        <v>4</v>
      </c>
      <c r="E14" s="140" t="s">
        <v>2137</v>
      </c>
      <c r="F14" s="2431"/>
      <c r="G14" s="2431"/>
      <c r="H14" s="2431"/>
      <c r="I14" s="1834"/>
    </row>
    <row r="15" spans="1:12" ht="13.2">
      <c r="A15" s="3098"/>
      <c r="B15" s="3024"/>
      <c r="C15" s="3130"/>
      <c r="D15" s="3116"/>
      <c r="E15" s="140" t="s">
        <v>2138</v>
      </c>
      <c r="F15" s="2431"/>
      <c r="G15" s="2431"/>
      <c r="H15" s="2431"/>
      <c r="I15" s="1834"/>
    </row>
    <row r="16" spans="1:12" ht="13.2">
      <c r="A16" s="3098"/>
      <c r="B16" s="3024"/>
      <c r="C16" s="3129"/>
      <c r="D16" s="3116"/>
      <c r="E16" s="140" t="s">
        <v>2139</v>
      </c>
      <c r="F16" s="2431"/>
      <c r="G16" s="2431"/>
      <c r="H16" s="2431"/>
      <c r="I16" s="1834"/>
    </row>
    <row r="17" spans="1:35" ht="14.4">
      <c r="A17" s="2432" t="s">
        <v>2140</v>
      </c>
      <c r="B17" s="64"/>
      <c r="C17" s="141">
        <f>SUM(C5:C16)</f>
        <v>6</v>
      </c>
      <c r="D17" s="141">
        <f>SUM(D5:D16)</f>
        <v>4</v>
      </c>
      <c r="E17" s="138"/>
      <c r="F17" s="138"/>
      <c r="G17" s="138"/>
      <c r="H17" s="138"/>
      <c r="I17" s="138"/>
      <c r="K17" s="2430"/>
      <c r="L17" s="2433" t="s">
        <v>2141</v>
      </c>
      <c r="M17" s="2433" t="s">
        <v>2142</v>
      </c>
    </row>
    <row r="18" spans="1:35" ht="15" thickBot="1">
      <c r="A18" s="2434" t="s">
        <v>2143</v>
      </c>
      <c r="B18" s="2435"/>
      <c r="C18" s="142">
        <f>ROUND(C17/SUM(C17:D17),2)</f>
        <v>0.6</v>
      </c>
      <c r="D18" s="142">
        <f>1-C18</f>
        <v>0.4</v>
      </c>
      <c r="E18" s="138"/>
      <c r="F18" s="138"/>
      <c r="G18" s="138"/>
      <c r="H18" s="138"/>
      <c r="I18" s="138"/>
      <c r="K18" s="2430" t="s">
        <v>2144</v>
      </c>
      <c r="L18" s="2430">
        <f>IF(C1="",'数据-汇总表'!E3,SUMIF(项目类型,C1,'数据-汇总表'!E17:E26)+SUMIF(项目类型,C1,'数据-汇总表'!I17:I26))</f>
        <v>36762</v>
      </c>
      <c r="M18" s="2430">
        <f>IF(C1="",'数据-汇总表'!E3,SUMIF(项目类型,C1,'数据-汇总表'!E17:E26))</f>
        <v>36762</v>
      </c>
    </row>
    <row r="19" spans="1:35" ht="14.4">
      <c r="A19" s="2436" t="s">
        <v>2145</v>
      </c>
      <c r="B19" s="2437" t="s">
        <v>2146</v>
      </c>
      <c r="C19" s="143">
        <f ca="1">SUMIF(INDIRECT("'"&amp;C4&amp;"'"&amp;"!A:A"),结果表!B19,INDIRECT("'"&amp;C4&amp;"'"&amp;"!B:B"))</f>
        <v>10912</v>
      </c>
      <c r="D19" s="144">
        <f ca="1">SUMIF(INDIRECT("'"&amp;D4&amp;"'"&amp;"!A:A"),结果表!B19,INDIRECT("'"&amp;D4&amp;"'"&amp;"!B:B"))</f>
        <v>18354</v>
      </c>
      <c r="E19" s="2436" t="s">
        <v>2147</v>
      </c>
      <c r="F19" s="2437" t="s">
        <v>2146</v>
      </c>
      <c r="G19" s="145">
        <f ca="1">ROUND(C19*$C$18+D19*$D$18,0)</f>
        <v>13889</v>
      </c>
      <c r="H19" s="2438" t="s">
        <v>2148</v>
      </c>
      <c r="I19" s="138"/>
      <c r="K19" s="2430" t="s">
        <v>2149</v>
      </c>
      <c r="L19" s="2430">
        <f>IF(C1="",'数据-汇总表'!D3,SUMIF(项目类型,C1,'数据-汇总表'!D17:D26)+SUMIF(项目类型,C1,'数据-汇总表'!H17:H27))</f>
        <v>26594.63</v>
      </c>
      <c r="M19" s="2430">
        <f>IF(C1="",'数据-汇总表'!D3,SUMIF(项目类型,C1,'数据-汇总表'!D17:D26))</f>
        <v>26594.63</v>
      </c>
    </row>
    <row r="20" spans="1:35" ht="14.4">
      <c r="A20" s="2439"/>
      <c r="B20" s="1250" t="s">
        <v>2150</v>
      </c>
      <c r="C20" s="146">
        <f ca="1">SUMIF(INDIRECT("'"&amp;C4&amp;"'"&amp;"!A:A"),结果表!B20,INDIRECT("'"&amp;C4&amp;"'"&amp;"!B:B"))</f>
        <v>2968</v>
      </c>
      <c r="D20" s="147">
        <f ca="1">SUMIF(INDIRECT("'"&amp;D4&amp;"'"&amp;"!A:A"),结果表!B20,INDIRECT("'"&amp;D4&amp;"'"&amp;"!B:B"))</f>
        <v>4993</v>
      </c>
      <c r="E20" s="2439"/>
      <c r="F20" s="1250" t="s">
        <v>2150</v>
      </c>
      <c r="G20" s="148">
        <f ca="1">ROUND(C20*$C$18+D20*$D$18,0)</f>
        <v>3778</v>
      </c>
      <c r="H20" s="983" t="s">
        <v>2151</v>
      </c>
      <c r="I20" s="138"/>
    </row>
    <row r="21" spans="1:35" ht="15" customHeight="1" thickBot="1">
      <c r="A21" s="1003"/>
      <c r="B21" s="2440" t="s">
        <v>2152</v>
      </c>
      <c r="C21" s="789">
        <f ca="1">ROUND(C19*10000/L19,0)</f>
        <v>4103</v>
      </c>
      <c r="D21" s="790">
        <f ca="1">ROUND(D19*10000/L19,0)</f>
        <v>6901</v>
      </c>
      <c r="E21" s="1003"/>
      <c r="F21" s="2440" t="s">
        <v>2152</v>
      </c>
      <c r="G21" s="149">
        <f ca="1">ROUND(G19*10000/L19,0)</f>
        <v>5222</v>
      </c>
      <c r="H21" s="2441" t="s">
        <v>2151</v>
      </c>
      <c r="I21" s="138"/>
    </row>
    <row r="22" spans="1:35" ht="15" thickBot="1">
      <c r="A22" s="2282" t="s">
        <v>2153</v>
      </c>
      <c r="B22" s="2442"/>
      <c r="C22" s="2443"/>
      <c r="D22" s="791">
        <f ca="1">IF(C19&lt;D19,D19/C19-1,C19/D19-1)</f>
        <v>0.68200146627565972</v>
      </c>
      <c r="E22" s="138"/>
      <c r="F22" s="138"/>
      <c r="G22" s="138"/>
      <c r="H22" s="138"/>
      <c r="I22" s="138"/>
    </row>
    <row r="23" spans="1:35" ht="13.8" thickBot="1">
      <c r="A23" s="2420"/>
      <c r="B23" s="2420"/>
      <c r="C23" s="2420"/>
      <c r="D23" s="2420"/>
      <c r="E23" s="138"/>
      <c r="F23" s="138"/>
      <c r="G23" s="138"/>
      <c r="H23" s="138"/>
      <c r="I23" s="138"/>
    </row>
    <row r="24" spans="1:35" ht="14.4">
      <c r="A24" s="3137" t="s">
        <v>2154</v>
      </c>
      <c r="B24" s="2437" t="s">
        <v>2146</v>
      </c>
      <c r="C24" s="145">
        <f>IF(B30=0,0,D30)</f>
        <v>0</v>
      </c>
      <c r="D24" s="2444"/>
      <c r="E24" s="138"/>
      <c r="F24" s="138"/>
      <c r="G24" s="138"/>
      <c r="H24" s="138"/>
      <c r="I24" s="138"/>
    </row>
    <row r="25" spans="1:35" ht="14.4">
      <c r="A25" s="3138"/>
      <c r="B25" s="1250" t="s">
        <v>2150</v>
      </c>
      <c r="C25" s="150">
        <f>IF(B30=0,0,C30)</f>
        <v>0</v>
      </c>
      <c r="D25" s="2445"/>
      <c r="E25" s="138"/>
      <c r="F25" s="138"/>
      <c r="G25" s="138"/>
      <c r="H25" s="138"/>
      <c r="I25" s="138"/>
    </row>
    <row r="26" spans="1:35" ht="13.5" customHeight="1">
      <c r="A26" s="2446" t="s">
        <v>2155</v>
      </c>
      <c r="B26" s="151" t="s">
        <v>2156</v>
      </c>
      <c r="C26" s="151" t="s">
        <v>2157</v>
      </c>
      <c r="D26" s="152" t="s">
        <v>2158</v>
      </c>
      <c r="E26" s="138"/>
      <c r="F26" s="138"/>
      <c r="G26" s="138"/>
      <c r="H26" s="138"/>
      <c r="I26" s="138"/>
    </row>
    <row r="27" spans="1:35" ht="13.8">
      <c r="A27" s="2446"/>
      <c r="B27" s="151">
        <v>0</v>
      </c>
      <c r="C27" s="151">
        <v>0</v>
      </c>
      <c r="D27" s="152">
        <f>ROUND(C27*B27/10000,0)</f>
        <v>0</v>
      </c>
      <c r="E27" s="138"/>
      <c r="F27" s="138"/>
      <c r="G27" s="138"/>
      <c r="H27" s="138"/>
      <c r="I27" s="138"/>
    </row>
    <row r="28" spans="1:35" ht="13.8">
      <c r="A28" s="2446"/>
      <c r="B28" s="151"/>
      <c r="C28" s="151"/>
      <c r="D28" s="152"/>
      <c r="E28" s="138"/>
      <c r="F28" s="138"/>
      <c r="G28" s="138"/>
      <c r="H28" s="138"/>
      <c r="I28" s="138"/>
    </row>
    <row r="29" spans="1:35" ht="13.8">
      <c r="A29" s="2446"/>
      <c r="B29" s="151"/>
      <c r="C29" s="151"/>
      <c r="D29" s="152"/>
      <c r="E29" s="138"/>
      <c r="F29" s="138"/>
      <c r="G29" s="138"/>
      <c r="H29" s="138"/>
      <c r="I29" s="138"/>
    </row>
    <row r="30" spans="1:35" ht="14.4">
      <c r="A30" s="151" t="s">
        <v>2159</v>
      </c>
      <c r="B30" s="151"/>
      <c r="C30" s="151"/>
      <c r="D30" s="151"/>
      <c r="E30" s="2929" t="s">
        <v>3036</v>
      </c>
      <c r="F30" s="138"/>
      <c r="G30" s="138"/>
      <c r="H30" s="138"/>
      <c r="I30" s="138"/>
    </row>
    <row r="31" spans="1:35" s="2448" customFormat="1" ht="14.4"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 thickBot="1">
      <c r="A32" s="2449" t="s">
        <v>2160</v>
      </c>
      <c r="B32" s="2450"/>
      <c r="C32" s="153">
        <f ca="1">IF(D32="总价",G19-C24,G20-C25)</f>
        <v>13889</v>
      </c>
      <c r="D32" s="2451" t="s">
        <v>2161</v>
      </c>
      <c r="E32" s="138"/>
      <c r="F32" s="138"/>
      <c r="G32" s="138"/>
      <c r="H32" s="138"/>
      <c r="I32" s="138"/>
    </row>
    <row r="33" spans="1:15" ht="14.4">
      <c r="A33" s="960" t="s">
        <v>2162</v>
      </c>
      <c r="B33" s="2452"/>
      <c r="C33" s="2453" t="s">
        <v>3240</v>
      </c>
      <c r="D33" s="2454" t="s">
        <v>3232</v>
      </c>
      <c r="E33" s="2455" t="s">
        <v>2163</v>
      </c>
      <c r="F33" s="2456" t="str">
        <f>IF(D32="楼面单价","取值（单价）","取值（总价）")</f>
        <v>取值（总价）</v>
      </c>
      <c r="G33" s="138"/>
      <c r="H33" s="138"/>
      <c r="I33" s="138"/>
    </row>
    <row r="34" spans="1:15" ht="14.4">
      <c r="A34" s="2457"/>
      <c r="B34" s="2458" t="s">
        <v>2164</v>
      </c>
      <c r="C34" s="157">
        <f ca="1">IF(C33="自定义",F34,C32-C35)</f>
        <v>3542</v>
      </c>
      <c r="D34" s="1058">
        <f ca="1">IF(C33="自定义",ROUND(C34/C32,3),IF(C33="收益比率",SUMIF(INDIRECT("'"&amp;D33&amp;"'"&amp;"!b:b"),"土地收益比率",INDIRECT("'"&amp;D33&amp;"'"&amp;"!c:c")),SUMIF(INDIRECT("'"&amp;D33&amp;"'"&amp;"!b:b"),"土地成本比率",INDIRECT("'"&amp;D33&amp;"'"&amp;"!c:c"))))</f>
        <v>0.255</v>
      </c>
      <c r="E34" s="2459" t="s">
        <v>2165</v>
      </c>
      <c r="F34" s="1739"/>
      <c r="G34" s="138"/>
      <c r="H34" s="138"/>
      <c r="I34" s="138"/>
    </row>
    <row r="35" spans="1:15" ht="15" thickBot="1">
      <c r="A35" s="2460"/>
      <c r="B35" s="2461" t="s">
        <v>2166</v>
      </c>
      <c r="C35" s="1444">
        <f ca="1">IF(C33="自定义",F35,ROUND(C32*D35,0))</f>
        <v>10347</v>
      </c>
      <c r="D35" s="1445">
        <f ca="1">IF(C33="自定义",ROUND(C35/C32,3),IF(C33="收益比率",SUMIF(INDIRECT("'"&amp;D33&amp;"'"&amp;"!b:b"),"建筑物收益比率",INDIRECT("'"&amp;D33&amp;"'"&amp;"!c:c")),SUMIF(INDIRECT("'"&amp;D33&amp;"'"&amp;"!b:b"),"建筑物成本比率",INDIRECT("'"&amp;D33&amp;"'"&amp;"!c:c"))))</f>
        <v>0.745</v>
      </c>
      <c r="E35" s="2462" t="s">
        <v>2167</v>
      </c>
      <c r="F35" s="163"/>
      <c r="G35" s="138"/>
      <c r="H35" s="138"/>
      <c r="I35" s="138"/>
    </row>
    <row r="36" spans="1:15" ht="15" thickBot="1">
      <c r="A36" s="3117" t="s">
        <v>2168</v>
      </c>
      <c r="B36" s="2463" t="s">
        <v>2169</v>
      </c>
      <c r="C36" s="154"/>
      <c r="D36" s="2464"/>
      <c r="E36" s="2465"/>
      <c r="F36" s="2466"/>
      <c r="G36" s="138"/>
      <c r="H36" s="138"/>
      <c r="I36" s="138"/>
    </row>
    <row r="37" spans="1:15" ht="15" thickBot="1">
      <c r="A37" s="3118"/>
      <c r="B37" s="2268" t="s">
        <v>2170</v>
      </c>
      <c r="C37" s="156"/>
      <c r="D37" s="1395"/>
      <c r="E37" s="1395"/>
      <c r="F37" s="2466"/>
      <c r="G37" s="138"/>
      <c r="H37" s="138"/>
      <c r="I37" s="138"/>
    </row>
    <row r="38" spans="1:15" ht="15" thickBot="1">
      <c r="A38" s="3119"/>
      <c r="B38" s="2467" t="s">
        <v>2171</v>
      </c>
      <c r="C38" s="727"/>
      <c r="D38" s="2468" t="s">
        <v>2172</v>
      </c>
      <c r="E38" s="1395"/>
      <c r="F38" s="2466"/>
      <c r="G38" s="138"/>
      <c r="H38" s="138"/>
      <c r="I38" s="138"/>
    </row>
    <row r="39" spans="1:15" ht="14.4">
      <c r="A39" s="2439" t="s">
        <v>2173</v>
      </c>
      <c r="B39" s="2469" t="s">
        <v>2174</v>
      </c>
      <c r="C39" s="2470" t="s">
        <v>2175</v>
      </c>
      <c r="D39" s="2470" t="s">
        <v>2176</v>
      </c>
      <c r="E39" s="2471" t="s">
        <v>2177</v>
      </c>
      <c r="F39" s="2466"/>
      <c r="G39" s="138"/>
      <c r="H39" s="138"/>
      <c r="I39" s="138"/>
    </row>
    <row r="40" spans="1:15" ht="13.8">
      <c r="A40" s="2472" t="s">
        <v>2178</v>
      </c>
      <c r="B40" s="158"/>
      <c r="C40" s="159"/>
      <c r="D40" s="159"/>
      <c r="E40" s="160"/>
      <c r="F40" s="2466"/>
      <c r="G40" s="138"/>
      <c r="H40" s="138"/>
      <c r="I40" s="138"/>
    </row>
    <row r="41" spans="1:15" ht="13.8">
      <c r="A41" s="2472" t="s">
        <v>2179</v>
      </c>
      <c r="B41" s="158"/>
      <c r="C41" s="159"/>
      <c r="D41" s="159"/>
      <c r="E41" s="160"/>
      <c r="F41" s="2466"/>
      <c r="G41" s="138"/>
      <c r="H41" s="138"/>
      <c r="I41" s="138"/>
    </row>
    <row r="42" spans="1:15" ht="14.4" thickBot="1">
      <c r="A42" s="2473"/>
      <c r="B42" s="161"/>
      <c r="C42" s="162"/>
      <c r="D42" s="162"/>
      <c r="E42" s="163"/>
      <c r="F42" s="2466"/>
      <c r="G42" s="138"/>
      <c r="H42" s="138"/>
      <c r="I42" s="138"/>
    </row>
    <row r="43" spans="1:15" ht="13.2">
      <c r="A43" s="2166"/>
      <c r="B43" s="2166"/>
      <c r="C43" s="2166"/>
      <c r="D43" s="2166"/>
      <c r="E43" s="2166"/>
      <c r="F43" s="2474"/>
      <c r="G43" s="2474"/>
      <c r="H43" s="2474"/>
      <c r="I43" s="2475"/>
    </row>
    <row r="44" spans="1:15" ht="17.399999999999999">
      <c r="A44" s="2476" t="s">
        <v>2180</v>
      </c>
      <c r="B44" s="2477"/>
      <c r="C44" s="2477"/>
      <c r="D44" s="2478"/>
      <c r="E44" s="2478"/>
      <c r="F44" s="2479"/>
      <c r="G44" s="2479"/>
      <c r="H44" s="2479"/>
      <c r="I44" s="2479"/>
      <c r="J44" s="2480" t="s">
        <v>2181</v>
      </c>
      <c r="K44" s="2481"/>
      <c r="L44" s="2481"/>
      <c r="M44" s="2481"/>
      <c r="N44" s="2481"/>
      <c r="O44" s="2481"/>
    </row>
    <row r="45" spans="1:15" ht="14.25" customHeight="1" thickBot="1">
      <c r="A45" s="3134" t="s">
        <v>2182</v>
      </c>
      <c r="B45" s="3135"/>
      <c r="C45" s="3136"/>
      <c r="D45" s="164">
        <f ca="1">ROUND(H101*F45,0)</f>
        <v>13889</v>
      </c>
      <c r="E45" s="165" t="s">
        <v>2183</v>
      </c>
      <c r="F45" s="166">
        <v>1</v>
      </c>
      <c r="G45" s="167" t="s">
        <v>2184</v>
      </c>
      <c r="H45" s="138"/>
      <c r="I45" s="138"/>
      <c r="J45" s="3053" t="s">
        <v>2185</v>
      </c>
      <c r="K45" s="3053"/>
      <c r="L45" s="3053"/>
      <c r="M45" s="3053"/>
      <c r="N45" s="3053"/>
      <c r="O45" s="3053"/>
    </row>
    <row r="46" spans="1:15" ht="14.25" customHeight="1">
      <c r="A46" s="3131" t="s">
        <v>2186</v>
      </c>
      <c r="B46" s="3132"/>
      <c r="C46" s="3132"/>
      <c r="D46" s="3132"/>
      <c r="E46" s="3132"/>
      <c r="F46" s="3132"/>
      <c r="G46" s="3133"/>
      <c r="H46" s="2482"/>
      <c r="I46" s="168"/>
      <c r="J46" s="1812">
        <v>1</v>
      </c>
      <c r="K46" s="3053" t="s">
        <v>2187</v>
      </c>
      <c r="L46" s="3053"/>
      <c r="M46" s="3054"/>
      <c r="N46" s="3054"/>
      <c r="O46" s="3054"/>
    </row>
    <row r="47" spans="1:15" ht="12" customHeight="1">
      <c r="A47" s="169" t="s">
        <v>2188</v>
      </c>
      <c r="B47" s="170"/>
      <c r="C47" s="171"/>
      <c r="D47" s="172" t="s">
        <v>2189</v>
      </c>
      <c r="E47" s="24" t="s">
        <v>2190</v>
      </c>
      <c r="F47" s="173" t="s">
        <v>2191</v>
      </c>
      <c r="G47" s="174" t="s">
        <v>2192</v>
      </c>
      <c r="H47" s="2482"/>
      <c r="I47" s="168"/>
      <c r="J47" s="1812">
        <v>2</v>
      </c>
      <c r="K47" s="3053" t="s">
        <v>2193</v>
      </c>
      <c r="L47" s="3053"/>
      <c r="M47" s="3055">
        <f>'数据-取费表'!B2</f>
        <v>43339</v>
      </c>
      <c r="N47" s="3055"/>
      <c r="O47" s="3055"/>
    </row>
    <row r="48" spans="1:15" ht="26.4">
      <c r="A48" s="3121" t="s">
        <v>2194</v>
      </c>
      <c r="B48" s="3122"/>
      <c r="C48" s="3122"/>
      <c r="D48" s="140">
        <f>IF(H48="情况1",0,IF(H48="情况2",D52,IF(H48="情况3",D53,IF(H48="情况4",D54))))</f>
        <v>0</v>
      </c>
      <c r="E48" s="1801" t="str">
        <f>IF(H48="情况4","(销售额-原购置价)×税（费）率","销售额×税（费）率")</f>
        <v>销售额×税（费）率</v>
      </c>
      <c r="F48" s="175" t="str">
        <f>IF(H48="情况1","免征",'数据-取费表'!B41)</f>
        <v>免征</v>
      </c>
      <c r="G48" s="2483" t="s">
        <v>2195</v>
      </c>
      <c r="H48" s="2484" t="s">
        <v>2196</v>
      </c>
      <c r="I48" s="2482"/>
      <c r="J48" s="1812">
        <v>3</v>
      </c>
      <c r="K48" s="3053" t="s">
        <v>2197</v>
      </c>
      <c r="L48" s="3053"/>
      <c r="M48" s="3056">
        <f ca="1">H101</f>
        <v>13889</v>
      </c>
      <c r="N48" s="3056"/>
      <c r="O48" s="3056"/>
    </row>
    <row r="49" spans="1:35" ht="25.5" customHeight="1">
      <c r="A49" s="176" t="s">
        <v>2198</v>
      </c>
      <c r="B49" s="3101" t="s">
        <v>2199</v>
      </c>
      <c r="C49" s="3101"/>
      <c r="D49" s="177">
        <v>0</v>
      </c>
      <c r="E49" s="23" t="s">
        <v>2200</v>
      </c>
      <c r="F49" s="28" t="s">
        <v>34</v>
      </c>
      <c r="G49" s="3082"/>
      <c r="H49" s="138"/>
      <c r="I49" s="2485"/>
      <c r="J49" s="1812">
        <v>4</v>
      </c>
      <c r="K49" s="3053" t="str">
        <f>IF(项目基本情况!E8="房地产抵押价值","房地产抵押价值","抵押担保权已注销时的房地产抵押价值")</f>
        <v>房地产抵押价值</v>
      </c>
      <c r="L49" s="3053"/>
      <c r="M49" s="3056">
        <f ca="1">IF(项目基本情况!E8="房地产抵押价值",H107,H109)</f>
        <v>13889</v>
      </c>
      <c r="N49" s="3056"/>
      <c r="O49" s="3056"/>
    </row>
    <row r="50" spans="1:35" ht="25.5" customHeight="1">
      <c r="A50" s="178"/>
      <c r="B50" s="3101" t="s">
        <v>2201</v>
      </c>
      <c r="C50" s="3101"/>
      <c r="D50" s="179"/>
      <c r="E50" s="31"/>
      <c r="F50" s="180"/>
      <c r="G50" s="3083"/>
      <c r="H50" s="138"/>
      <c r="I50" s="2485"/>
      <c r="J50" s="3053" t="s">
        <v>2202</v>
      </c>
      <c r="K50" s="3053"/>
      <c r="L50" s="3053"/>
      <c r="M50" s="3053"/>
      <c r="N50" s="3053"/>
      <c r="O50" s="3053"/>
    </row>
    <row r="51" spans="1:35" ht="12" customHeight="1">
      <c r="A51" s="181"/>
      <c r="B51" s="3101" t="s">
        <v>2203</v>
      </c>
      <c r="C51" s="3101"/>
      <c r="D51" s="182"/>
      <c r="E51" s="30"/>
      <c r="F51" s="180"/>
      <c r="G51" s="3084"/>
      <c r="H51" s="138"/>
      <c r="I51" s="2485"/>
      <c r="J51" s="2486" t="s">
        <v>2204</v>
      </c>
      <c r="K51" s="3053" t="s">
        <v>2205</v>
      </c>
      <c r="L51" s="3053"/>
      <c r="M51" s="2486" t="s">
        <v>2206</v>
      </c>
      <c r="N51" s="2486" t="s">
        <v>2207</v>
      </c>
      <c r="O51" s="2486" t="s">
        <v>2208</v>
      </c>
    </row>
    <row r="52" spans="1:35" ht="24" customHeight="1">
      <c r="A52" s="183" t="s">
        <v>2209</v>
      </c>
      <c r="B52" s="3101" t="s">
        <v>2210</v>
      </c>
      <c r="C52" s="3101"/>
      <c r="D52" s="182">
        <f ca="1">ROUND(D45*'数据-取费表'!B41/(1+'数据-取费表'!C42),0)</f>
        <v>728</v>
      </c>
      <c r="E52" s="11" t="s">
        <v>2211</v>
      </c>
      <c r="F52" s="184">
        <f>'数据-取费表'!B41</f>
        <v>5.5000000000000007E-2</v>
      </c>
      <c r="G52" s="2487"/>
      <c r="H52" s="138"/>
      <c r="I52" s="2485"/>
      <c r="J52" s="1812">
        <v>1</v>
      </c>
      <c r="K52" s="3076" t="s">
        <v>2212</v>
      </c>
      <c r="L52" s="3076"/>
      <c r="M52" s="1754">
        <f>D48</f>
        <v>0</v>
      </c>
      <c r="N52" s="1812" t="str">
        <f>E48</f>
        <v>销售额×税（费）率</v>
      </c>
      <c r="O52" s="1755" t="str">
        <f>F48</f>
        <v>免征</v>
      </c>
    </row>
    <row r="53" spans="1:35" ht="12" customHeight="1">
      <c r="A53" s="183" t="s">
        <v>2213</v>
      </c>
      <c r="B53" s="3102" t="s">
        <v>2214</v>
      </c>
      <c r="C53" s="3103"/>
      <c r="D53" s="182">
        <f ca="1">ROUND(D45*'数据-取费表'!B41/(1+'数据-取费表'!C42),0)</f>
        <v>728</v>
      </c>
      <c r="E53" s="11" t="s">
        <v>2211</v>
      </c>
      <c r="F53" s="184">
        <f>'数据-取费表'!B41</f>
        <v>5.5000000000000007E-2</v>
      </c>
      <c r="G53" s="2487"/>
      <c r="H53" s="138"/>
      <c r="I53" s="2485"/>
      <c r="J53" s="1812">
        <v>2</v>
      </c>
      <c r="K53" s="3076" t="s">
        <v>2215</v>
      </c>
      <c r="L53" s="3076"/>
      <c r="M53" s="1754">
        <f t="shared" ref="M53:O54" ca="1" si="0">D55</f>
        <v>7</v>
      </c>
      <c r="N53" s="1812" t="str">
        <f t="shared" si="0"/>
        <v>销售额×税（费）率</v>
      </c>
      <c r="O53" s="1755">
        <f t="shared" si="0"/>
        <v>5.0000000000000001E-4</v>
      </c>
    </row>
    <row r="54" spans="1:35" ht="12" customHeight="1">
      <c r="A54" s="183" t="s">
        <v>2216</v>
      </c>
      <c r="B54" s="3102" t="s">
        <v>2217</v>
      </c>
      <c r="C54" s="3103"/>
      <c r="D54" s="182">
        <f ca="1">C68</f>
        <v>728</v>
      </c>
      <c r="E54" s="30" t="s">
        <v>2218</v>
      </c>
      <c r="F54" s="184">
        <f>'数据-取费表'!B41</f>
        <v>5.5000000000000007E-2</v>
      </c>
      <c r="G54" s="2487"/>
      <c r="H54" s="2488"/>
      <c r="I54" s="2485"/>
      <c r="J54" s="1812">
        <v>3</v>
      </c>
      <c r="K54" s="3076" t="s">
        <v>2219</v>
      </c>
      <c r="L54" s="3076"/>
      <c r="M54" s="1754">
        <f t="shared" ca="1" si="0"/>
        <v>7874</v>
      </c>
      <c r="N54" s="1812" t="str">
        <f t="shared" si="0"/>
        <v>增值额×税（费）率</v>
      </c>
      <c r="O54" s="1756" t="str">
        <f t="shared" si="0"/>
        <v>——</v>
      </c>
    </row>
    <row r="55" spans="1:35" ht="24" customHeight="1">
      <c r="A55" s="3140" t="s">
        <v>2220</v>
      </c>
      <c r="B55" s="3122"/>
      <c r="C55" s="3122"/>
      <c r="D55" s="185">
        <f ca="1">IF(H55="个人住宅",0,ROUND(D45*I55,0))</f>
        <v>7</v>
      </c>
      <c r="E55" s="11" t="s">
        <v>2221</v>
      </c>
      <c r="F55" s="184">
        <f>IF(H55="正常",I55,"免征")</f>
        <v>5.0000000000000001E-4</v>
      </c>
      <c r="G55" s="2487"/>
      <c r="H55" s="2484" t="s">
        <v>2222</v>
      </c>
      <c r="I55" s="186">
        <f>'数据-取费表'!B49</f>
        <v>5.0000000000000001E-4</v>
      </c>
      <c r="J55" s="1812" t="str">
        <f>IF(H59="非个人房产","",4)</f>
        <v/>
      </c>
      <c r="K55" s="3076" t="str">
        <f>IF(H59="非个人房产","——","个人所得税")</f>
        <v>——</v>
      </c>
      <c r="L55" s="3076"/>
      <c r="M55" s="1757" t="str">
        <f>D59</f>
        <v>——</v>
      </c>
      <c r="N55" s="1810" t="str">
        <f>E59</f>
        <v>——</v>
      </c>
      <c r="O55" s="1758" t="str">
        <f>F59</f>
        <v>——</v>
      </c>
    </row>
    <row r="56" spans="1:35" ht="25.2">
      <c r="A56" s="3140" t="s">
        <v>2223</v>
      </c>
      <c r="B56" s="3122"/>
      <c r="C56" s="3122"/>
      <c r="D56" s="185">
        <f ca="1">IF(H56="个人住宅",D57,D58)</f>
        <v>7874</v>
      </c>
      <c r="E56" s="11" t="s">
        <v>2224</v>
      </c>
      <c r="F56" s="184" t="str">
        <f>IF(H56="正常",F58,"免征")</f>
        <v>——</v>
      </c>
      <c r="G56" s="2489" t="s">
        <v>2225</v>
      </c>
      <c r="H56" s="2490" t="s">
        <v>2222</v>
      </c>
      <c r="I56" s="2491"/>
      <c r="J56" s="1812" t="str">
        <f>IF(项目基本情况!K6="上海银行",IF(J55="",4,J55+1),"")</f>
        <v/>
      </c>
      <c r="K56" s="3059" t="str">
        <f>IF(项目基本情况!K6="上海银行","其他处置费用","")</f>
        <v/>
      </c>
      <c r="L56" s="3060"/>
      <c r="M56" s="1754" t="str">
        <f>IF(项目基本情况!K6="上海银行",M69,"")</f>
        <v/>
      </c>
      <c r="N56" s="3062" t="str">
        <f>IF(项目基本情况!K6="上海银行","包含处置中涉及的律师、诉讼、拍卖、评估等费用","")</f>
        <v/>
      </c>
      <c r="O56" s="3063"/>
    </row>
    <row r="57" spans="1:35" ht="13.2">
      <c r="A57" s="183" t="s">
        <v>2198</v>
      </c>
      <c r="B57" s="3107" t="s">
        <v>2226</v>
      </c>
      <c r="C57" s="3108"/>
      <c r="D57" s="187">
        <v>0</v>
      </c>
      <c r="E57" s="23" t="s">
        <v>2200</v>
      </c>
      <c r="F57" s="155"/>
      <c r="G57" s="2487"/>
      <c r="H57" s="2491"/>
      <c r="I57" s="2491"/>
      <c r="J57" s="3076">
        <f>IF(AND(J55="",J56=""),4,IF(项目基本情况!K6="上海银行",结果表!J56+1,结果表!J55+1))</f>
        <v>4</v>
      </c>
      <c r="K57" s="3076" t="s">
        <v>2227</v>
      </c>
      <c r="L57" s="2492" t="s">
        <v>2228</v>
      </c>
      <c r="M57" s="1759"/>
      <c r="N57" s="1760">
        <f ca="1">SUMIF(M52:M56,"&lt;9e307")</f>
        <v>7881</v>
      </c>
      <c r="O57" s="2493"/>
      <c r="P57" s="1753">
        <f ca="1">N57/M49</f>
        <v>0.56742746058031535</v>
      </c>
    </row>
    <row r="58" spans="1:35" ht="25.2">
      <c r="A58" s="183" t="s">
        <v>2209</v>
      </c>
      <c r="B58" s="3107" t="s">
        <v>2229</v>
      </c>
      <c r="C58" s="3120"/>
      <c r="D58" s="185">
        <f ca="1">IF(H58="转让取得",C81,C97)</f>
        <v>7874</v>
      </c>
      <c r="E58" s="11" t="s">
        <v>2224</v>
      </c>
      <c r="F58" s="24" t="s">
        <v>34</v>
      </c>
      <c r="G58" s="2487"/>
      <c r="H58" s="2490" t="s">
        <v>2230</v>
      </c>
      <c r="I58" s="2491"/>
      <c r="J58" s="3076"/>
      <c r="K58" s="3076"/>
      <c r="L58" s="2492" t="s">
        <v>2231</v>
      </c>
      <c r="M58" s="1761"/>
      <c r="N58" s="2494" t="str">
        <f ca="1">NUMBERSTRING(INT(N57*10000),2)&amp;"元整"</f>
        <v>柒仟捌佰捌拾壹万元整</v>
      </c>
      <c r="O58" s="2495"/>
    </row>
    <row r="59" spans="1:35" ht="24.6" thickBot="1">
      <c r="A59" s="3080" t="s">
        <v>2232</v>
      </c>
      <c r="B59" s="3081"/>
      <c r="C59" s="3081"/>
      <c r="D59" s="188" t="str">
        <f>IF(H59="非个人房产","——",IF(H59="个人住宅",0,ROUND(D45*I59,0)))</f>
        <v>——</v>
      </c>
      <c r="E59" s="189" t="str">
        <f>IF(H59="非个人房产","——","销售额×税（费）率")</f>
        <v>——</v>
      </c>
      <c r="F59" s="190" t="str">
        <f>IF(H59="非个人房产","——",IF(H59="个人住宅","免征",I59))</f>
        <v>——</v>
      </c>
      <c r="G59" s="2496" t="s">
        <v>2225</v>
      </c>
      <c r="H59" s="2490" t="s">
        <v>2233</v>
      </c>
      <c r="I59" s="191">
        <v>0.01</v>
      </c>
      <c r="J59" s="3078">
        <f>J57+1</f>
        <v>5</v>
      </c>
      <c r="K59" s="3076" t="s">
        <v>2234</v>
      </c>
      <c r="L59" s="1812" t="s">
        <v>2228</v>
      </c>
      <c r="M59" s="1762"/>
      <c r="N59" s="1763">
        <f ca="1">M49-N57</f>
        <v>6008</v>
      </c>
      <c r="O59" s="2497"/>
    </row>
    <row r="60" spans="1:35" ht="12" customHeight="1">
      <c r="A60" s="2498"/>
      <c r="B60" s="2420"/>
      <c r="C60" s="2420"/>
      <c r="D60" s="2420"/>
      <c r="E60" s="2167"/>
      <c r="F60" s="2491"/>
      <c r="G60" s="2491"/>
      <c r="H60" s="2499"/>
      <c r="I60" s="138"/>
      <c r="J60" s="3079"/>
      <c r="K60" s="3076"/>
      <c r="L60" s="2492" t="s">
        <v>2231</v>
      </c>
      <c r="M60" s="1761"/>
      <c r="N60" s="2494" t="str">
        <f ca="1">NUMBERSTRING(INT(N59*10000),2)&amp;"元整"</f>
        <v>陆仟零捌万元整</v>
      </c>
      <c r="O60" s="2495"/>
    </row>
    <row r="61" spans="1:35" ht="13.8" thickBot="1">
      <c r="A61" s="3139" t="s">
        <v>2235</v>
      </c>
      <c r="B61" s="3139"/>
      <c r="C61" s="3139"/>
      <c r="D61" s="3139"/>
      <c r="E61" s="3139"/>
      <c r="F61" s="2491"/>
      <c r="G61" s="2491"/>
      <c r="H61" s="2499"/>
      <c r="I61" s="138"/>
      <c r="J61" s="1812">
        <f>J59+1</f>
        <v>6</v>
      </c>
      <c r="K61" s="3076" t="s">
        <v>2236</v>
      </c>
      <c r="L61" s="3076"/>
      <c r="M61" s="1764"/>
      <c r="N61" s="1765">
        <f ca="1">ROUND(N59*10000/'数据-汇总表'!E3,0)</f>
        <v>1634</v>
      </c>
      <c r="O61" s="2500"/>
    </row>
    <row r="62" spans="1:35" ht="13.2">
      <c r="A62" s="3096" t="s">
        <v>2237</v>
      </c>
      <c r="B62" s="3097"/>
      <c r="C62" s="1804"/>
      <c r="D62" s="1804" t="s">
        <v>2238</v>
      </c>
      <c r="E62" s="192" t="s">
        <v>2239</v>
      </c>
      <c r="F62" s="2491"/>
      <c r="G62" s="2491"/>
      <c r="H62" s="2499"/>
      <c r="I62" s="138"/>
    </row>
    <row r="63" spans="1:35" ht="13.2">
      <c r="A63" s="203" t="s">
        <v>775</v>
      </c>
      <c r="B63" s="193" t="s">
        <v>2240</v>
      </c>
      <c r="C63" s="194">
        <f ca="1">ROUND((C64+C65)/(1+'数据-取费表'!C42),0)</f>
        <v>13228</v>
      </c>
      <c r="D63" s="195"/>
      <c r="E63" s="196"/>
      <c r="F63" s="2491"/>
      <c r="G63" s="2491"/>
      <c r="H63" s="2499"/>
      <c r="I63" s="138"/>
      <c r="J63" s="3061" t="s">
        <v>2241</v>
      </c>
      <c r="K63" s="2501" t="s">
        <v>2242</v>
      </c>
      <c r="L63" s="1752">
        <f ca="1">IF(M49&gt;10000,M49*0.5%,IF(AND(M49&gt;1000,M49&lt;=10000),M49*1%,IF(AND(M49&gt;100,M49&lt;=1000),M49*3%,IF(AND(M49&gt;10,M49&lt;=100),M49*5%,M49*8%))))</f>
        <v>69.445000000000007</v>
      </c>
      <c r="M63" s="24">
        <f ca="1">ROUND(L63,1)</f>
        <v>69.400000000000006</v>
      </c>
      <c r="Z63" s="2425"/>
      <c r="AI63" s="2426"/>
    </row>
    <row r="64" spans="1:35" ht="14.25" customHeight="1">
      <c r="A64" s="197" t="s">
        <v>770</v>
      </c>
      <c r="B64" s="198" t="s">
        <v>2243</v>
      </c>
      <c r="C64" s="199">
        <f ca="1">D45</f>
        <v>13889</v>
      </c>
      <c r="D64" s="200" t="s">
        <v>32</v>
      </c>
      <c r="E64" s="201"/>
      <c r="F64" s="2491"/>
      <c r="G64" s="2491"/>
      <c r="H64" s="2499"/>
      <c r="I64" s="138"/>
      <c r="J64" s="3061"/>
      <c r="K64" s="2501" t="s">
        <v>2244</v>
      </c>
      <c r="L64" s="1752">
        <f ca="1">IF(M49&gt;2000,M49*0.5%,IF(AND(M49&gt;1000,M49&lt;=2000),M49*0.6%,IF(AND(M49&gt;500,M49&lt;=1000),M49*0.7%,IF(AND(M49&gt;200,M49&lt;=500),M49*0.8%,IF(AND(M49&gt;100,M49&lt;=200),M49*0.9%,IF(AND(M49&gt;50,M49&lt;=100),M49*1%,IF(AND(M49&gt;20,M49&lt;=50),M49*1.5%,IF(AND(M49&gt;10,M49&lt;=20),M49*2%,IF(AND(M49&gt;1,M49&lt;=10),M49*2.5%)))))))))</f>
        <v>69.445000000000007</v>
      </c>
      <c r="M64" s="24">
        <f t="shared" ref="M64:M65" ca="1" si="1">ROUND(L64,1)</f>
        <v>69.400000000000006</v>
      </c>
      <c r="N64" s="138" t="s">
        <v>2245</v>
      </c>
      <c r="Z64" s="2425"/>
      <c r="AI64" s="2426"/>
    </row>
    <row r="65" spans="1:35" ht="14.25" customHeight="1">
      <c r="A65" s="197" t="s">
        <v>771</v>
      </c>
      <c r="B65" s="198" t="s">
        <v>2246</v>
      </c>
      <c r="C65" s="202"/>
      <c r="D65" s="200"/>
      <c r="E65" s="201"/>
      <c r="F65" s="2491"/>
      <c r="G65" s="2491"/>
      <c r="H65" s="2499"/>
      <c r="I65" s="138"/>
      <c r="J65" s="3061"/>
      <c r="K65" s="2501" t="s">
        <v>2247</v>
      </c>
      <c r="L65" s="1752">
        <f ca="1">IF(M49&gt;1000,M49*0.1%,IF(AND(M49&gt;500,M49&lt;=1000),M49*0.5%,IF(AND(M49&gt;50,M49&lt;=500),M49*1%,IF(AND(M49&gt;1,M49&lt;=50),M49*1.5%))))</f>
        <v>13.889000000000001</v>
      </c>
      <c r="M65" s="24">
        <f t="shared" ca="1" si="1"/>
        <v>13.9</v>
      </c>
      <c r="N65" s="138" t="s">
        <v>2245</v>
      </c>
      <c r="Z65" s="2425"/>
      <c r="AI65" s="2426"/>
    </row>
    <row r="66" spans="1:35" ht="14.25" customHeight="1">
      <c r="A66" s="203" t="s">
        <v>772</v>
      </c>
      <c r="B66" s="204" t="s">
        <v>2248</v>
      </c>
      <c r="C66" s="205"/>
      <c r="D66" s="206" t="s">
        <v>32</v>
      </c>
      <c r="E66" s="1776" t="s">
        <v>1371</v>
      </c>
      <c r="F66" s="2491"/>
      <c r="G66" s="2491"/>
      <c r="H66" s="2499"/>
      <c r="I66" s="138"/>
      <c r="J66" s="3061"/>
      <c r="K66" s="2501" t="s">
        <v>2249</v>
      </c>
      <c r="L66" s="1752">
        <f ca="1">M49*0.5%</f>
        <v>69.445000000000007</v>
      </c>
      <c r="M66" s="24">
        <f ca="1">IF(L66&gt;0.5,0.5,ROUND(L66,0))</f>
        <v>0.5</v>
      </c>
      <c r="N66" s="138" t="s">
        <v>2250</v>
      </c>
      <c r="Z66" s="2425"/>
      <c r="AI66" s="2426"/>
    </row>
    <row r="67" spans="1:35" ht="14.25" customHeight="1">
      <c r="A67" s="203" t="s">
        <v>773</v>
      </c>
      <c r="B67" s="204" t="s">
        <v>2251</v>
      </c>
      <c r="C67" s="207">
        <f ca="1">C63-C66</f>
        <v>13228</v>
      </c>
      <c r="D67" s="200" t="s">
        <v>32</v>
      </c>
      <c r="E67" s="201"/>
      <c r="F67" s="2491"/>
      <c r="G67" s="2491"/>
      <c r="H67" s="2499"/>
      <c r="I67" s="138"/>
      <c r="J67" s="3061"/>
      <c r="K67" s="2501" t="s">
        <v>2252</v>
      </c>
      <c r="L67" s="1752">
        <f ca="1">IF(M49&gt;=10000,(8.25+(M49-10000)*0.01%),IF(AND(M49&gt;=8000,M49&lt;10000),(7.85+(M49-8000)*0.02%),IF(AND(M49&gt;=5000,M49&lt;8000),(6.65+(M49-5000)*0.04%),IF(AND(M49&gt;=2000,M49&lt;5000),(4.25+(PM49-2000)*0.08%),IF(AND(M49&gt;=1000,M49&lt;2000),(2.75+(M49-1000)*0.15%),IF(AND(M49&gt;=100,M49&lt;1000),(0.5+(M49-100)*0.25%),IF(AND(M49&gt;0,M49&lt;100),M49*0.5%)))))))</f>
        <v>8.6388999999999996</v>
      </c>
      <c r="M67" s="24">
        <f ca="1">ROUND(L67*0.9,1)</f>
        <v>7.8</v>
      </c>
      <c r="Z67" s="2425"/>
      <c r="AI67" s="2426"/>
    </row>
    <row r="68" spans="1:35" ht="14.25" customHeight="1" thickBot="1">
      <c r="A68" s="208" t="s">
        <v>774</v>
      </c>
      <c r="B68" s="209" t="s">
        <v>2253</v>
      </c>
      <c r="C68" s="210">
        <f ca="1">IF(C67&lt;=0,0,ROUND(C67*D68,0))</f>
        <v>728</v>
      </c>
      <c r="D68" s="211">
        <f>'数据-取费表'!B41</f>
        <v>5.5000000000000007E-2</v>
      </c>
      <c r="E68" s="212"/>
      <c r="F68" s="2491"/>
      <c r="G68" s="2491"/>
      <c r="H68" s="2499"/>
      <c r="I68" s="138"/>
      <c r="J68" s="3061"/>
      <c r="K68" s="2501" t="s">
        <v>2254</v>
      </c>
      <c r="L68" s="1752">
        <f ca="1">IF(M49&gt;10000,M49*0.5%,IF(AND(M49&gt;5000,M49&lt;=10000),M49*1%,IF(AND(M49&gt;1000,M49&lt;=5000),M49*2%,IF(AND(M49&gt;200,M49&lt;=1000),M49*3%,M49*5%))))</f>
        <v>69.445000000000007</v>
      </c>
      <c r="M68" s="24">
        <f ca="1">ROUND(L68,1)</f>
        <v>69.400000000000006</v>
      </c>
      <c r="Z68" s="2425"/>
      <c r="AI68" s="2426"/>
    </row>
    <row r="69" spans="1:35" s="2448" customFormat="1" ht="16.5" customHeight="1">
      <c r="A69" s="2502"/>
      <c r="B69" s="2503"/>
      <c r="C69" s="2504"/>
      <c r="D69" s="2505"/>
      <c r="E69" s="2506"/>
      <c r="F69" s="2167"/>
      <c r="G69" s="2167"/>
      <c r="H69" s="2166"/>
      <c r="I69" s="2420"/>
      <c r="J69" s="3061"/>
      <c r="K69" s="2501" t="s">
        <v>2255</v>
      </c>
      <c r="L69" s="2507"/>
      <c r="M69" s="24">
        <f ca="1">ROUND(SUM(M63:M68),0)</f>
        <v>230</v>
      </c>
      <c r="N69" s="1753">
        <f ca="1">M69/M49</f>
        <v>1.6559867521059833E-2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4.4" thickBot="1">
      <c r="A70" s="3105" t="s">
        <v>2256</v>
      </c>
      <c r="B70" s="3106"/>
      <c r="C70" s="3106"/>
      <c r="D70" s="3106"/>
      <c r="E70" s="3106"/>
      <c r="F70" s="3106"/>
      <c r="G70" s="3106"/>
      <c r="H70" s="3106"/>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3.8">
      <c r="A71" s="3096" t="s">
        <v>2237</v>
      </c>
      <c r="B71" s="3097"/>
      <c r="C71" s="1804"/>
      <c r="D71" s="1804" t="s">
        <v>2238</v>
      </c>
      <c r="E71" s="213" t="s">
        <v>2239</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3.8">
      <c r="A72" s="203" t="s">
        <v>775</v>
      </c>
      <c r="B72" s="204" t="s">
        <v>2257</v>
      </c>
      <c r="C72" s="207">
        <f ca="1">ROUND(D45/(1+'数据-取费表'!C42),0)</f>
        <v>13228</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3.8">
      <c r="A73" s="203" t="s">
        <v>772</v>
      </c>
      <c r="B73" s="173" t="s">
        <v>2258</v>
      </c>
      <c r="C73" s="207">
        <f ca="1">C74+C78</f>
        <v>66</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2259</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28.8">
      <c r="A75" s="217" t="s">
        <v>776</v>
      </c>
      <c r="B75" s="198" t="s">
        <v>2260</v>
      </c>
      <c r="C75" s="218"/>
      <c r="D75" s="200" t="s">
        <v>32</v>
      </c>
      <c r="E75" s="219" t="s">
        <v>2261</v>
      </c>
      <c r="F75" s="2513" t="s">
        <v>2262</v>
      </c>
      <c r="G75" s="219" t="s">
        <v>2263</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2264</v>
      </c>
      <c r="C76" s="200">
        <f>IF(F75="购房发票",ROUND(C75*H75*D76,0),0)</f>
        <v>0</v>
      </c>
      <c r="D76" s="222">
        <v>0.05</v>
      </c>
      <c r="E76" s="3102" t="s">
        <v>2265</v>
      </c>
      <c r="F76" s="3101"/>
      <c r="G76" s="3101"/>
      <c r="H76" s="3104"/>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5" t="s">
        <v>2268</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2269</v>
      </c>
      <c r="C78" s="225">
        <f ca="1">ROUND(D45*D78/(1+'数据-取费表'!C42),0)</f>
        <v>66</v>
      </c>
      <c r="D78" s="226">
        <f>'数据-取费表'!B43</f>
        <v>5.000000000000001E-3</v>
      </c>
      <c r="E78" s="3093" t="s">
        <v>2270</v>
      </c>
      <c r="F78" s="3094"/>
      <c r="G78" s="3094"/>
      <c r="H78" s="3095"/>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3.8">
      <c r="A79" s="2517" t="s">
        <v>779</v>
      </c>
      <c r="B79" s="204" t="s">
        <v>2271</v>
      </c>
      <c r="C79" s="207">
        <f ca="1">C72-C73</f>
        <v>13162</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2272</v>
      </c>
      <c r="C80" s="227">
        <f ca="1">IF(C79&lt;=0,0,C79/C73)</f>
        <v>199.42424242424244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6" thickBot="1">
      <c r="A81" s="2518" t="s">
        <v>781</v>
      </c>
      <c r="B81" s="209" t="s">
        <v>2273</v>
      </c>
      <c r="C81" s="228">
        <f ca="1">ROUND(IF(C79&lt;=0,0,IF(C80&gt;=200%,C79*60%-C73*35%,IF(C80&gt;=100%,C79*50%-C73*15%,IF(C80&gt;=50%,C79*40%-C73*5%,IF(C80&lt;50%,C79*30%,0))))),0)</f>
        <v>7874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4.4" thickBot="1">
      <c r="A83" s="3105" t="s">
        <v>2274</v>
      </c>
      <c r="B83" s="3106"/>
      <c r="C83" s="3106"/>
      <c r="D83" s="3106"/>
      <c r="E83" s="3106"/>
      <c r="F83" s="3106"/>
      <c r="G83" s="3106"/>
      <c r="H83" s="3106"/>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3.8">
      <c r="A84" s="3096" t="s">
        <v>2237</v>
      </c>
      <c r="B84" s="3097"/>
      <c r="C84" s="1804"/>
      <c r="D84" s="1804" t="s">
        <v>2238</v>
      </c>
      <c r="E84" s="213" t="s">
        <v>2239</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3.8">
      <c r="A85" s="203" t="s">
        <v>775</v>
      </c>
      <c r="B85" s="204" t="s">
        <v>2257</v>
      </c>
      <c r="C85" s="207">
        <f ca="1">ROUND(D45/(1+'数据-取费表'!C42),0)</f>
        <v>13228</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3.8">
      <c r="A86" s="203" t="s">
        <v>772</v>
      </c>
      <c r="B86" s="173" t="s">
        <v>2258</v>
      </c>
      <c r="C86" s="207">
        <f ca="1">IF(H88="仅含出让金",C87+C90+C91+C92+C93+C94,C87+C91+C92+C93+C94)</f>
        <v>66</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3.8">
      <c r="A87" s="217" t="s">
        <v>770</v>
      </c>
      <c r="B87" s="198" t="s">
        <v>2275</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3.8">
      <c r="A88" s="217" t="s">
        <v>776</v>
      </c>
      <c r="B88" s="198" t="s">
        <v>2276</v>
      </c>
      <c r="C88" s="236"/>
      <c r="D88" s="226"/>
      <c r="E88" s="237" t="s">
        <v>2277</v>
      </c>
      <c r="F88" s="1800"/>
      <c r="G88" s="238" t="s">
        <v>2278</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3.8">
      <c r="A89" s="217" t="s">
        <v>777</v>
      </c>
      <c r="B89" s="198" t="s">
        <v>2266</v>
      </c>
      <c r="C89" s="225">
        <f>ROUND(C88*D89,0)</f>
        <v>0</v>
      </c>
      <c r="D89" s="226">
        <f>'数据-取费表'!B48+'数据-取费表'!B49</f>
        <v>3.0499999999999999E-2</v>
      </c>
      <c r="E89" s="237" t="s">
        <v>2279</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3.8">
      <c r="A90" s="217" t="s">
        <v>771</v>
      </c>
      <c r="B90" s="198" t="s">
        <v>2280</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2281</v>
      </c>
      <c r="B91" s="198" t="s">
        <v>2282</v>
      </c>
      <c r="C91" s="225">
        <f>IF(H91="——",成本法!C33,I91)</f>
        <v>0</v>
      </c>
      <c r="D91" s="226"/>
      <c r="E91" s="3093" t="s">
        <v>2283</v>
      </c>
      <c r="F91" s="3094"/>
      <c r="G91" s="3094"/>
      <c r="H91" s="2520" t="s">
        <v>2284</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2285</v>
      </c>
      <c r="B92" s="198" t="s">
        <v>2286</v>
      </c>
      <c r="C92" s="225">
        <f>ROUND((C87+C90+C91)*D92,0)</f>
        <v>0</v>
      </c>
      <c r="D92" s="226">
        <v>0.1</v>
      </c>
      <c r="E92" s="3093" t="s">
        <v>2287</v>
      </c>
      <c r="F92" s="3094"/>
      <c r="G92" s="3094"/>
      <c r="H92" s="3095"/>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2288</v>
      </c>
      <c r="B93" s="198" t="s">
        <v>2269</v>
      </c>
      <c r="C93" s="225">
        <f ca="1">ROUND(D45*D93/(1+'数据-取费表'!C42),0)</f>
        <v>66</v>
      </c>
      <c r="D93" s="226">
        <f>'数据-取费表'!B43</f>
        <v>5.000000000000001E-3</v>
      </c>
      <c r="E93" s="3093" t="s">
        <v>2270</v>
      </c>
      <c r="F93" s="3094"/>
      <c r="G93" s="3094"/>
      <c r="H93" s="3095"/>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2289</v>
      </c>
      <c r="B94" s="198" t="s">
        <v>2290</v>
      </c>
      <c r="C94" s="236">
        <f>ROUND((C87+C90+C91)*D94,0)</f>
        <v>0</v>
      </c>
      <c r="D94" s="226">
        <v>0.2</v>
      </c>
      <c r="E94" s="3141" t="s">
        <v>2291</v>
      </c>
      <c r="F94" s="3142"/>
      <c r="G94" s="3142"/>
      <c r="H94" s="3143"/>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3.8">
      <c r="A95" s="2517" t="s">
        <v>779</v>
      </c>
      <c r="B95" s="204" t="s">
        <v>2271</v>
      </c>
      <c r="C95" s="207">
        <f ca="1">ROUND(C85-C86,0)</f>
        <v>13162</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2272</v>
      </c>
      <c r="C96" s="227">
        <f ca="1">IF(C95&lt;=0,0,C95/C86)</f>
        <v>199.42424242424244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6" thickBot="1">
      <c r="A97" s="2518" t="s">
        <v>781</v>
      </c>
      <c r="B97" s="209" t="s">
        <v>2273</v>
      </c>
      <c r="C97" s="228">
        <f ca="1">ROUND(IF(C95&lt;=0,0,IF(C96&gt;=200%,C95*60%-C86*35%,IF(C96&gt;=100%,C95*50%-C86*15%,IF(C96&gt;=50%,C95*40%-C86*5%,IF(C96&lt;50%,C95*30%,0))))),0)</f>
        <v>7874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2292</v>
      </c>
      <c r="B99" s="2420"/>
      <c r="C99" s="2420"/>
      <c r="D99" s="2420"/>
      <c r="E99" s="2167"/>
      <c r="F99" s="2167"/>
      <c r="G99" s="2167"/>
      <c r="H99" s="2166"/>
      <c r="I99" s="138"/>
    </row>
    <row r="100" spans="1:35" ht="18.75" customHeight="1">
      <c r="A100" s="3045" t="s">
        <v>2293</v>
      </c>
      <c r="B100" s="3046"/>
      <c r="C100" s="3046"/>
      <c r="D100" s="3077"/>
      <c r="E100" s="3046" t="s">
        <v>2294</v>
      </c>
      <c r="F100" s="3046"/>
      <c r="G100" s="3046"/>
      <c r="H100" s="3077"/>
      <c r="I100" s="138"/>
    </row>
    <row r="101" spans="1:35" ht="18.75" customHeight="1">
      <c r="A101" s="3085" t="s">
        <v>2295</v>
      </c>
      <c r="B101" s="3086"/>
      <c r="C101" s="736" t="str">
        <f>C4</f>
        <v>成本法</v>
      </c>
      <c r="D101" s="737" t="str">
        <f>D4</f>
        <v>收益法</v>
      </c>
      <c r="E101" s="3057" t="s">
        <v>2296</v>
      </c>
      <c r="F101" s="3058"/>
      <c r="G101" s="2522" t="s">
        <v>2297</v>
      </c>
      <c r="H101" s="1048">
        <f ca="1">H118</f>
        <v>13889</v>
      </c>
      <c r="I101" s="138"/>
    </row>
    <row r="102" spans="1:35" ht="18.75" customHeight="1">
      <c r="A102" s="3087" t="s">
        <v>2298</v>
      </c>
      <c r="B102" s="2522" t="s">
        <v>2297</v>
      </c>
      <c r="C102" s="736">
        <f ca="1">C19</f>
        <v>10912</v>
      </c>
      <c r="D102" s="737">
        <f ca="1">D19</f>
        <v>18354</v>
      </c>
      <c r="E102" s="3057"/>
      <c r="F102" s="3058"/>
      <c r="G102" s="2522" t="s">
        <v>2299</v>
      </c>
      <c r="H102" s="371">
        <f ca="1">I118</f>
        <v>3778</v>
      </c>
      <c r="I102" s="138"/>
    </row>
    <row r="103" spans="1:35" ht="42.75" customHeight="1">
      <c r="A103" s="3087"/>
      <c r="B103" s="2522" t="s">
        <v>2299</v>
      </c>
      <c r="C103" s="738">
        <f ca="1">C20</f>
        <v>2968</v>
      </c>
      <c r="D103" s="739">
        <f ca="1">D20</f>
        <v>4993</v>
      </c>
      <c r="E103" s="3051" t="s">
        <v>2300</v>
      </c>
      <c r="F103" s="3052"/>
      <c r="G103" s="2523" t="s">
        <v>2301</v>
      </c>
      <c r="H103" s="1048">
        <f>IF(D36="正常操作",H104+H105+H106,H105+H106)</f>
        <v>0</v>
      </c>
      <c r="I103" s="138"/>
    </row>
    <row r="104" spans="1:35" ht="18.75" customHeight="1">
      <c r="A104" s="3087" t="s">
        <v>2302</v>
      </c>
      <c r="B104" s="2524" t="s">
        <v>2297</v>
      </c>
      <c r="C104" s="740">
        <f ca="1">H118</f>
        <v>13889</v>
      </c>
      <c r="D104" s="741"/>
      <c r="E104" s="2268" t="s">
        <v>2303</v>
      </c>
      <c r="F104" s="2259"/>
      <c r="G104" s="2523" t="s">
        <v>2301</v>
      </c>
      <c r="H104" s="1049">
        <f>IF(D36="同一抵押权人同一抵押物续贷",C36&amp;"（未扣减，详见特别提示）",C36)</f>
        <v>0</v>
      </c>
      <c r="I104" s="138"/>
    </row>
    <row r="105" spans="1:35" ht="18.75" customHeight="1" thickBot="1">
      <c r="A105" s="3099"/>
      <c r="B105" s="2525" t="s">
        <v>2299</v>
      </c>
      <c r="C105" s="742">
        <f ca="1">I118</f>
        <v>3778</v>
      </c>
      <c r="D105" s="743"/>
      <c r="E105" s="2268" t="s">
        <v>2304</v>
      </c>
      <c r="F105" s="2259"/>
      <c r="G105" s="2523" t="s">
        <v>2301</v>
      </c>
      <c r="H105" s="1049">
        <f>C37</f>
        <v>0</v>
      </c>
      <c r="I105" s="138"/>
    </row>
    <row r="106" spans="1:35" ht="18.75" customHeight="1">
      <c r="A106" s="2420" t="s">
        <v>2305</v>
      </c>
      <c r="B106" s="2420"/>
      <c r="C106" s="2420"/>
      <c r="D106" s="2420"/>
      <c r="E106" s="2526" t="s">
        <v>2306</v>
      </c>
      <c r="F106" s="2259"/>
      <c r="G106" s="2523" t="s">
        <v>2301</v>
      </c>
      <c r="H106" s="1049">
        <f>C38</f>
        <v>0</v>
      </c>
      <c r="I106" s="138"/>
    </row>
    <row r="107" spans="1:35" ht="18.75" customHeight="1">
      <c r="A107" s="138"/>
      <c r="B107" s="138"/>
      <c r="C107" s="138"/>
      <c r="D107" s="138"/>
      <c r="E107" s="3088" t="str">
        <f>IF(项目基本情况!E8="已注销","——","3.房地产抵押价值")</f>
        <v>3.房地产抵押价值</v>
      </c>
      <c r="F107" s="3058"/>
      <c r="G107" s="2522" t="s">
        <v>2297</v>
      </c>
      <c r="H107" s="1048">
        <f ca="1">IF(E107="——","——",H101-H103)</f>
        <v>13889</v>
      </c>
      <c r="I107" s="138"/>
    </row>
    <row r="108" spans="1:35" ht="18.75" customHeight="1">
      <c r="A108" s="138"/>
      <c r="B108" s="138"/>
      <c r="C108" s="138"/>
      <c r="D108" s="138"/>
      <c r="E108" s="3088"/>
      <c r="F108" s="3058"/>
      <c r="G108" s="2522" t="s">
        <v>2299</v>
      </c>
      <c r="H108" s="371">
        <f ca="1">ROUND(H107*10000/'数据-汇总表'!E3,0)</f>
        <v>3778</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58"/>
      <c r="G109" s="2522" t="s">
        <v>2297</v>
      </c>
      <c r="H109" s="348" t="str">
        <f>IF(E109="——","——",H101-H105-H106)</f>
        <v>——</v>
      </c>
      <c r="I109" s="138"/>
    </row>
    <row r="110" spans="1:35" ht="18.75" customHeight="1">
      <c r="A110" s="138"/>
      <c r="B110" s="138"/>
      <c r="C110" s="138"/>
      <c r="D110" s="138"/>
      <c r="E110" s="3088"/>
      <c r="F110" s="3058"/>
      <c r="G110" s="2522" t="s">
        <v>2299</v>
      </c>
      <c r="H110" s="371" t="str">
        <f>IF(H109="——","——",ROUND(H109*10000/'数据-汇总表'!E3,0))</f>
        <v>——</v>
      </c>
      <c r="I110" s="138"/>
    </row>
    <row r="111" spans="1:35" ht="18.75" customHeight="1">
      <c r="A111" s="138"/>
      <c r="B111" s="138"/>
      <c r="C111" s="138"/>
      <c r="D111" s="138"/>
      <c r="E111" s="3089" t="str">
        <f>IF(项目基本情况!E9="抵押净值",IF(OR(项目基本情况!E8="已注销",项目基本情况!E8="房地产抵押价值"),"4.抵押净值","5.抵押净值"),"——")</f>
        <v>——</v>
      </c>
      <c r="F111" s="3090"/>
      <c r="G111" s="2522" t="s">
        <v>2297</v>
      </c>
      <c r="H111" s="1048" t="str">
        <f>IF(E111="——","——",N59)</f>
        <v>——</v>
      </c>
      <c r="I111" s="138"/>
    </row>
    <row r="112" spans="1:35" ht="18.75" customHeight="1" thickBot="1">
      <c r="A112" s="138"/>
      <c r="B112" s="138"/>
      <c r="C112" s="138"/>
      <c r="D112" s="138"/>
      <c r="E112" s="3091"/>
      <c r="F112" s="3092"/>
      <c r="G112" s="2527" t="s">
        <v>2299</v>
      </c>
      <c r="H112" s="790" t="str">
        <f>IF(E111="——","——",N61)</f>
        <v>——</v>
      </c>
      <c r="I112" s="138"/>
    </row>
    <row r="113" spans="1:11" ht="18.75" customHeight="1">
      <c r="A113" s="138"/>
      <c r="B113" s="138"/>
      <c r="C113" s="138"/>
      <c r="D113" s="138"/>
      <c r="E113" s="3100" t="s">
        <v>2305</v>
      </c>
      <c r="F113" s="3100"/>
      <c r="G113" s="3100"/>
      <c r="H113" s="3100"/>
      <c r="I113" s="138"/>
    </row>
    <row r="114" spans="1:11" ht="3.75" customHeight="1">
      <c r="A114" s="2420"/>
      <c r="B114" s="2420"/>
      <c r="C114" s="2420"/>
      <c r="D114" s="2420"/>
      <c r="E114" s="2498"/>
      <c r="F114" s="2498"/>
      <c r="G114" s="2498"/>
      <c r="H114" s="2498"/>
      <c r="I114" s="2420"/>
    </row>
    <row r="115" spans="1:11" ht="18.75" customHeight="1">
      <c r="A115" s="3113" t="s">
        <v>2307</v>
      </c>
      <c r="B115" s="3114"/>
      <c r="C115" s="3114"/>
      <c r="D115" s="3114"/>
      <c r="E115" s="3114"/>
      <c r="F115" s="3114"/>
      <c r="G115" s="3114"/>
      <c r="H115" s="3114"/>
      <c r="I115" s="3115"/>
    </row>
    <row r="116" spans="1:11" ht="27" customHeight="1">
      <c r="A116" s="3024" t="s">
        <v>2308</v>
      </c>
      <c r="B116" s="3067" t="s">
        <v>2309</v>
      </c>
      <c r="C116" s="3067" t="s">
        <v>2310</v>
      </c>
      <c r="D116" s="3073" t="s">
        <v>2311</v>
      </c>
      <c r="E116" s="3074"/>
      <c r="F116" s="3109" t="s">
        <v>2312</v>
      </c>
      <c r="G116" s="3109"/>
      <c r="H116" s="3024" t="s">
        <v>2313</v>
      </c>
      <c r="I116" s="3024"/>
    </row>
    <row r="117" spans="1:11" ht="18.75" customHeight="1">
      <c r="A117" s="3024"/>
      <c r="B117" s="3068"/>
      <c r="C117" s="3068"/>
      <c r="D117" s="1798" t="s">
        <v>2314</v>
      </c>
      <c r="E117" s="1798" t="s">
        <v>2315</v>
      </c>
      <c r="F117" s="1798" t="s">
        <v>2314</v>
      </c>
      <c r="G117" s="1798" t="s">
        <v>2316</v>
      </c>
      <c r="H117" s="1798" t="s">
        <v>2314</v>
      </c>
      <c r="I117" s="1798" t="s">
        <v>2316</v>
      </c>
    </row>
    <row r="118" spans="1:11" ht="24.75" customHeight="1">
      <c r="A118" s="2528" t="str">
        <f>项目基本情况!S2</f>
        <v>河北省廊坊市大厂回族自治县大福南路60号房地产</v>
      </c>
      <c r="B118" s="1798">
        <f>M18</f>
        <v>36762</v>
      </c>
      <c r="C118" s="1798">
        <f>M19</f>
        <v>26594.63</v>
      </c>
      <c r="D118" s="1798">
        <f ca="1">ROUND(IF(D32="总价",C34,E118*B118/10000),0)</f>
        <v>3542</v>
      </c>
      <c r="E118" s="1798">
        <f ca="1">ROUND(IF(C33="自定义",IF(D32="楼面单价",C34,D118*10000/B118),I118-G118),0)</f>
        <v>963</v>
      </c>
      <c r="F118" s="1798">
        <f ca="1">ROUND(IF(D32="总价",C35,G118*B118/10000),0)</f>
        <v>10347</v>
      </c>
      <c r="G118" s="1798">
        <f ca="1">ROUND(IF(D32="楼面单价",C35,F118*10000/B118),0)</f>
        <v>2815</v>
      </c>
      <c r="H118" s="1798">
        <f ca="1">ROUND(IF(D32="总价",C32,I118*B118/10000),0)</f>
        <v>13889</v>
      </c>
      <c r="I118" s="1798">
        <f ca="1">ROUND(IF(D32="楼面单价",C32,H118*10000/B118),0)</f>
        <v>3778</v>
      </c>
      <c r="J118" s="795">
        <f ca="1">D118/C118*666.67</f>
        <v>88.790298642996717</v>
      </c>
    </row>
    <row r="119" spans="1:11" ht="18.75" customHeight="1">
      <c r="A119" s="3024" t="s">
        <v>2317</v>
      </c>
      <c r="B119" s="3024"/>
      <c r="C119" s="3024"/>
      <c r="D119" s="3069" t="str">
        <f ca="1">NUMBERSTRING(INT(D118*10000),2)&amp;"元整"</f>
        <v>叁仟伍佰肆拾贰万元整</v>
      </c>
      <c r="E119" s="3070"/>
      <c r="F119" s="3069" t="str">
        <f ca="1">NUMBERSTRING(INT(F118*10000),2)&amp;"元整"</f>
        <v>壹亿零叁佰肆拾柒万元整</v>
      </c>
      <c r="G119" s="3070"/>
      <c r="H119" s="3069" t="str">
        <f ca="1">NUMBERSTRING(INT(H118*10000),2)&amp;"元整"</f>
        <v>壹亿叁仟捌佰捌拾玖万元整</v>
      </c>
      <c r="I119" s="3070"/>
    </row>
    <row r="120" spans="1:11" ht="18.75" customHeight="1">
      <c r="A120" s="3064" t="str">
        <f>IF(项目基本情况!B9="房地产市场价值","",MID(E103,3,LEN(E103)-2))</f>
        <v>估价师知悉的法定优先受偿款</v>
      </c>
      <c r="B120" s="3065"/>
      <c r="C120" s="3066"/>
      <c r="D120" s="3064">
        <f>H103</f>
        <v>0</v>
      </c>
      <c r="E120" s="3065"/>
      <c r="F120" s="3065"/>
      <c r="G120" s="3065"/>
      <c r="H120" s="3065"/>
      <c r="I120" s="3066"/>
      <c r="K120" s="2425" t="str">
        <f>IF(D120=0,"故，本次评估不存在"&amp;A120,"故，本次评估"&amp;A120&amp;"为人民币"&amp;D120&amp;"万元整。")</f>
        <v>故，本次评估不存在估价师知悉的法定优先受偿款</v>
      </c>
    </row>
    <row r="121" spans="1:11" ht="18.75" customHeight="1">
      <c r="A121" s="3110" t="s">
        <v>2317</v>
      </c>
      <c r="B121" s="3111"/>
      <c r="C121" s="3112"/>
      <c r="D121" s="3069" t="str">
        <f>IF(D120=0,"零元整",NUMBERSTRING(INT(D120*10000),2)&amp;"元整")</f>
        <v>零元整</v>
      </c>
      <c r="E121" s="3071"/>
      <c r="F121" s="3071"/>
      <c r="G121" s="3071"/>
      <c r="H121" s="3071"/>
      <c r="I121" s="3070"/>
    </row>
    <row r="122" spans="1:11" ht="18.75" customHeight="1">
      <c r="A122" s="3075" t="str">
        <f>IF(项目基本情况!B9="房地产市场价值","",MID(E107,3,LEN(E107)-2))</f>
        <v>房地产抵押价值</v>
      </c>
      <c r="B122" s="3075"/>
      <c r="C122" s="3075"/>
      <c r="D122" s="3064">
        <f ca="1">H107</f>
        <v>13889</v>
      </c>
      <c r="E122" s="3065"/>
      <c r="F122" s="3065"/>
      <c r="G122" s="3065"/>
      <c r="H122" s="3065"/>
      <c r="I122" s="3066"/>
    </row>
    <row r="123" spans="1:11" ht="18.75" customHeight="1">
      <c r="A123" s="3024" t="s">
        <v>2317</v>
      </c>
      <c r="B123" s="3024"/>
      <c r="C123" s="3024"/>
      <c r="D123" s="3069" t="str">
        <f ca="1">NUMBERSTRING(INT(D122*10000),2)&amp;"元整"</f>
        <v>壹亿叁仟捌佰捌拾玖万元整</v>
      </c>
      <c r="E123" s="3071"/>
      <c r="F123" s="3071"/>
      <c r="G123" s="3071"/>
      <c r="H123" s="3071"/>
      <c r="I123" s="3070"/>
    </row>
    <row r="124" spans="1:11" ht="18.75" customHeight="1">
      <c r="A124" s="3075" t="str">
        <f>IF(项目基本情况!B9="房地产市场价值","",MID(E109,3,LEN(E109)-2))</f>
        <v/>
      </c>
      <c r="B124" s="3075"/>
      <c r="C124" s="3075"/>
      <c r="D124" s="3064" t="str">
        <f>H109</f>
        <v>——</v>
      </c>
      <c r="E124" s="3065"/>
      <c r="F124" s="3065"/>
      <c r="G124" s="3065"/>
      <c r="H124" s="3065"/>
      <c r="I124" s="3066"/>
    </row>
    <row r="125" spans="1:11" ht="18.75" customHeight="1">
      <c r="A125" s="3024" t="s">
        <v>2317</v>
      </c>
      <c r="B125" s="3024"/>
      <c r="C125" s="3024"/>
      <c r="D125" s="3069" t="e">
        <f>NUMBERSTRING(INT(D124*10000),2)&amp;"元整"</f>
        <v>#VALUE!</v>
      </c>
      <c r="E125" s="3071"/>
      <c r="F125" s="3071"/>
      <c r="G125" s="3071"/>
      <c r="H125" s="3071"/>
      <c r="I125" s="3070"/>
    </row>
    <row r="126" spans="1:11" ht="18.75" customHeight="1">
      <c r="A126" s="3075" t="str">
        <f>IF(项目基本情况!B9="房地产市场价值","",MID(E111,3,LEN(E111)-2))</f>
        <v/>
      </c>
      <c r="B126" s="3075"/>
      <c r="C126" s="3075"/>
      <c r="D126" s="3064" t="str">
        <f>H111</f>
        <v>——</v>
      </c>
      <c r="E126" s="3065"/>
      <c r="F126" s="3065"/>
      <c r="G126" s="3065"/>
      <c r="H126" s="3065"/>
      <c r="I126" s="3066"/>
    </row>
    <row r="127" spans="1:11" ht="18.75" customHeight="1">
      <c r="A127" s="3024" t="s">
        <v>2317</v>
      </c>
      <c r="B127" s="3024"/>
      <c r="C127" s="3024"/>
      <c r="D127" s="3069" t="e">
        <f>NUMBERSTRING(INT(D126*10000),2)&amp;"元整"</f>
        <v>#VALUE!</v>
      </c>
      <c r="E127" s="3071"/>
      <c r="F127" s="3071"/>
      <c r="G127" s="3071"/>
      <c r="H127" s="3071"/>
      <c r="I127" s="3070"/>
    </row>
    <row r="128" spans="1:11" ht="21.75" customHeight="1">
      <c r="A128" s="3072" t="s">
        <v>2318</v>
      </c>
      <c r="B128" s="3072"/>
      <c r="C128" s="3072"/>
      <c r="D128" s="3072"/>
      <c r="E128" s="3072"/>
      <c r="F128" s="3072"/>
      <c r="G128" s="3072"/>
      <c r="H128" s="3072"/>
      <c r="I128" s="3072"/>
    </row>
    <row r="129" spans="1:35" ht="21.75" customHeight="1">
      <c r="A129" s="2529" t="s">
        <v>2319</v>
      </c>
      <c r="B129" s="2530"/>
      <c r="C129" s="2531" t="s">
        <v>2320</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2321</v>
      </c>
      <c r="G135" s="2546"/>
      <c r="H135" s="2546"/>
      <c r="I135" s="2547" t="s">
        <v>2322</v>
      </c>
    </row>
    <row r="136" spans="1:35" ht="21.75" customHeight="1">
      <c r="A136" s="795"/>
      <c r="B136" s="2548" t="s">
        <v>2323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2324</v>
      </c>
    </row>
    <row r="139" spans="1:35" ht="21.75" customHeight="1">
      <c r="A139" s="795"/>
      <c r="B139" s="2548" t="s">
        <v>2325</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2324</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0" workbookViewId="0">
      <selection activeCell="C52" sqref="C52"/>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2326</v>
      </c>
      <c r="B1" s="1940"/>
      <c r="C1" s="242"/>
      <c r="D1" s="242"/>
      <c r="E1" s="242"/>
      <c r="F1" s="242"/>
      <c r="G1" s="1382">
        <f>MATCH(B1,'数据-取费表'!A6:A16,0)+5</f>
        <v>7</v>
      </c>
    </row>
    <row r="2" spans="1:9" s="244" customFormat="1" ht="18" customHeight="1">
      <c r="A2" s="245" t="s">
        <v>2327</v>
      </c>
      <c r="B2" s="246">
        <f ca="1">IF(D2="——",C52,C52-E2)</f>
        <v>10912</v>
      </c>
      <c r="C2" s="243" t="s">
        <v>2328</v>
      </c>
      <c r="D2" s="2551" t="s">
        <v>70</v>
      </c>
      <c r="E2" s="1443" t="e">
        <f ca="1">SUMIF(INDIRECT("'"&amp;G2&amp;"'"&amp;"!A:A"),"承租人权益价值",INDIRECT("'"&amp;G2&amp;"'"&amp;"!c:c"))</f>
        <v>#REF!</v>
      </c>
      <c r="F2" s="2552" t="s">
        <v>2328</v>
      </c>
      <c r="G2" s="2553"/>
    </row>
    <row r="3" spans="1:9" s="244" customFormat="1" ht="18" customHeight="1" thickBot="1">
      <c r="A3" s="247" t="s">
        <v>2329</v>
      </c>
      <c r="B3" s="248">
        <f ca="1">ROUND(B2*10000/(IF(B1="",'数据-汇总表'!E3,INDIRECT("'数据-取费表'!k"&amp;$G$1))),0)</f>
        <v>2968</v>
      </c>
      <c r="C3" s="243" t="s">
        <v>2330</v>
      </c>
      <c r="D3" s="243"/>
      <c r="E3" s="243"/>
      <c r="F3" s="243"/>
      <c r="G3" s="243"/>
    </row>
    <row r="4" spans="1:9" s="252" customFormat="1" ht="16.2">
      <c r="A4" s="249" t="s">
        <v>2331</v>
      </c>
      <c r="B4" s="250"/>
      <c r="C4" s="250"/>
      <c r="D4" s="250"/>
      <c r="E4" s="250"/>
      <c r="F4" s="250"/>
      <c r="G4" s="251"/>
    </row>
    <row r="5" spans="1:9" s="258" customFormat="1" ht="13.5" customHeight="1">
      <c r="A5" s="299" t="s">
        <v>2332</v>
      </c>
      <c r="B5" s="254" t="s">
        <v>2333</v>
      </c>
      <c r="C5" s="255">
        <f>C6+C7+C8</f>
        <v>2315</v>
      </c>
      <c r="D5" s="255" t="s">
        <v>2334</v>
      </c>
      <c r="E5" s="256" t="s">
        <v>2335</v>
      </c>
      <c r="F5" s="256" t="s">
        <v>2336</v>
      </c>
      <c r="G5" s="257"/>
    </row>
    <row r="6" spans="1:9" s="258" customFormat="1" ht="13.5" customHeight="1">
      <c r="A6" s="952" t="s">
        <v>2337</v>
      </c>
      <c r="B6" s="259" t="s">
        <v>2338</v>
      </c>
      <c r="C6" s="260">
        <f>'土地比较法-工业'!B2</f>
        <v>2170</v>
      </c>
      <c r="D6" s="261"/>
      <c r="E6" s="262"/>
      <c r="F6" s="262"/>
      <c r="G6" s="263"/>
    </row>
    <row r="7" spans="1:9" s="258" customFormat="1" ht="13.5" customHeight="1">
      <c r="A7" s="952" t="s">
        <v>2339</v>
      </c>
      <c r="B7" s="259" t="s">
        <v>2340</v>
      </c>
      <c r="C7" s="264">
        <f>ROUND(C6*F7,0)</f>
        <v>66</v>
      </c>
      <c r="D7" s="264"/>
      <c r="E7" s="262"/>
      <c r="F7" s="265">
        <f>'数据-取费表'!B48+'数据-取费表'!B49</f>
        <v>3.0499999999999999E-2</v>
      </c>
      <c r="G7" s="263"/>
    </row>
    <row r="8" spans="1:9" s="267" customFormat="1">
      <c r="A8" s="952" t="s">
        <v>2341</v>
      </c>
      <c r="B8" s="259" t="s">
        <v>2342</v>
      </c>
      <c r="C8" s="264">
        <f>IF(G8="已包含在土地购买价格中","0",IF(B1="",'数据-取费表'!B29,IF(G9="全部缴纳",C9+C10,H9)))</f>
        <v>79</v>
      </c>
      <c r="D8" s="266"/>
      <c r="E8" s="264"/>
      <c r="F8" s="265"/>
      <c r="G8" s="2554" t="s">
        <v>3225</v>
      </c>
    </row>
    <row r="9" spans="1:9" s="258" customFormat="1" ht="13.5" customHeight="1">
      <c r="A9" s="953" t="s">
        <v>800</v>
      </c>
      <c r="B9" s="268" t="s">
        <v>2343</v>
      </c>
      <c r="C9" s="269">
        <f ca="1">ROUND(D9*E9/10000,0)</f>
        <v>0</v>
      </c>
      <c r="D9" s="1035">
        <f ca="1">IF(B1="",'数据-汇总表'!E5,IF(INDIRECT("'数据-取费表'!c"&amp;$G$1)="住宅",INDIRECT("'数据-取费表'!k"&amp;$G$1),0))</f>
        <v>0</v>
      </c>
      <c r="E9" s="269">
        <f>'数据-取费表'!B27</f>
        <v>0</v>
      </c>
      <c r="F9" s="265"/>
      <c r="G9" s="2555" t="s">
        <v>3226</v>
      </c>
      <c r="H9" s="1393">
        <f>'数据-取费表'!B29</f>
        <v>79</v>
      </c>
      <c r="I9" s="2556" t="s">
        <v>2344</v>
      </c>
    </row>
    <row r="10" spans="1:9" s="258" customFormat="1" ht="13.5" customHeight="1">
      <c r="A10" s="953" t="s">
        <v>801</v>
      </c>
      <c r="B10" s="268" t="s">
        <v>2345</v>
      </c>
      <c r="C10" s="269">
        <f ca="1">ROUND(D10*E10/10000,0)</f>
        <v>79</v>
      </c>
      <c r="D10" s="1035">
        <f ca="1">IF(B1="",'数据-汇总表'!E6,IF(INDIRECT("'数据-取费表'!c"&amp;$G$1)="住宅",INDIRECT("'数据-取费表'!s"&amp;$G$1),INDIRECT("'数据-取费表'!k"&amp;$G$1)+INDIRECT("'数据-取费表'!s"&amp;$G$1)))</f>
        <v>36762</v>
      </c>
      <c r="E10" s="269">
        <f>'数据-取费表'!B28</f>
        <v>21.6</v>
      </c>
      <c r="F10" s="265"/>
      <c r="G10" s="270"/>
    </row>
    <row r="11" spans="1:9" s="258" customFormat="1" ht="13.5" hidden="1" customHeight="1">
      <c r="A11" s="271" t="s">
        <v>7</v>
      </c>
      <c r="B11" s="259" t="s">
        <v>2346</v>
      </c>
      <c r="C11" s="255"/>
      <c r="D11" s="1037"/>
      <c r="E11" s="262"/>
      <c r="F11" s="262"/>
      <c r="G11" s="263"/>
    </row>
    <row r="12" spans="1:9" s="258" customFormat="1" ht="13.5" hidden="1" customHeight="1">
      <c r="A12" s="271" t="s">
        <v>8</v>
      </c>
      <c r="B12" s="259" t="s">
        <v>2347</v>
      </c>
      <c r="C12" s="255">
        <v>0</v>
      </c>
      <c r="D12" s="1037"/>
      <c r="E12" s="272"/>
      <c r="F12" s="265">
        <v>3.0499999999999999E-2</v>
      </c>
      <c r="G12" s="263"/>
    </row>
    <row r="13" spans="1:9" s="258" customFormat="1" ht="13.5" hidden="1" customHeight="1">
      <c r="A13" s="271" t="s">
        <v>9</v>
      </c>
      <c r="B13" s="259" t="s">
        <v>2348</v>
      </c>
      <c r="C13" s="255"/>
      <c r="D13" s="1037"/>
      <c r="E13" s="262"/>
      <c r="F13" s="262"/>
      <c r="G13" s="263"/>
    </row>
    <row r="14" spans="1:9" s="258" customFormat="1" ht="13.5" hidden="1" customHeight="1">
      <c r="A14" s="271" t="s">
        <v>10</v>
      </c>
      <c r="B14" s="259" t="s">
        <v>2349</v>
      </c>
      <c r="C14" s="255"/>
      <c r="D14" s="1037"/>
      <c r="E14" s="262"/>
      <c r="F14" s="262"/>
      <c r="G14" s="263" t="s">
        <v>2350</v>
      </c>
    </row>
    <row r="15" spans="1:9" s="258" customFormat="1" ht="13.5" hidden="1" customHeight="1">
      <c r="A15" s="271" t="s">
        <v>11</v>
      </c>
      <c r="B15" s="259" t="s">
        <v>2351</v>
      </c>
      <c r="C15" s="264"/>
      <c r="D15" s="1037"/>
      <c r="E15" s="262"/>
      <c r="F15" s="262"/>
      <c r="G15" s="263" t="s">
        <v>2352</v>
      </c>
    </row>
    <row r="16" spans="1:9" s="258" customFormat="1" ht="13.5" hidden="1" customHeight="1">
      <c r="A16" s="271" t="s">
        <v>12</v>
      </c>
      <c r="B16" s="259" t="s">
        <v>2349</v>
      </c>
      <c r="C16" s="264"/>
      <c r="D16" s="1037"/>
      <c r="E16" s="262"/>
      <c r="F16" s="262"/>
      <c r="G16" s="263"/>
    </row>
    <row r="17" spans="1:7" s="258" customFormat="1" ht="13.5" hidden="1" customHeight="1">
      <c r="A17" s="271" t="s">
        <v>13</v>
      </c>
      <c r="B17" s="259" t="s">
        <v>2353</v>
      </c>
      <c r="C17" s="273"/>
      <c r="D17" s="1038"/>
      <c r="E17" s="273"/>
      <c r="F17" s="273"/>
      <c r="G17" s="263" t="s">
        <v>2352</v>
      </c>
    </row>
    <row r="18" spans="1:7" s="258" customFormat="1" ht="13.5" hidden="1" customHeight="1">
      <c r="A18" s="271" t="s">
        <v>14</v>
      </c>
      <c r="B18" s="259" t="s">
        <v>2354</v>
      </c>
      <c r="C18" s="264">
        <v>0</v>
      </c>
      <c r="D18" s="1037"/>
      <c r="E18" s="262"/>
      <c r="F18" s="265">
        <v>3.0499999999999999E-2</v>
      </c>
      <c r="G18" s="263" t="s">
        <v>2355</v>
      </c>
    </row>
    <row r="19" spans="1:7" s="267" customFormat="1" ht="13.5" customHeight="1">
      <c r="A19" s="299" t="s">
        <v>2356</v>
      </c>
      <c r="B19" s="254" t="s">
        <v>2357</v>
      </c>
      <c r="C19" s="255" t="str">
        <f>IF(G19="已包含在土地取得成本中","0",ROUND(D19*E19/10000,0))</f>
        <v>0</v>
      </c>
      <c r="D19" s="1039">
        <f ca="1">D9+D10</f>
        <v>36762</v>
      </c>
      <c r="E19" s="255">
        <f>'数据-取费表'!B31</f>
        <v>200</v>
      </c>
      <c r="F19" s="275"/>
      <c r="G19" s="2554" t="s">
        <v>3227</v>
      </c>
    </row>
    <row r="20" spans="1:7" s="258" customFormat="1" ht="13.5" customHeight="1">
      <c r="A20" s="299" t="s">
        <v>2358</v>
      </c>
      <c r="B20" s="254" t="s">
        <v>2359</v>
      </c>
      <c r="C20" s="276">
        <f>ROUND((C5+C19)*F20,0)</f>
        <v>46</v>
      </c>
      <c r="D20" s="276"/>
      <c r="E20" s="276"/>
      <c r="F20" s="277">
        <f>'数据-取费表'!B37</f>
        <v>0.02</v>
      </c>
      <c r="G20" s="278" t="s">
        <v>2360</v>
      </c>
    </row>
    <row r="21" spans="1:7" s="258" customFormat="1" ht="13.5" customHeight="1">
      <c r="A21" s="299" t="s">
        <v>2361</v>
      </c>
      <c r="B21" s="254" t="s">
        <v>2362</v>
      </c>
      <c r="C21" s="279">
        <f>F21</f>
        <v>0.02</v>
      </c>
      <c r="D21" s="280" t="s">
        <v>2363</v>
      </c>
      <c r="E21" s="276"/>
      <c r="F21" s="277">
        <f>'数据-取费表'!B38</f>
        <v>0.02</v>
      </c>
      <c r="G21" s="278" t="s">
        <v>2364</v>
      </c>
    </row>
    <row r="22" spans="1:7" s="258" customFormat="1" ht="13.5" customHeight="1">
      <c r="A22" s="299" t="s">
        <v>2365</v>
      </c>
      <c r="B22" s="254" t="s">
        <v>2366</v>
      </c>
      <c r="C22" s="1357">
        <f ca="1">ROUND(SUM(C23:C25),0)</f>
        <v>102</v>
      </c>
      <c r="D22" s="279">
        <f ca="1">C26</f>
        <v>4.0000000000000002E-4</v>
      </c>
      <c r="E22" s="280" t="s">
        <v>2363</v>
      </c>
      <c r="F22" s="281">
        <f ca="1">'数据-取费表'!B40</f>
        <v>4.3499999999999997E-2</v>
      </c>
      <c r="G22" s="278" t="str">
        <f>IF('数据-取费表'!B22&lt;=1,"单利计息","复利计息")</f>
        <v>单利计息</v>
      </c>
    </row>
    <row r="23" spans="1:7" s="258" customFormat="1" ht="13.5" customHeight="1">
      <c r="A23" s="954" t="s">
        <v>2367</v>
      </c>
      <c r="B23" s="259" t="s">
        <v>2368</v>
      </c>
      <c r="C23" s="1358">
        <f ca="1">ROUND(IF('数据-取费表'!B22&lt;=1,C5*F22*'数据-取费表'!B23,C5*(POWER((1+F22),'数据-取费表'!B23)-1)),0)</f>
        <v>101</v>
      </c>
      <c r="D23" s="282"/>
      <c r="E23" s="282"/>
      <c r="F23" s="283"/>
      <c r="G23" s="284" t="s">
        <v>2369</v>
      </c>
    </row>
    <row r="24" spans="1:7" s="258" customFormat="1" ht="13.5" customHeight="1">
      <c r="A24" s="954" t="s">
        <v>2370</v>
      </c>
      <c r="B24" s="259" t="s">
        <v>2371</v>
      </c>
      <c r="C24" s="1358">
        <f ca="1">ROUND(IF('数据-取费表'!B22&lt;=1,C19*F22*('数据-取费表'!B19/2+'数据-取费表'!B21),C19*(POWER((1+F22),('数据-取费表'!B19/2+'数据-取费表'!B21))-1)),0)</f>
        <v>0</v>
      </c>
      <c r="D24" s="282"/>
      <c r="E24" s="282"/>
      <c r="F24" s="283"/>
      <c r="G24" s="284" t="s">
        <v>2372</v>
      </c>
    </row>
    <row r="25" spans="1:7" s="258" customFormat="1" ht="24">
      <c r="A25" s="954" t="s">
        <v>2373</v>
      </c>
      <c r="B25" s="259" t="s">
        <v>2374</v>
      </c>
      <c r="C25" s="1358">
        <f ca="1">ROUND(IF('数据-取费表'!B22&lt;=1,C20*F22*'数据-取费表'!B23/2,C20*(POWER((1+F22),'数据-取费表'!B23/2)-1)),0)</f>
        <v>1</v>
      </c>
      <c r="D25" s="282"/>
      <c r="E25" s="285"/>
      <c r="F25" s="283"/>
      <c r="G25" s="286" t="s">
        <v>2375</v>
      </c>
    </row>
    <row r="26" spans="1:7" s="258" customFormat="1">
      <c r="A26" s="954" t="s">
        <v>795</v>
      </c>
      <c r="B26" s="259" t="s">
        <v>2376</v>
      </c>
      <c r="C26" s="282">
        <f ca="1">ROUND(IF('数据-取费表'!B22&lt;=1,F21*F22*'数据-取费表'!B23/2,F21*(POWER((1+F22),'数据-取费表'!B23/2)-1)),4)</f>
        <v>4.0000000000000002E-4</v>
      </c>
      <c r="D26" s="282"/>
      <c r="E26" s="285"/>
      <c r="F26" s="283"/>
      <c r="G26" s="287"/>
    </row>
    <row r="27" spans="1:7" s="258" customFormat="1" ht="26.4">
      <c r="A27" s="299" t="s">
        <v>2377</v>
      </c>
      <c r="B27" s="288" t="s">
        <v>2378</v>
      </c>
      <c r="C27" s="289">
        <f ca="1">C28</f>
        <v>118</v>
      </c>
      <c r="D27" s="279">
        <f ca="1">C29</f>
        <v>1E-3</v>
      </c>
      <c r="E27" s="280" t="s">
        <v>2379</v>
      </c>
      <c r="F27" s="290">
        <f ca="1">IF(B1="",'数据-取费表'!Q16,INDIRECT("'数据-取费表'!q"&amp;$G$1))</f>
        <v>0.05</v>
      </c>
      <c r="G27" s="291" t="s">
        <v>2380</v>
      </c>
    </row>
    <row r="28" spans="1:7" s="258" customFormat="1" ht="13.5" customHeight="1">
      <c r="A28" s="954" t="s">
        <v>791</v>
      </c>
      <c r="B28" s="292" t="s">
        <v>2381</v>
      </c>
      <c r="C28" s="293">
        <f ca="1">ROUND((C5+C19+C20)*F27*'数据-取费表'!B21/'数据-取费表'!B20,0)</f>
        <v>118</v>
      </c>
      <c r="D28" s="279"/>
      <c r="E28" s="280"/>
      <c r="F28" s="290"/>
      <c r="G28" s="291"/>
    </row>
    <row r="29" spans="1:7" s="258" customFormat="1" ht="13.5" customHeight="1">
      <c r="A29" s="954" t="s">
        <v>792</v>
      </c>
      <c r="B29" s="292" t="s">
        <v>2382</v>
      </c>
      <c r="C29" s="282">
        <f ca="1">ROUND(C21*F27*'数据-取费表'!B21/'数据-取费表'!B20,4)</f>
        <v>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2787</v>
      </c>
      <c r="D31" s="274"/>
      <c r="E31" s="255"/>
      <c r="F31" s="294"/>
      <c r="G31" s="278" t="s">
        <v>2387</v>
      </c>
    </row>
    <row r="32" spans="1:7" s="252" customFormat="1" ht="16.2">
      <c r="A32" s="296" t="s">
        <v>2388</v>
      </c>
      <c r="B32" s="297"/>
      <c r="C32" s="297"/>
      <c r="D32" s="297"/>
      <c r="E32" s="297"/>
      <c r="F32" s="297"/>
      <c r="G32" s="298"/>
    </row>
    <row r="33" spans="1:7" s="258" customFormat="1" ht="13.5" customHeight="1">
      <c r="A33" s="299" t="s">
        <v>782</v>
      </c>
      <c r="B33" s="254" t="s">
        <v>2389</v>
      </c>
      <c r="C33" s="300">
        <f ca="1">SUM(C34:C38)</f>
        <v>7650</v>
      </c>
      <c r="D33" s="276"/>
      <c r="E33" s="256"/>
      <c r="F33" s="285"/>
      <c r="G33" s="278"/>
    </row>
    <row r="34" spans="1:7" s="302" customFormat="1" ht="13.5" customHeight="1">
      <c r="A34" s="954" t="s">
        <v>791</v>
      </c>
      <c r="B34" s="259" t="s">
        <v>2390</v>
      </c>
      <c r="C34" s="264">
        <f ca="1">IF(B1="",IF(F34=100%,'数据-取费表'!M16,'数据-取费表'!O16),IF(F34=100%,INDIRECT("'数据-取费表'!m"&amp;$G$1)+INDIRECT("'数据-取费表'!t"&amp;$G$1),INDIRECT("'数据-取费表'!o"&amp;$G$1)+INDIRECT("'数据-取费表'!aq"&amp;$G$1)))</f>
        <v>6617</v>
      </c>
      <c r="D34" s="261"/>
      <c r="E34" s="264"/>
      <c r="F34" s="301">
        <f ca="1">IF('数据-取费表'!B24=0,1,IF(B1="",'数据-取费表'!N16,INDIRECT("'数据-取费表'!n"&amp;$G$1)))</f>
        <v>1</v>
      </c>
      <c r="G34" s="263" t="s">
        <v>2391</v>
      </c>
    </row>
    <row r="35" spans="1:7" ht="13.5" customHeight="1">
      <c r="A35" s="954" t="s">
        <v>796</v>
      </c>
      <c r="B35" s="259" t="s">
        <v>2392</v>
      </c>
      <c r="C35" s="264">
        <f ca="1">ROUND(C34*F35,0)</f>
        <v>199</v>
      </c>
      <c r="D35" s="264"/>
      <c r="E35" s="264"/>
      <c r="F35" s="303">
        <f>'数据-取费表'!B33</f>
        <v>0.03</v>
      </c>
      <c r="G35" s="263" t="s">
        <v>2393</v>
      </c>
    </row>
    <row r="36" spans="1:7" ht="24">
      <c r="A36" s="954" t="s">
        <v>797</v>
      </c>
      <c r="B36" s="259" t="s">
        <v>2394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2395</v>
      </c>
    </row>
    <row r="37" spans="1:7" s="302" customFormat="1" ht="13.5" customHeight="1">
      <c r="A37" s="954" t="s">
        <v>798</v>
      </c>
      <c r="B37" s="259" t="s">
        <v>2396</v>
      </c>
      <c r="C37" s="293">
        <f ca="1">ROUND(E37*D37*F34/10000,0)</f>
        <v>735</v>
      </c>
      <c r="D37" s="261">
        <f ca="1">D19</f>
        <v>36762</v>
      </c>
      <c r="E37" s="293">
        <f>'数据-取费表'!B35</f>
        <v>200</v>
      </c>
      <c r="F37" s="303"/>
      <c r="G37" s="305" t="s">
        <v>2397</v>
      </c>
    </row>
    <row r="38" spans="1:7" ht="13.5" customHeight="1">
      <c r="A38" s="954" t="s">
        <v>799</v>
      </c>
      <c r="B38" s="259" t="s">
        <v>2398</v>
      </c>
      <c r="C38" s="264">
        <f ca="1">ROUND(C34*F38,0)</f>
        <v>99</v>
      </c>
      <c r="D38" s="264"/>
      <c r="E38" s="264"/>
      <c r="F38" s="303">
        <f>'数据-取费表'!B36</f>
        <v>1.4999999999999999E-2</v>
      </c>
      <c r="G38" s="263" t="s">
        <v>2393</v>
      </c>
    </row>
    <row r="39" spans="1:7" s="258" customFormat="1" ht="13.5" customHeight="1">
      <c r="A39" s="299" t="s">
        <v>2399</v>
      </c>
      <c r="B39" s="254" t="s">
        <v>2400</v>
      </c>
      <c r="C39" s="276">
        <f ca="1">ROUND(C33*F20,0)</f>
        <v>153</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169</v>
      </c>
      <c r="D41" s="279">
        <f ca="1">C44</f>
        <v>4.0000000000000002E-4</v>
      </c>
      <c r="E41" s="280" t="s">
        <v>2404</v>
      </c>
      <c r="F41" s="281"/>
      <c r="G41" s="278" t="str">
        <f>IF('数据-取费表'!B22&lt;=1,"单利计息","复利计息")</f>
        <v>单利计息</v>
      </c>
    </row>
    <row r="42" spans="1:7" ht="13.5" customHeight="1">
      <c r="A42" s="954" t="s">
        <v>791</v>
      </c>
      <c r="B42" s="259" t="s">
        <v>2408</v>
      </c>
      <c r="C42" s="282">
        <f ca="1">ROUND(IF('数据-取费表'!B22&lt;=1,C33*F22*'数据-取费表'!B21/2,C33*(POWER((1+F22),'数据-取费表'!B21/2)-1)),0)</f>
        <v>166</v>
      </c>
      <c r="D42" s="282"/>
      <c r="E42" s="282"/>
      <c r="F42" s="283"/>
      <c r="G42" s="3144" t="s">
        <v>2409</v>
      </c>
    </row>
    <row r="43" spans="1:7" ht="13.5" customHeight="1">
      <c r="A43" s="954" t="s">
        <v>792</v>
      </c>
      <c r="B43" s="259" t="s">
        <v>2410</v>
      </c>
      <c r="C43" s="282">
        <f ca="1">ROUND(IF('数据-取费表'!B22&lt;=1,C39*F22*'数据-取费表'!B21/2,C39*(POWER((1+F22),'数据-取费表'!B21/2)-1)),0)</f>
        <v>3</v>
      </c>
      <c r="D43" s="282"/>
      <c r="E43" s="282"/>
      <c r="F43" s="283"/>
      <c r="G43" s="3145"/>
    </row>
    <row r="44" spans="1:7" ht="13.5" customHeight="1">
      <c r="A44" s="954" t="s">
        <v>793</v>
      </c>
      <c r="B44" s="259" t="s">
        <v>2411</v>
      </c>
      <c r="C44" s="282">
        <f ca="1">ROUND(IF('数据-取费表'!B22&lt;=1,C40*F22*'数据-取费表'!B21/2,C40*(POWER((1+F22),'数据-取费表'!B21/2)-1)),4)</f>
        <v>4.0000000000000002E-4</v>
      </c>
      <c r="D44" s="282"/>
      <c r="E44" s="282"/>
      <c r="F44" s="283"/>
      <c r="G44" s="3146"/>
    </row>
    <row r="45" spans="1:7" s="258" customFormat="1" ht="13.5" customHeight="1">
      <c r="A45" s="299" t="s">
        <v>2412</v>
      </c>
      <c r="B45" s="288" t="s">
        <v>2378</v>
      </c>
      <c r="C45" s="289">
        <f ca="1">C46</f>
        <v>390</v>
      </c>
      <c r="D45" s="279">
        <f ca="1">C47</f>
        <v>1E-3</v>
      </c>
      <c r="E45" s="280" t="s">
        <v>2404</v>
      </c>
      <c r="F45" s="290"/>
      <c r="G45" s="291" t="s">
        <v>2413</v>
      </c>
    </row>
    <row r="46" spans="1:7" s="258" customFormat="1" ht="13.5" customHeight="1">
      <c r="A46" s="954" t="s">
        <v>791</v>
      </c>
      <c r="B46" s="292" t="s">
        <v>2414</v>
      </c>
      <c r="C46" s="293">
        <f ca="1">ROUND((C33+C39)*F27,0)</f>
        <v>390</v>
      </c>
      <c r="D46" s="307"/>
      <c r="E46" s="280"/>
      <c r="F46" s="290"/>
      <c r="G46" s="291"/>
    </row>
    <row r="47" spans="1:7" s="258" customFormat="1" ht="13.5" customHeight="1">
      <c r="A47" s="954" t="s">
        <v>792</v>
      </c>
      <c r="B47" s="292" t="s">
        <v>2415</v>
      </c>
      <c r="C47" s="282">
        <f ca="1">ROUND(C40*F27,4)</f>
        <v>1E-3</v>
      </c>
      <c r="D47" s="307"/>
      <c r="E47" s="280"/>
      <c r="F47" s="290"/>
      <c r="G47" s="291"/>
    </row>
    <row r="48" spans="1:7" s="258" customFormat="1" ht="13.5" customHeight="1">
      <c r="A48" s="299" t="s">
        <v>2377</v>
      </c>
      <c r="B48" s="254" t="s">
        <v>2416</v>
      </c>
      <c r="C48" s="1731">
        <f>ROUND(F30/(1+'数据-取费表'!C42),4)</f>
        <v>5.2400000000000002E-2</v>
      </c>
      <c r="D48" s="280" t="s">
        <v>2404</v>
      </c>
      <c r="E48" s="276"/>
      <c r="F48" s="281"/>
      <c r="G48" s="278" t="s">
        <v>2417</v>
      </c>
    </row>
    <row r="49" spans="1:7" ht="16.5" customHeight="1">
      <c r="A49" s="299" t="s">
        <v>2383</v>
      </c>
      <c r="B49" s="254" t="s">
        <v>2418</v>
      </c>
      <c r="C49" s="276">
        <f ca="1">ROUND((C33+C39+C41+C45)/(1-C40-D41-D45-C48),0)</f>
        <v>9028</v>
      </c>
      <c r="D49" s="276"/>
      <c r="E49" s="276"/>
      <c r="F49" s="308"/>
      <c r="G49" s="278" t="s">
        <v>2419</v>
      </c>
    </row>
    <row r="50" spans="1:7" s="302" customFormat="1" ht="24">
      <c r="A50" s="299" t="s">
        <v>2420</v>
      </c>
      <c r="B50" s="254" t="s">
        <v>2421</v>
      </c>
      <c r="C50" s="276"/>
      <c r="D50" s="276"/>
      <c r="E50" s="276"/>
      <c r="F50" s="308">
        <f>IF('数据-取费表'!B24=0,'数据-取费表'!N16,1)</f>
        <v>0.9</v>
      </c>
      <c r="G50" s="291" t="s">
        <v>2422</v>
      </c>
    </row>
    <row r="51" spans="1:7" ht="16.5" customHeight="1">
      <c r="A51" s="299" t="s">
        <v>2423</v>
      </c>
      <c r="B51" s="254" t="s">
        <v>2424</v>
      </c>
      <c r="C51" s="276">
        <f ca="1">ROUND(C49*F50,0)</f>
        <v>8125</v>
      </c>
      <c r="D51" s="276"/>
      <c r="E51" s="276"/>
      <c r="F51" s="308"/>
      <c r="G51" s="278" t="s">
        <v>2425</v>
      </c>
    </row>
    <row r="52" spans="1:7" s="252" customFormat="1" ht="16.8" thickBot="1">
      <c r="A52" s="309" t="s">
        <v>2426</v>
      </c>
      <c r="B52" s="310"/>
      <c r="C52" s="311">
        <f ca="1">C31+C51</f>
        <v>10912</v>
      </c>
      <c r="D52" s="310"/>
      <c r="E52" s="310"/>
      <c r="F52" s="310"/>
      <c r="G52" s="312"/>
    </row>
    <row r="55" spans="1:7" ht="15">
      <c r="B55" s="314" t="s">
        <v>2427</v>
      </c>
      <c r="C55" s="315"/>
    </row>
    <row r="56" spans="1:7">
      <c r="B56" s="317" t="s">
        <v>1513</v>
      </c>
      <c r="C56" s="319">
        <f ca="1">1-C57</f>
        <v>0.255</v>
      </c>
    </row>
    <row r="57" spans="1:7">
      <c r="B57" s="317" t="s">
        <v>1514</v>
      </c>
      <c r="C57" s="318">
        <f ca="1">ROUND(C51/C52,3)</f>
        <v>0.745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1018" customWidth="1"/>
    <col min="2" max="9" width="10" style="1018" customWidth="1"/>
    <col min="10" max="16384" width="9" style="1018"/>
  </cols>
  <sheetData>
    <row r="36" spans="1:9">
      <c r="A36" s="1017" t="s">
        <v>818</v>
      </c>
      <c r="B36" s="1017" t="s">
        <v>819</v>
      </c>
    </row>
    <row r="37" spans="1:9" ht="27.75" customHeight="1">
      <c r="A37" s="1017"/>
      <c r="B37" s="2958" t="str">
        <f>项目基本情况!B1</f>
        <v>河北省廊坊市大厂回族自治县大福南路60号房地产抵押价值预评估</v>
      </c>
      <c r="C37" s="2958"/>
      <c r="D37" s="2958"/>
      <c r="E37" s="2958"/>
      <c r="F37" s="2958"/>
      <c r="G37" s="2958"/>
      <c r="H37" s="2958"/>
      <c r="I37" s="2958"/>
    </row>
    <row r="38" spans="1:9">
      <c r="A38" s="1019"/>
      <c r="B38" s="1019"/>
    </row>
    <row r="39" spans="1:9">
      <c r="A39" s="1017" t="s">
        <v>818</v>
      </c>
      <c r="B39" s="1017" t="s">
        <v>820</v>
      </c>
    </row>
    <row r="40" spans="1:9">
      <c r="A40" s="1017"/>
      <c r="B40" s="1945" t="str">
        <f>项目基本情况!B5</f>
        <v>廊坊京磁精密材料有限公司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康正预评字2018-1-0360号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2326</v>
      </c>
      <c r="B1" s="1940"/>
      <c r="C1" s="2557" t="s">
        <v>2428</v>
      </c>
      <c r="D1" s="242"/>
      <c r="E1" s="242"/>
      <c r="F1" s="242"/>
      <c r="G1" s="1382">
        <f>MATCH(B1,'数据-取费表'!A6:A16,0)+5</f>
        <v>7</v>
      </c>
      <c r="H1" s="1285" t="str">
        <f>IF(ISERROR(FIND("住宅",B1)),"非住宅","住宅")</f>
        <v>非住宅</v>
      </c>
    </row>
    <row r="2" spans="1:8" s="244" customFormat="1" ht="18" customHeight="1">
      <c r="A2" s="245" t="s">
        <v>2327</v>
      </c>
      <c r="B2" s="246">
        <f ca="1">ROUND(IF(D2="——",C52/10000,C52/10000-E2),0)</f>
        <v>9107</v>
      </c>
      <c r="C2" s="243" t="s">
        <v>2328</v>
      </c>
      <c r="D2" s="2551" t="s">
        <v>70</v>
      </c>
      <c r="E2" s="1443" t="e">
        <f ca="1">SUMIF(INDIRECT("'"&amp;G2&amp;"'"&amp;"!A:A"),"承租人权益价值",INDIRECT("'"&amp;G2&amp;"'"&amp;"!c:c"))</f>
        <v>#REF!</v>
      </c>
      <c r="F2" s="2552" t="s">
        <v>2328</v>
      </c>
      <c r="G2" s="2553"/>
    </row>
    <row r="3" spans="1:8" s="244" customFormat="1" ht="18" customHeight="1" thickBot="1">
      <c r="A3" s="247" t="s">
        <v>2329</v>
      </c>
      <c r="B3" s="248">
        <f ca="1">ROUND(B2*10000/(IF(B1="",'数据-汇总表'!E3,INDIRECT("'数据-取费表'!k"&amp;$G$1))),0)</f>
        <v>2477</v>
      </c>
      <c r="C3" s="243" t="s">
        <v>2330</v>
      </c>
      <c r="D3" s="243"/>
      <c r="E3" s="243"/>
      <c r="F3" s="243"/>
      <c r="G3" s="243"/>
    </row>
    <row r="4" spans="1:8" s="252" customFormat="1" ht="16.2">
      <c r="A4" s="249" t="s">
        <v>2331</v>
      </c>
      <c r="B4" s="250"/>
      <c r="C4" s="250"/>
      <c r="D4" s="250"/>
      <c r="E4" s="250"/>
      <c r="F4" s="250"/>
      <c r="G4" s="251"/>
    </row>
    <row r="5" spans="1:8" s="258" customFormat="1" ht="13.5" customHeight="1">
      <c r="A5" s="299" t="s">
        <v>2332</v>
      </c>
      <c r="B5" s="254" t="s">
        <v>2333</v>
      </c>
      <c r="C5" s="255">
        <f ca="1">C6+C7+C8</f>
        <v>794059</v>
      </c>
      <c r="D5" s="255" t="s">
        <v>2334</v>
      </c>
      <c r="E5" s="256" t="s">
        <v>2335</v>
      </c>
      <c r="F5" s="256" t="s">
        <v>2336</v>
      </c>
      <c r="G5" s="257"/>
    </row>
    <row r="6" spans="1:8" s="258" customFormat="1" ht="13.5" customHeight="1">
      <c r="A6" s="952" t="s">
        <v>2337</v>
      </c>
      <c r="B6" s="259" t="s">
        <v>2338</v>
      </c>
      <c r="C6" s="260"/>
      <c r="D6" s="261"/>
      <c r="E6" s="262"/>
      <c r="F6" s="262"/>
      <c r="G6" s="263"/>
    </row>
    <row r="7" spans="1:8" s="258" customFormat="1" ht="13.5" customHeight="1">
      <c r="A7" s="952" t="s">
        <v>2339</v>
      </c>
      <c r="B7" s="259" t="s">
        <v>2340</v>
      </c>
      <c r="C7" s="264">
        <f>ROUND(C6*F7,0)</f>
        <v>0</v>
      </c>
      <c r="D7" s="264"/>
      <c r="E7" s="262"/>
      <c r="F7" s="265">
        <f>'数据-取费表'!B48+'数据-取费表'!B49</f>
        <v>3.0499999999999999E-2</v>
      </c>
      <c r="G7" s="263"/>
    </row>
    <row r="8" spans="1:8" s="267" customFormat="1">
      <c r="A8" s="952" t="s">
        <v>2341</v>
      </c>
      <c r="B8" s="259" t="s">
        <v>2342</v>
      </c>
      <c r="C8" s="264">
        <f ca="1">IF(G8="已包含在土地购买价格中",0,C9+C10)</f>
        <v>794059</v>
      </c>
      <c r="D8" s="266"/>
      <c r="E8" s="264"/>
      <c r="F8" s="265"/>
      <c r="G8" s="2554"/>
    </row>
    <row r="9" spans="1:8" s="258" customFormat="1" ht="13.5" customHeight="1">
      <c r="A9" s="953" t="s">
        <v>800</v>
      </c>
      <c r="B9" s="268" t="s">
        <v>2343</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2345</v>
      </c>
      <c r="C10" s="269">
        <f ca="1">ROUND(D10*E10,0)</f>
        <v>794059</v>
      </c>
      <c r="D10" s="1035">
        <f ca="1">IF(B1="",'数据-汇总表'!E6,IF(INDIRECT("'数据-取费表'!c"&amp;$G$1)="住宅",INDIRECT("'数据-取费表'!s"&amp;$G$1),INDIRECT("'数据-取费表'!k"&amp;$G$1)+INDIRECT("'数据-取费表'!s"&amp;$G$1)))</f>
        <v>36762</v>
      </c>
      <c r="E10" s="269">
        <f>'数据-取费表'!B28</f>
        <v>21.6</v>
      </c>
      <c r="F10" s="265"/>
      <c r="G10" s="270"/>
    </row>
    <row r="11" spans="1:8" s="258" customFormat="1" ht="13.5" hidden="1" customHeight="1">
      <c r="A11" s="271" t="s">
        <v>7</v>
      </c>
      <c r="B11" s="259" t="s">
        <v>2346</v>
      </c>
      <c r="C11" s="255"/>
      <c r="D11" s="1037"/>
      <c r="E11" s="262"/>
      <c r="F11" s="262"/>
      <c r="G11" s="263"/>
    </row>
    <row r="12" spans="1:8" s="258" customFormat="1" ht="13.5" hidden="1" customHeight="1">
      <c r="A12" s="271" t="s">
        <v>8</v>
      </c>
      <c r="B12" s="259" t="s">
        <v>2429</v>
      </c>
      <c r="C12" s="255">
        <v>0</v>
      </c>
      <c r="D12" s="1037"/>
      <c r="E12" s="272"/>
      <c r="F12" s="265">
        <v>3.0499999999999999E-2</v>
      </c>
      <c r="G12" s="263"/>
    </row>
    <row r="13" spans="1:8" s="258" customFormat="1" ht="13.5" hidden="1" customHeight="1">
      <c r="A13" s="271" t="s">
        <v>9</v>
      </c>
      <c r="B13" s="259" t="s">
        <v>2430</v>
      </c>
      <c r="C13" s="255"/>
      <c r="D13" s="1037"/>
      <c r="E13" s="262"/>
      <c r="F13" s="262"/>
      <c r="G13" s="263"/>
    </row>
    <row r="14" spans="1:8" s="258" customFormat="1" ht="13.5" hidden="1" customHeight="1">
      <c r="A14" s="271" t="s">
        <v>10</v>
      </c>
      <c r="B14" s="259" t="s">
        <v>2342</v>
      </c>
      <c r="C14" s="255"/>
      <c r="D14" s="1037"/>
      <c r="E14" s="262"/>
      <c r="F14" s="262"/>
      <c r="G14" s="263" t="s">
        <v>2431</v>
      </c>
    </row>
    <row r="15" spans="1:8" s="258" customFormat="1" ht="13.5" hidden="1" customHeight="1">
      <c r="A15" s="271" t="s">
        <v>11</v>
      </c>
      <c r="B15" s="259" t="s">
        <v>2432</v>
      </c>
      <c r="C15" s="264"/>
      <c r="D15" s="1037"/>
      <c r="E15" s="262"/>
      <c r="F15" s="262"/>
      <c r="G15" s="263" t="s">
        <v>2433</v>
      </c>
    </row>
    <row r="16" spans="1:8" s="258" customFormat="1" ht="13.5" hidden="1" customHeight="1">
      <c r="A16" s="271" t="s">
        <v>12</v>
      </c>
      <c r="B16" s="259" t="s">
        <v>2342</v>
      </c>
      <c r="C16" s="264"/>
      <c r="D16" s="1037"/>
      <c r="E16" s="262"/>
      <c r="F16" s="262"/>
      <c r="G16" s="263"/>
    </row>
    <row r="17" spans="1:7" s="258" customFormat="1" ht="13.5" hidden="1" customHeight="1">
      <c r="A17" s="271" t="s">
        <v>13</v>
      </c>
      <c r="B17" s="259" t="s">
        <v>2434</v>
      </c>
      <c r="C17" s="273"/>
      <c r="D17" s="1038"/>
      <c r="E17" s="273"/>
      <c r="F17" s="273"/>
      <c r="G17" s="263" t="s">
        <v>2433</v>
      </c>
    </row>
    <row r="18" spans="1:7" s="258" customFormat="1" ht="13.5" hidden="1" customHeight="1">
      <c r="A18" s="271" t="s">
        <v>14</v>
      </c>
      <c r="B18" s="259" t="s">
        <v>2435</v>
      </c>
      <c r="C18" s="264">
        <v>0</v>
      </c>
      <c r="D18" s="1037"/>
      <c r="E18" s="262"/>
      <c r="F18" s="265">
        <v>3.0499999999999999E-2</v>
      </c>
      <c r="G18" s="263" t="s">
        <v>2436</v>
      </c>
    </row>
    <row r="19" spans="1:7" s="267" customFormat="1" ht="13.5" customHeight="1">
      <c r="A19" s="299" t="s">
        <v>2437</v>
      </c>
      <c r="B19" s="254" t="s">
        <v>2438</v>
      </c>
      <c r="C19" s="255">
        <f ca="1">IF(G19="已包含在土地取得成本中","0",ROUND(D19*E19,0))</f>
        <v>7352400</v>
      </c>
      <c r="D19" s="1039">
        <f ca="1">D9+D10</f>
        <v>36762</v>
      </c>
      <c r="E19" s="255">
        <f>'数据-取费表'!B31</f>
        <v>200</v>
      </c>
      <c r="F19" s="275"/>
      <c r="G19" s="2554"/>
    </row>
    <row r="20" spans="1:7" s="258" customFormat="1" ht="13.5" customHeight="1">
      <c r="A20" s="299" t="s">
        <v>2439</v>
      </c>
      <c r="B20" s="254" t="s">
        <v>2440</v>
      </c>
      <c r="C20" s="276">
        <f ca="1">ROUND((C5+C19)*F20,0)</f>
        <v>162929</v>
      </c>
      <c r="D20" s="276"/>
      <c r="E20" s="276"/>
      <c r="F20" s="277">
        <f>'数据-取费表'!B37</f>
        <v>0.02</v>
      </c>
      <c r="G20" s="278" t="s">
        <v>2441</v>
      </c>
    </row>
    <row r="21" spans="1:7" s="258" customFormat="1" ht="13.5" customHeight="1">
      <c r="A21" s="299" t="s">
        <v>2442</v>
      </c>
      <c r="B21" s="254" t="s">
        <v>2443</v>
      </c>
      <c r="C21" s="279">
        <f>F21</f>
        <v>0.02</v>
      </c>
      <c r="D21" s="280" t="s">
        <v>2444</v>
      </c>
      <c r="E21" s="276"/>
      <c r="F21" s="277">
        <f>'数据-取费表'!B38</f>
        <v>0.02</v>
      </c>
      <c r="G21" s="278" t="s">
        <v>2445</v>
      </c>
    </row>
    <row r="22" spans="1:7" s="258" customFormat="1" ht="13.5" customHeight="1">
      <c r="A22" s="299" t="s">
        <v>2446</v>
      </c>
      <c r="B22" s="254" t="s">
        <v>2447</v>
      </c>
      <c r="C22" s="1383">
        <f ca="1">ROUND(SUM(C23:C25),0)</f>
        <v>357915</v>
      </c>
      <c r="D22" s="279">
        <f ca="1">C26</f>
        <v>4.0000000000000002E-4</v>
      </c>
      <c r="E22" s="280" t="s">
        <v>2444</v>
      </c>
      <c r="F22" s="281">
        <f ca="1">'数据-取费表'!B40</f>
        <v>4.3499999999999997E-2</v>
      </c>
      <c r="G22" s="278" t="str">
        <f>IF('数据-取费表'!B22&lt;=1,"单利计息","复利计息")</f>
        <v>单利计息</v>
      </c>
    </row>
    <row r="23" spans="1:7" s="258" customFormat="1" ht="13.5" customHeight="1">
      <c r="A23" s="954" t="s">
        <v>2337</v>
      </c>
      <c r="B23" s="259" t="s">
        <v>2448</v>
      </c>
      <c r="C23" s="1384">
        <f ca="1">ROUND(IF('数据-取费表'!B22&lt;=1,C5*F22*'数据-取费表'!B22,C5*(POWER((1+F22),'数据-取费表'!B22)-1)),0)</f>
        <v>34542</v>
      </c>
      <c r="D23" s="282"/>
      <c r="E23" s="282"/>
      <c r="F23" s="283"/>
      <c r="G23" s="284" t="s">
        <v>2449</v>
      </c>
    </row>
    <row r="24" spans="1:7" s="258" customFormat="1" ht="13.5" customHeight="1">
      <c r="A24" s="954" t="s">
        <v>2339</v>
      </c>
      <c r="B24" s="259" t="s">
        <v>2450</v>
      </c>
      <c r="C24" s="1384">
        <f ca="1">ROUND(IF('数据-取费表'!B22&lt;=1,C19*F22*('数据-取费表'!B19/2+'数据-取费表'!B20),C19*(POWER((1+F22),('数据-取费表'!B19/2+'数据-取费表'!B20))-1)),0)</f>
        <v>319829</v>
      </c>
      <c r="D24" s="282"/>
      <c r="E24" s="282"/>
      <c r="F24" s="283"/>
      <c r="G24" s="284" t="s">
        <v>2451</v>
      </c>
    </row>
    <row r="25" spans="1:7" s="258" customFormat="1" ht="24">
      <c r="A25" s="954" t="s">
        <v>2341</v>
      </c>
      <c r="B25" s="259" t="s">
        <v>2452</v>
      </c>
      <c r="C25" s="1384">
        <f ca="1">ROUND(IF('数据-取费表'!B22&lt;=1,C20*F22*'数据-取费表'!B22/2,C20*(POWER((1+F22),'数据-取费表'!B22/2)-1)),0)</f>
        <v>3544</v>
      </c>
      <c r="D25" s="282"/>
      <c r="E25" s="285"/>
      <c r="F25" s="283"/>
      <c r="G25" s="286" t="s">
        <v>2453</v>
      </c>
    </row>
    <row r="26" spans="1:7" s="258" customFormat="1">
      <c r="A26" s="954" t="s">
        <v>795</v>
      </c>
      <c r="B26" s="259" t="s">
        <v>2376</v>
      </c>
      <c r="C26" s="282">
        <f ca="1">ROUND(IF('数据-取费表'!B22&lt;=1,F21*F22*'数据-取费表'!B22/2,F21*(POWER((1+F22),'数据-取费表'!B22/2)-1)),4)</f>
        <v>4.0000000000000002E-4</v>
      </c>
      <c r="D26" s="282"/>
      <c r="E26" s="285"/>
      <c r="F26" s="283"/>
      <c r="G26" s="287"/>
    </row>
    <row r="27" spans="1:7" s="258" customFormat="1" ht="26.4">
      <c r="A27" s="299" t="s">
        <v>2377</v>
      </c>
      <c r="B27" s="288" t="s">
        <v>2378</v>
      </c>
      <c r="C27" s="289">
        <f ca="1">C28</f>
        <v>415469</v>
      </c>
      <c r="D27" s="279">
        <f ca="1">C29</f>
        <v>1E-3</v>
      </c>
      <c r="E27" s="280" t="s">
        <v>2379</v>
      </c>
      <c r="F27" s="290">
        <f ca="1">IF(B1="",'数据-取费表'!Q16,INDIRECT("'数据-取费表'!q"&amp;$G$1))</f>
        <v>0.05</v>
      </c>
      <c r="G27" s="291" t="s">
        <v>2380</v>
      </c>
    </row>
    <row r="28" spans="1:7" s="258" customFormat="1" ht="13.5" customHeight="1">
      <c r="A28" s="954" t="s">
        <v>791</v>
      </c>
      <c r="B28" s="292" t="s">
        <v>2381</v>
      </c>
      <c r="C28" s="293">
        <f ca="1">ROUND((C5+C19+C20)*F27,0)</f>
        <v>415469</v>
      </c>
      <c r="D28" s="279"/>
      <c r="E28" s="280"/>
      <c r="F28" s="290"/>
      <c r="G28" s="291"/>
    </row>
    <row r="29" spans="1:7" s="258" customFormat="1" ht="13.5" customHeight="1">
      <c r="A29" s="954" t="s">
        <v>792</v>
      </c>
      <c r="B29" s="292" t="s">
        <v>2382</v>
      </c>
      <c r="C29" s="282">
        <f ca="1">ROUND(C21*F27,4)</f>
        <v>1E-3</v>
      </c>
      <c r="D29" s="279"/>
      <c r="E29" s="280"/>
      <c r="F29" s="290"/>
      <c r="G29" s="291"/>
    </row>
    <row r="30" spans="1:7" s="258" customFormat="1" ht="13.5" customHeight="1">
      <c r="A30" s="299" t="s">
        <v>2383</v>
      </c>
      <c r="B30" s="254" t="s">
        <v>2384</v>
      </c>
      <c r="C30" s="279">
        <f>ROUND(F30/(1+'数据-取费表'!C42),4)</f>
        <v>5.2400000000000002E-2</v>
      </c>
      <c r="D30" s="280" t="s">
        <v>2379</v>
      </c>
      <c r="E30" s="285"/>
      <c r="F30" s="281">
        <f>'数据-取费表'!B41</f>
        <v>5.5000000000000007E-2</v>
      </c>
      <c r="G30" s="278" t="s">
        <v>2385</v>
      </c>
    </row>
    <row r="31" spans="1:7" ht="16.5" customHeight="1">
      <c r="A31" s="253">
        <v>1</v>
      </c>
      <c r="B31" s="254" t="s">
        <v>2386</v>
      </c>
      <c r="C31" s="255">
        <f ca="1">ROUND((C5+C19+C20+C22+C27)/(1-C21-D22-D27-C30),0)</f>
        <v>9806491</v>
      </c>
      <c r="D31" s="274"/>
      <c r="E31" s="255"/>
      <c r="F31" s="294"/>
      <c r="G31" s="278" t="s">
        <v>2387</v>
      </c>
    </row>
    <row r="32" spans="1:7" s="252" customFormat="1" ht="16.2">
      <c r="A32" s="296" t="s">
        <v>2454</v>
      </c>
      <c r="B32" s="297"/>
      <c r="C32" s="297"/>
      <c r="D32" s="297"/>
      <c r="E32" s="297"/>
      <c r="F32" s="297"/>
      <c r="G32" s="298"/>
    </row>
    <row r="33" spans="1:7" s="258" customFormat="1" ht="13.5" customHeight="1">
      <c r="A33" s="299" t="s">
        <v>782</v>
      </c>
      <c r="B33" s="254" t="s">
        <v>2455</v>
      </c>
      <c r="C33" s="300">
        <f ca="1">SUM(C34:C38)</f>
        <v>76501722</v>
      </c>
      <c r="D33" s="276"/>
      <c r="E33" s="256"/>
      <c r="F33" s="285"/>
      <c r="G33" s="278"/>
    </row>
    <row r="34" spans="1:7" s="302" customFormat="1" ht="13.5" customHeight="1">
      <c r="A34" s="954" t="s">
        <v>791</v>
      </c>
      <c r="B34" s="259" t="s">
        <v>2390</v>
      </c>
      <c r="C34" s="264">
        <f ca="1">ROUND(IF(B1="",SUMPRODUCT('数据-取费表'!K6:K14,'数据-取费表'!L6:L14),INDIRECT("'数据-取费表'!l"&amp;$G$1)*INDIRECT("'数据-取费表'!k"&amp;$G$1)+'数据-取费表'!L14*INDIRECT("'数据-取费表'!S"&amp;$G$1)),0)</f>
        <v>66171600</v>
      </c>
      <c r="D34" s="261"/>
      <c r="E34" s="264"/>
      <c r="F34" s="301"/>
      <c r="G34" s="263"/>
    </row>
    <row r="35" spans="1:7" ht="13.5" customHeight="1">
      <c r="A35" s="954" t="s">
        <v>796</v>
      </c>
      <c r="B35" s="259" t="s">
        <v>2392</v>
      </c>
      <c r="C35" s="264">
        <f ca="1">ROUND(C34*F35,0)</f>
        <v>1985148</v>
      </c>
      <c r="D35" s="264"/>
      <c r="E35" s="264"/>
      <c r="F35" s="303">
        <f>'数据-取费表'!B33</f>
        <v>0.03</v>
      </c>
      <c r="G35" s="263" t="s">
        <v>2393</v>
      </c>
    </row>
    <row r="36" spans="1:7" ht="24">
      <c r="A36" s="954" t="s">
        <v>797</v>
      </c>
      <c r="B36" s="259" t="s">
        <v>2394</v>
      </c>
      <c r="C36" s="264">
        <f ca="1">ROUND(IF(B1="",SUM('数据-取费表'!AP6:AP13)*F36,IF(INDIRECT("'数据-取费表'!c"&amp;$G$1)="住宅",INDIRECT("'数据-取费表'!k"&amp;$G$1)*INDIRECT("'数据-取费表'!l"&amp;$G$1)*F36,0)),0)</f>
        <v>0</v>
      </c>
      <c r="D36" s="264"/>
      <c r="E36" s="264"/>
      <c r="F36" s="303">
        <f>'数据-取费表'!B34</f>
        <v>0</v>
      </c>
      <c r="G36" s="304" t="s">
        <v>2395</v>
      </c>
    </row>
    <row r="37" spans="1:7" s="302" customFormat="1" ht="13.5" customHeight="1">
      <c r="A37" s="954" t="s">
        <v>798</v>
      </c>
      <c r="B37" s="259" t="s">
        <v>2396</v>
      </c>
      <c r="C37" s="293">
        <f ca="1">ROUND(E37*D37,0)</f>
        <v>7352400</v>
      </c>
      <c r="D37" s="261">
        <f ca="1">D19</f>
        <v>36762</v>
      </c>
      <c r="E37" s="293">
        <f>'数据-取费表'!B35</f>
        <v>200</v>
      </c>
      <c r="F37" s="303"/>
      <c r="G37" s="305"/>
    </row>
    <row r="38" spans="1:7" ht="13.5" customHeight="1">
      <c r="A38" s="954" t="s">
        <v>799</v>
      </c>
      <c r="B38" s="259" t="s">
        <v>2398</v>
      </c>
      <c r="C38" s="264">
        <f ca="1">ROUND(C34*F38,0)</f>
        <v>992574</v>
      </c>
      <c r="D38" s="264"/>
      <c r="E38" s="264"/>
      <c r="F38" s="303">
        <f>'数据-取费表'!B36</f>
        <v>1.4999999999999999E-2</v>
      </c>
      <c r="G38" s="263" t="s">
        <v>2393</v>
      </c>
    </row>
    <row r="39" spans="1:7" s="258" customFormat="1" ht="13.5" customHeight="1">
      <c r="A39" s="299" t="s">
        <v>2399</v>
      </c>
      <c r="B39" s="254" t="s">
        <v>2400</v>
      </c>
      <c r="C39" s="276">
        <f ca="1">ROUND(C33*F20,0)</f>
        <v>1530034</v>
      </c>
      <c r="D39" s="276"/>
      <c r="E39" s="276"/>
      <c r="F39" s="277"/>
      <c r="G39" s="278" t="s">
        <v>2401</v>
      </c>
    </row>
    <row r="40" spans="1:7" s="258" customFormat="1" ht="13.5" customHeight="1">
      <c r="A40" s="299" t="s">
        <v>2402</v>
      </c>
      <c r="B40" s="254" t="s">
        <v>2403</v>
      </c>
      <c r="C40" s="1731">
        <f>F21</f>
        <v>0.02</v>
      </c>
      <c r="D40" s="280" t="s">
        <v>2404</v>
      </c>
      <c r="E40" s="276"/>
      <c r="F40" s="277"/>
      <c r="G40" s="278" t="s">
        <v>2405</v>
      </c>
    </row>
    <row r="41" spans="1:7" s="258" customFormat="1" ht="13.5" customHeight="1">
      <c r="A41" s="299" t="s">
        <v>2406</v>
      </c>
      <c r="B41" s="254" t="s">
        <v>2407</v>
      </c>
      <c r="C41" s="276">
        <f ca="1">ROUND(SUM(C42:C43),0)</f>
        <v>1697190</v>
      </c>
      <c r="D41" s="279">
        <f ca="1">C44</f>
        <v>4.0000000000000002E-4</v>
      </c>
      <c r="E41" s="280" t="s">
        <v>2404</v>
      </c>
      <c r="F41" s="281"/>
      <c r="G41" s="278" t="str">
        <f>IF('数据-取费表'!B22&lt;=1,"单利计息","复利计息")</f>
        <v>单利计息</v>
      </c>
    </row>
    <row r="42" spans="1:7" ht="13.5" customHeight="1">
      <c r="A42" s="954" t="s">
        <v>791</v>
      </c>
      <c r="B42" s="259" t="s">
        <v>2408</v>
      </c>
      <c r="C42" s="282">
        <f ca="1">ROUND(IF('数据-取费表'!B22&lt;=1,C33*F22*'数据-取费表'!B20/2,C33*(POWER((1+F22),'数据-取费表'!B20/2)-1)),0)</f>
        <v>1663912</v>
      </c>
      <c r="D42" s="282"/>
      <c r="E42" s="282"/>
      <c r="F42" s="283"/>
      <c r="G42" s="3144" t="s">
        <v>2456</v>
      </c>
    </row>
    <row r="43" spans="1:7" ht="13.5" customHeight="1">
      <c r="A43" s="954" t="s">
        <v>792</v>
      </c>
      <c r="B43" s="259" t="s">
        <v>2410</v>
      </c>
      <c r="C43" s="282">
        <f ca="1">ROUND(IF('数据-取费表'!B22&lt;=1,C39*F22*'数据-取费表'!B20/2,C39*(POWER((1+F22),'数据-取费表'!B20/2)-1)),0)</f>
        <v>33278</v>
      </c>
      <c r="D43" s="282"/>
      <c r="E43" s="282"/>
      <c r="F43" s="283"/>
      <c r="G43" s="3145"/>
    </row>
    <row r="44" spans="1:7" ht="13.5" customHeight="1">
      <c r="A44" s="954" t="s">
        <v>793</v>
      </c>
      <c r="B44" s="259" t="s">
        <v>2411</v>
      </c>
      <c r="C44" s="282">
        <f ca="1">ROUND(IF('数据-取费表'!B22&lt;=1,C40*F22*'数据-取费表'!B20/2,C40*(POWER((1+F22),'数据-取费表'!B20/2)-1)),4)</f>
        <v>4.0000000000000002E-4</v>
      </c>
      <c r="D44" s="282"/>
      <c r="E44" s="282"/>
      <c r="F44" s="283"/>
      <c r="G44" s="3146"/>
    </row>
    <row r="45" spans="1:7" s="258" customFormat="1" ht="13.5" customHeight="1">
      <c r="A45" s="299" t="s">
        <v>2412</v>
      </c>
      <c r="B45" s="288" t="s">
        <v>2378</v>
      </c>
      <c r="C45" s="289">
        <f ca="1">C46</f>
        <v>3901588</v>
      </c>
      <c r="D45" s="279">
        <f ca="1">C47</f>
        <v>1E-3</v>
      </c>
      <c r="E45" s="280" t="s">
        <v>2404</v>
      </c>
      <c r="F45" s="290"/>
      <c r="G45" s="291" t="s">
        <v>2413</v>
      </c>
    </row>
    <row r="46" spans="1:7" s="258" customFormat="1" ht="13.5" customHeight="1">
      <c r="A46" s="954" t="s">
        <v>791</v>
      </c>
      <c r="B46" s="292" t="s">
        <v>2414</v>
      </c>
      <c r="C46" s="293">
        <f ca="1">ROUND((C33+C39)*F27,0)</f>
        <v>3901588</v>
      </c>
      <c r="D46" s="307"/>
      <c r="E46" s="280"/>
      <c r="F46" s="290"/>
      <c r="G46" s="291"/>
    </row>
    <row r="47" spans="1:7" s="258" customFormat="1" ht="13.5" customHeight="1">
      <c r="A47" s="954" t="s">
        <v>792</v>
      </c>
      <c r="B47" s="292" t="s">
        <v>2415</v>
      </c>
      <c r="C47" s="282">
        <f ca="1">ROUND(C40*F27,4)</f>
        <v>1E-3</v>
      </c>
      <c r="D47" s="307"/>
      <c r="E47" s="280"/>
      <c r="F47" s="290"/>
      <c r="G47" s="291"/>
    </row>
    <row r="48" spans="1:7" s="258" customFormat="1" ht="13.5" customHeight="1">
      <c r="A48" s="299" t="s">
        <v>2377</v>
      </c>
      <c r="B48" s="254" t="s">
        <v>2416</v>
      </c>
      <c r="C48" s="306">
        <f>ROUND(F30/(1+'数据-取费表'!C42),4)</f>
        <v>5.2400000000000002E-2</v>
      </c>
      <c r="D48" s="280" t="s">
        <v>2404</v>
      </c>
      <c r="E48" s="276"/>
      <c r="F48" s="281"/>
      <c r="G48" s="278" t="s">
        <v>2417</v>
      </c>
    </row>
    <row r="49" spans="1:7" ht="16.5" customHeight="1">
      <c r="A49" s="299" t="s">
        <v>2383</v>
      </c>
      <c r="B49" s="254" t="s">
        <v>2457</v>
      </c>
      <c r="C49" s="276">
        <f ca="1">ROUND((C33+C39+C41+C45)/(1-C40-D41-D45-C48),0)</f>
        <v>90294250</v>
      </c>
      <c r="D49" s="276"/>
      <c r="E49" s="276"/>
      <c r="F49" s="308"/>
      <c r="G49" s="278" t="s">
        <v>2419</v>
      </c>
    </row>
    <row r="50" spans="1:7" s="302" customFormat="1">
      <c r="A50" s="299" t="s">
        <v>2420</v>
      </c>
      <c r="B50" s="254" t="s">
        <v>2421</v>
      </c>
      <c r="C50" s="276"/>
      <c r="D50" s="276"/>
      <c r="E50" s="276"/>
      <c r="F50" s="308">
        <f>IF('数据-取费表'!B24=0,'数据-取费表'!N16,1)</f>
        <v>0.9</v>
      </c>
      <c r="G50" s="291"/>
    </row>
    <row r="51" spans="1:7" ht="16.5" customHeight="1">
      <c r="A51" s="299" t="s">
        <v>2423</v>
      </c>
      <c r="B51" s="254" t="s">
        <v>2458</v>
      </c>
      <c r="C51" s="276">
        <f ca="1">ROUND(C49*F50,0)</f>
        <v>81264825</v>
      </c>
      <c r="D51" s="276"/>
      <c r="E51" s="276"/>
      <c r="F51" s="308"/>
      <c r="G51" s="278" t="s">
        <v>2425</v>
      </c>
    </row>
    <row r="52" spans="1:7" s="252" customFormat="1" ht="16.8" thickBot="1">
      <c r="A52" s="309" t="s">
        <v>2426</v>
      </c>
      <c r="B52" s="310"/>
      <c r="C52" s="311">
        <f ca="1">C31+C51</f>
        <v>91071316</v>
      </c>
      <c r="D52" s="310"/>
      <c r="E52" s="310"/>
      <c r="F52" s="310"/>
      <c r="G52" s="312"/>
    </row>
    <row r="55" spans="1:7" ht="15">
      <c r="B55" s="314" t="s">
        <v>2427</v>
      </c>
      <c r="C55" s="315"/>
    </row>
    <row r="56" spans="1:7">
      <c r="B56" s="317" t="s">
        <v>1513</v>
      </c>
      <c r="C56" s="319">
        <f ca="1">1-C57</f>
        <v>0.10799999999999998</v>
      </c>
    </row>
    <row r="57" spans="1:7">
      <c r="B57" s="317" t="s">
        <v>1514</v>
      </c>
      <c r="C57" s="318">
        <f ca="1">ROUND(C51/C52,3)</f>
        <v>0.89200000000000002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640625" defaultRowHeight="13.2"/>
  <cols>
    <col min="1" max="1" width="9.77734375" style="798" customWidth="1"/>
    <col min="2" max="2" width="25.77734375" style="955" customWidth="1"/>
    <col min="3" max="3" width="10.33203125" style="998" customWidth="1"/>
    <col min="4" max="4" width="9.88671875" style="955" customWidth="1"/>
    <col min="5" max="5" width="9.44140625" style="798" customWidth="1"/>
    <col min="6" max="6" width="10.109375" style="955" customWidth="1"/>
    <col min="7" max="7" width="10.77734375" style="955" customWidth="1"/>
    <col min="8" max="8" width="10" style="955" customWidth="1"/>
    <col min="9" max="11" width="9.44140625" style="955" customWidth="1"/>
    <col min="12" max="12" width="9" style="955" customWidth="1"/>
    <col min="13" max="13" width="10.44140625" style="955" bestFit="1" customWidth="1"/>
    <col min="14" max="254" width="9" style="955" customWidth="1"/>
    <col min="255" max="16384" width="6.6640625" style="955"/>
  </cols>
  <sheetData>
    <row r="1" spans="1:33" ht="21">
      <c r="A1" s="240" t="s">
        <v>2459</v>
      </c>
      <c r="B1" s="1584"/>
      <c r="C1" s="1585"/>
      <c r="D1" s="1583"/>
      <c r="E1" s="320"/>
      <c r="F1" s="320"/>
      <c r="G1" s="1584"/>
      <c r="H1" s="320"/>
      <c r="I1" s="320"/>
      <c r="J1" s="320"/>
      <c r="K1" s="320">
        <f>MATCH(C1,'数据-取费表'!A6:A16,0)+5</f>
        <v>7</v>
      </c>
    </row>
    <row r="2" spans="1:33" ht="18" customHeight="1">
      <c r="A2" s="245" t="s">
        <v>2327</v>
      </c>
      <c r="B2" s="248">
        <f ca="1">C32</f>
        <v>0</v>
      </c>
      <c r="C2" s="320" t="s">
        <v>2460</v>
      </c>
      <c r="D2" s="320"/>
      <c r="E2" s="320"/>
      <c r="F2" s="320"/>
      <c r="G2" s="320"/>
      <c r="H2" s="320"/>
      <c r="I2" s="320"/>
      <c r="J2" s="320"/>
      <c r="K2" s="320"/>
    </row>
    <row r="3" spans="1:33" ht="18" customHeight="1" thickBot="1">
      <c r="A3" s="247" t="s">
        <v>2329</v>
      </c>
      <c r="B3" s="248">
        <f ca="1">ROUND(B2*10000/IF(C1="",'数据-汇总表'!E3,INDIRECT("'数据-取费表'!K"&amp;$K$1)),0)</f>
        <v>0</v>
      </c>
      <c r="C3" s="320" t="s">
        <v>2461</v>
      </c>
      <c r="D3" s="320"/>
      <c r="E3" s="320"/>
      <c r="F3" s="320"/>
      <c r="G3" s="320"/>
      <c r="H3" s="320"/>
      <c r="I3" s="320"/>
      <c r="J3" s="320"/>
      <c r="K3" s="320"/>
    </row>
    <row r="4" spans="1:33" s="959" customFormat="1" ht="16.5" customHeight="1">
      <c r="A4" s="956" t="s">
        <v>2462</v>
      </c>
      <c r="B4" s="957"/>
      <c r="C4" s="999">
        <f>SUM(C8:K8)</f>
        <v>0</v>
      </c>
      <c r="D4" s="957"/>
      <c r="E4" s="957"/>
      <c r="F4" s="957"/>
      <c r="G4" s="957"/>
      <c r="H4" s="957"/>
      <c r="I4" s="957"/>
      <c r="J4" s="957"/>
      <c r="K4" s="958"/>
    </row>
    <row r="5" spans="1:33" s="963" customFormat="1" ht="25.2">
      <c r="A5" s="960" t="s">
        <v>2463</v>
      </c>
      <c r="B5" s="961" t="s">
        <v>2464</v>
      </c>
      <c r="C5" s="2558" t="s">
        <v>2465</v>
      </c>
      <c r="D5" s="2558" t="s">
        <v>2466</v>
      </c>
      <c r="E5" s="2558" t="s">
        <v>2467</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2471</v>
      </c>
      <c r="B8" s="177" t="s">
        <v>2472</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1334</v>
      </c>
      <c r="B11" s="975" t="s">
        <v>2480</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2481</v>
      </c>
      <c r="C12" s="24">
        <f ca="1">ROUND(C11*F12,0)</f>
        <v>0</v>
      </c>
      <c r="D12" s="976"/>
      <c r="E12" s="375"/>
      <c r="F12" s="979">
        <f>'数据-取费表'!B33</f>
        <v>0.03</v>
      </c>
      <c r="G12" s="8" t="s">
        <v>2482</v>
      </c>
      <c r="H12" s="971"/>
      <c r="I12" s="971"/>
      <c r="J12" s="971"/>
      <c r="K12" s="972"/>
    </row>
    <row r="13" spans="1:33" s="978" customFormat="1" ht="13.5" customHeight="1">
      <c r="A13" s="974" t="s">
        <v>1336</v>
      </c>
      <c r="B13" s="975" t="s">
        <v>2483</v>
      </c>
      <c r="C13" s="24">
        <f ca="1">ROUND(IF(C1="",SUMIF('数据-取费表'!C:C,"住宅",'数据-取费表'!P:P)*F13,IF(INDIRECT("'数据-取费表'!c"&amp;$K$1)="住宅",INDIRECT("'数据-取费表'!P"&amp;$K$1)*F13,0)),0)</f>
        <v>0</v>
      </c>
      <c r="D13" s="1036"/>
      <c r="E13" s="375"/>
      <c r="F13" s="979">
        <f>'数据-取费表'!B34</f>
        <v>0</v>
      </c>
      <c r="G13" s="8" t="s">
        <v>2484</v>
      </c>
      <c r="H13" s="971"/>
      <c r="I13" s="971"/>
      <c r="J13" s="971"/>
      <c r="K13" s="972"/>
    </row>
    <row r="14" spans="1:33" s="980" customFormat="1" ht="13.5" customHeight="1">
      <c r="A14" s="974" t="s">
        <v>1337</v>
      </c>
      <c r="B14" s="975" t="s">
        <v>2485</v>
      </c>
      <c r="C14" s="24">
        <f ca="1">ROUND(D14*E14*F11/10000,0)</f>
        <v>0</v>
      </c>
      <c r="D14" s="1036">
        <f ca="1">IF(C1="",'数据-汇总表'!E3,INDIRECT("'数据-取费表'!K"&amp;$K$1)+INDIRECT("'数据-取费表'!S"&amp;$K$1))</f>
        <v>36762</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2487</v>
      </c>
      <c r="C15" s="986">
        <f ca="1">ROUND(C11*F15,0)</f>
        <v>0</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36762</v>
      </c>
      <c r="E17" s="24">
        <f>'数据-取费表'!B32</f>
        <v>0</v>
      </c>
      <c r="F17" s="981"/>
      <c r="G17" s="140" t="s">
        <v>2491</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2492</v>
      </c>
      <c r="C18" s="24">
        <f ca="1">C19+C20-IF(C1="",'数据-取费表'!B29,IF(G18="已全部缴纳",C19+C20,H18))</f>
        <v>0</v>
      </c>
      <c r="D18" s="1036"/>
      <c r="E18" s="24"/>
      <c r="F18" s="979"/>
      <c r="G18" s="2560"/>
      <c r="H18" s="1580"/>
      <c r="I18" s="2561" t="s">
        <v>2493</v>
      </c>
      <c r="J18" s="982"/>
      <c r="K18" s="983"/>
    </row>
    <row r="19" spans="1:33" s="978" customFormat="1" ht="13.5" customHeight="1">
      <c r="A19" s="974" t="s">
        <v>805</v>
      </c>
      <c r="B19" s="975" t="s">
        <v>2494</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2495</v>
      </c>
      <c r="C20" s="24">
        <f ca="1">ROUND(D20*E20/10000,0)</f>
        <v>79</v>
      </c>
      <c r="D20" s="1036">
        <f ca="1">IF(C1="",'数据-汇总表'!E6,IF(INDIRECT("'数据-取费表'!c"&amp;$K$1)="住宅",INDIRECT("'数据-取费表'!s"&amp;$K$1),INDIRECT("'数据-取费表'!k"&amp;$K$1)+INDIRECT("'数据-取费表'!s"&amp;$K$1)))</f>
        <v>36762</v>
      </c>
      <c r="E20" s="24">
        <f>'数据-取费表'!B28</f>
        <v>21.6</v>
      </c>
      <c r="F20" s="979"/>
      <c r="G20" s="15"/>
      <c r="H20" s="984"/>
      <c r="I20" s="984"/>
      <c r="J20" s="984"/>
      <c r="K20" s="985"/>
    </row>
    <row r="21" spans="1:33" s="978" customFormat="1" ht="13.5" customHeight="1">
      <c r="A21" s="964" t="s">
        <v>802</v>
      </c>
      <c r="B21" s="988" t="s">
        <v>2496</v>
      </c>
      <c r="C21" s="989">
        <f ca="1">C16+C17+C18</f>
        <v>0</v>
      </c>
      <c r="D21" s="990"/>
      <c r="E21" s="325"/>
      <c r="F21" s="325"/>
      <c r="G21" s="140" t="s">
        <v>2497</v>
      </c>
      <c r="H21" s="982"/>
      <c r="I21" s="982"/>
      <c r="J21" s="982"/>
      <c r="K21" s="983"/>
    </row>
    <row r="22" spans="1:33" s="978" customFormat="1" ht="13.5" customHeight="1">
      <c r="A22" s="964" t="s">
        <v>2469</v>
      </c>
      <c r="B22" s="988" t="s">
        <v>2498</v>
      </c>
      <c r="C22" s="989">
        <f ca="1">ROUND(C21*F22,0)</f>
        <v>0</v>
      </c>
      <c r="D22" s="325"/>
      <c r="E22" s="325"/>
      <c r="F22" s="991">
        <f>'数据-取费表'!B37</f>
        <v>0.02</v>
      </c>
      <c r="G22" s="8" t="s">
        <v>2499</v>
      </c>
      <c r="H22" s="971"/>
      <c r="I22" s="971"/>
      <c r="J22" s="971"/>
      <c r="K22" s="972"/>
    </row>
    <row r="23" spans="1:33" s="978" customFormat="1" ht="13.5" customHeight="1">
      <c r="A23" s="964" t="s">
        <v>2471</v>
      </c>
      <c r="B23" s="988" t="s">
        <v>2500</v>
      </c>
      <c r="C23" s="989">
        <f ca="1">ROUND(C4*F23*F11,0)</f>
        <v>0</v>
      </c>
      <c r="D23" s="325"/>
      <c r="E23" s="325"/>
      <c r="F23" s="991">
        <f>'数据-取费表'!B38</f>
        <v>0.02</v>
      </c>
      <c r="G23" s="8" t="s">
        <v>2501</v>
      </c>
      <c r="H23" s="971"/>
      <c r="I23" s="971"/>
      <c r="J23" s="971"/>
      <c r="K23" s="972"/>
    </row>
    <row r="24" spans="1:33" s="978" customFormat="1" ht="13.5" customHeight="1">
      <c r="A24" s="964" t="s">
        <v>2502</v>
      </c>
      <c r="B24" s="988" t="s">
        <v>2503</v>
      </c>
      <c r="C24" s="324">
        <f>ROUND(F24/(1+'数据-取费表'!C42),4)</f>
        <v>2.9000000000000001E-2</v>
      </c>
      <c r="D24" s="325" t="s">
        <v>15</v>
      </c>
      <c r="E24" s="325"/>
      <c r="F24" s="991">
        <f>'数据-取费表'!B48+'数据-取费表'!B49</f>
        <v>3.0499999999999999E-2</v>
      </c>
      <c r="G24" s="8" t="s">
        <v>2504</v>
      </c>
      <c r="H24" s="993"/>
      <c r="I24" s="993"/>
      <c r="J24" s="993"/>
      <c r="K24" s="994"/>
    </row>
    <row r="25" spans="1:33" s="978" customFormat="1" ht="13.5" customHeight="1">
      <c r="A25" s="964" t="s">
        <v>2505</v>
      </c>
      <c r="B25" s="990" t="s">
        <v>2506</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2508</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2509</v>
      </c>
      <c r="B28" s="2563" t="s">
        <v>2510</v>
      </c>
      <c r="C28" s="331">
        <f ca="1">C30</f>
        <v>0</v>
      </c>
      <c r="D28" s="324">
        <f ca="1">C29</f>
        <v>0</v>
      </c>
      <c r="E28" s="326" t="s">
        <v>15</v>
      </c>
      <c r="F28" s="332">
        <f ca="1">IF(C1="",'数据-取费表'!Q16,INDIRECT("'数据-取费表'!q"&amp;$K$1))</f>
        <v>0.05</v>
      </c>
      <c r="G28" s="992"/>
      <c r="H28" s="993"/>
      <c r="I28" s="993"/>
      <c r="J28" s="993"/>
      <c r="K28" s="994"/>
    </row>
    <row r="29" spans="1:33" s="335" customFormat="1" ht="13.5" customHeight="1">
      <c r="A29" s="974" t="s">
        <v>803</v>
      </c>
      <c r="B29" s="997" t="s">
        <v>2511</v>
      </c>
      <c r="C29" s="328">
        <f ca="1">ROUND((1+C24)*F28*'数据-取费表'!B24/'数据-取费表'!B20,4)</f>
        <v>0</v>
      </c>
      <c r="D29" s="328"/>
      <c r="E29" s="329"/>
      <c r="F29" s="334"/>
      <c r="G29" s="140" t="s">
        <v>2512</v>
      </c>
      <c r="H29" s="982"/>
      <c r="I29" s="982"/>
      <c r="J29" s="982"/>
      <c r="K29" s="983"/>
    </row>
    <row r="30" spans="1:33" s="335" customFormat="1" ht="13.5" customHeight="1">
      <c r="A30" s="974" t="s">
        <v>804</v>
      </c>
      <c r="B30" s="997" t="s">
        <v>2513</v>
      </c>
      <c r="C30" s="336">
        <f ca="1">ROUND((C21+C22+C23)*F28,0)</f>
        <v>0</v>
      </c>
      <c r="D30" s="328"/>
      <c r="E30" s="329"/>
      <c r="F30" s="334"/>
      <c r="G30" s="140"/>
      <c r="H30" s="982"/>
      <c r="I30" s="982"/>
      <c r="J30" s="982"/>
      <c r="K30" s="983"/>
    </row>
    <row r="31" spans="1:33" s="978" customFormat="1" ht="13.5" customHeight="1" thickBot="1">
      <c r="A31" s="2564" t="s">
        <v>2514</v>
      </c>
      <c r="B31" s="1008" t="s">
        <v>2515</v>
      </c>
      <c r="C31" s="1009">
        <f>ROUND(C4*F31/(1+'数据-取费表'!C42),0)</f>
        <v>0</v>
      </c>
      <c r="D31" s="1010"/>
      <c r="E31" s="1011"/>
      <c r="F31" s="1012">
        <f>'数据-取费表'!B41</f>
        <v>5.5000000000000007E-2</v>
      </c>
      <c r="G31" s="1013" t="s">
        <v>2516</v>
      </c>
      <c r="H31" s="1014"/>
      <c r="I31" s="1014"/>
      <c r="J31" s="1014"/>
      <c r="K31" s="1015"/>
    </row>
    <row r="32" spans="1:33" s="973" customFormat="1" ht="13.5" customHeight="1" thickBot="1">
      <c r="A32" s="1003" t="s">
        <v>2517</v>
      </c>
      <c r="B32" s="1004"/>
      <c r="C32" s="1005">
        <f ca="1">ROUND((C4-C21-C22-C23-C25-C28-C31)/(1+C24+D25+D28),0)</f>
        <v>0</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85" zoomScaleNormal="85" zoomScaleSheetLayoutView="90" workbookViewId="0">
      <selection activeCell="I44" sqref="I4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1589</v>
      </c>
      <c r="B1" s="782"/>
      <c r="C1" s="1840" t="s">
        <v>6</v>
      </c>
      <c r="D1" s="1823" t="s">
        <v>70</v>
      </c>
      <c r="E1" s="1824" t="s">
        <v>1387</v>
      </c>
      <c r="F1" s="1286">
        <f ca="1">J53</f>
        <v>43.87</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f ca="1">C40+J29+L46</f>
        <v>18354</v>
      </c>
      <c r="C2" s="1848" t="s">
        <v>1516</v>
      </c>
      <c r="D2" s="1848"/>
      <c r="E2" s="1849"/>
      <c r="F2" s="1850"/>
      <c r="G2" s="1851"/>
      <c r="H2" s="1843"/>
      <c r="I2" s="1843"/>
      <c r="J2" s="1843"/>
      <c r="K2" s="1844"/>
      <c r="L2" s="1843"/>
      <c r="M2" s="1843"/>
    </row>
    <row r="3" spans="1:37" ht="18" customHeight="1" thickBot="1">
      <c r="A3" s="1852" t="s">
        <v>1517</v>
      </c>
      <c r="B3" s="1853">
        <f ca="1">IF(ISERROR(B2*10000/F43),0,ROUND(B2*10000/F43,0))</f>
        <v>4993</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1210</v>
      </c>
      <c r="D5" s="1825" t="s">
        <v>1402</v>
      </c>
      <c r="E5" s="1296"/>
      <c r="F5" s="1297"/>
      <c r="G5" s="1854"/>
      <c r="H5" s="344">
        <v>1</v>
      </c>
      <c r="I5" s="345" t="s">
        <v>1401</v>
      </c>
      <c r="J5" s="1295">
        <f ca="1">J6+J10+J12</f>
        <v>0</v>
      </c>
      <c r="K5" s="1825" t="s">
        <v>1402</v>
      </c>
      <c r="L5" s="1296"/>
      <c r="M5" s="1297"/>
    </row>
    <row r="6" spans="1:37" ht="18" customHeight="1">
      <c r="A6" s="1294" t="s">
        <v>1035</v>
      </c>
      <c r="B6" s="3149" t="s">
        <v>1403</v>
      </c>
      <c r="C6" s="1299">
        <f ca="1">ROUND(F6*F8*F7*(1-F9)/10000,0)</f>
        <v>1208</v>
      </c>
      <c r="D6" s="164" t="s">
        <v>3032</v>
      </c>
      <c r="E6" s="347" t="s">
        <v>1405</v>
      </c>
      <c r="F6" s="348">
        <f ca="1">INDIRECT("'数据-取费表'!u"&amp;$G$1)</f>
        <v>1</v>
      </c>
      <c r="G6" s="1854"/>
      <c r="H6" s="1294" t="s">
        <v>1035</v>
      </c>
      <c r="I6" s="3149" t="s">
        <v>1403</v>
      </c>
      <c r="J6" s="346">
        <f ca="1">ROUND(M6*M8*M7*(1-M9)/10000,0)</f>
        <v>0</v>
      </c>
      <c r="K6" s="164" t="s">
        <v>3031</v>
      </c>
      <c r="L6" s="347" t="s">
        <v>1405</v>
      </c>
      <c r="M6" s="348">
        <f ca="1">INDIRECT("'数据-取费表'!z"&amp;$G$1)</f>
        <v>0</v>
      </c>
    </row>
    <row r="7" spans="1:37" ht="18" customHeight="1">
      <c r="A7" s="1298"/>
      <c r="B7" s="3150"/>
      <c r="C7" s="1300"/>
      <c r="D7" s="352"/>
      <c r="E7" s="1301" t="s">
        <v>1406</v>
      </c>
      <c r="F7" s="348">
        <f ca="1">IF(INDIRECT("'数据-取费表'!ah"&amp;$G$1)="",INDIRECT("'数据-取费表'!k"&amp;$G$1),INDIRECT("'数据-取费表'!ah"&amp;$G$1))</f>
        <v>36762</v>
      </c>
      <c r="G7" s="1854"/>
      <c r="H7" s="349"/>
      <c r="I7" s="3150"/>
      <c r="J7" s="351"/>
      <c r="K7" s="352"/>
      <c r="L7" s="347" t="s">
        <v>1406</v>
      </c>
      <c r="M7" s="348">
        <f ca="1">F7</f>
        <v>36762</v>
      </c>
    </row>
    <row r="8" spans="1:37" ht="18" customHeight="1">
      <c r="A8" s="349"/>
      <c r="B8" s="3150"/>
      <c r="C8" s="351"/>
      <c r="D8" s="352"/>
      <c r="E8" s="347" t="s">
        <v>1407</v>
      </c>
      <c r="F8" s="348">
        <f ca="1">INDIRECT("'数据-取费表'!ai"&amp;$G$1)</f>
        <v>365</v>
      </c>
      <c r="G8" s="1854"/>
      <c r="H8" s="349"/>
      <c r="I8" s="3150"/>
      <c r="J8" s="351"/>
      <c r="K8" s="352"/>
      <c r="L8" s="347" t="s">
        <v>1407</v>
      </c>
      <c r="M8" s="348">
        <f ca="1">INDIRECT("'数据-取费表'!ai"&amp;$G$1)</f>
        <v>365</v>
      </c>
    </row>
    <row r="9" spans="1:37" ht="18" customHeight="1">
      <c r="A9" s="349"/>
      <c r="B9" s="3151"/>
      <c r="C9" s="351"/>
      <c r="D9" s="352"/>
      <c r="E9" s="347" t="s">
        <v>1408</v>
      </c>
      <c r="F9" s="357">
        <f ca="1">INDIRECT("'数据-取费表'!w"&amp;$G$1)</f>
        <v>0.1</v>
      </c>
      <c r="G9" s="1854"/>
      <c r="H9" s="349"/>
      <c r="I9" s="3151"/>
      <c r="J9" s="351"/>
      <c r="K9" s="352"/>
      <c r="L9" s="358" t="s">
        <v>1408</v>
      </c>
      <c r="M9" s="359">
        <f ca="1">INDIRECT("'数据-取费表'!ab"&amp;$G$1)</f>
        <v>0</v>
      </c>
    </row>
    <row r="10" spans="1:37" ht="18" customHeight="1">
      <c r="A10" s="1294" t="s">
        <v>1039</v>
      </c>
      <c r="B10" s="1826" t="s">
        <v>1409</v>
      </c>
      <c r="C10" s="361">
        <f ca="1">ROUND(IF(F10="押一",C6/12*F11,IF(F10="押二",C6/12*2*F11,IF(F10="押三",C6/12*3*F11,C11*F11))),0)</f>
        <v>2</v>
      </c>
      <c r="D10" s="1827" t="s">
        <v>3041</v>
      </c>
      <c r="E10" s="358" t="s">
        <v>1410</v>
      </c>
      <c r="F10" s="1369" t="s">
        <v>3228</v>
      </c>
      <c r="G10" s="1854"/>
      <c r="H10" s="1294" t="s">
        <v>1039</v>
      </c>
      <c r="I10" s="1826" t="s">
        <v>1409</v>
      </c>
      <c r="J10" s="346">
        <f ca="1">ROUND(IF(M10="押一",J6/12*M11,IF(M10="押二",J6/12*2*M11,IF(M10="押三",J6/12*3*M11,J11*M11))),0)</f>
        <v>0</v>
      </c>
      <c r="K10" s="1827" t="s">
        <v>3040</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8125</v>
      </c>
      <c r="D13" s="1334" t="s">
        <v>1415</v>
      </c>
      <c r="E13" s="1334" t="s">
        <v>1416</v>
      </c>
      <c r="F13" s="1335">
        <f ca="1">INDIRECT("'数据-取费表'!y"&amp;$G$1)</f>
        <v>0.9</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6617</v>
      </c>
      <c r="D14" s="1803" t="s">
        <v>1418</v>
      </c>
      <c r="E14" s="1797"/>
      <c r="F14" s="364"/>
      <c r="G14" s="1854"/>
      <c r="H14" s="1204" t="s">
        <v>1035</v>
      </c>
      <c r="I14" s="347" t="s">
        <v>1419</v>
      </c>
      <c r="J14" s="24">
        <f ca="1">C29</f>
        <v>9028</v>
      </c>
      <c r="K14" s="15"/>
      <c r="L14" s="982"/>
      <c r="M14" s="983"/>
    </row>
    <row r="15" spans="1:37" s="1861" customFormat="1" ht="18" customHeight="1" thickBot="1">
      <c r="A15" s="1204" t="s">
        <v>1036</v>
      </c>
      <c r="B15" s="347" t="s">
        <v>1420</v>
      </c>
      <c r="C15" s="24">
        <f ca="1">ROUND(C14*F15,0)</f>
        <v>199</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219</v>
      </c>
      <c r="K16" s="1340" t="s">
        <v>1425</v>
      </c>
      <c r="L16" s="1341"/>
      <c r="M16" s="1297"/>
    </row>
    <row r="17" spans="1:37" s="1861" customFormat="1" ht="18" customHeight="1">
      <c r="A17" s="1204" t="s">
        <v>1390</v>
      </c>
      <c r="B17" s="347" t="s">
        <v>1426</v>
      </c>
      <c r="C17" s="24">
        <f ca="1">ROUND(F17*(F43+INDIRECT("'数据-取费表'!S"&amp;$G$1))/10000,0)</f>
        <v>735</v>
      </c>
      <c r="D17" s="347" t="s">
        <v>1427</v>
      </c>
      <c r="E17" s="347" t="s">
        <v>1428</v>
      </c>
      <c r="F17" s="26">
        <f>'数据-取费表'!B35</f>
        <v>200</v>
      </c>
      <c r="G17" s="1857"/>
      <c r="H17" s="1204" t="s">
        <v>1035</v>
      </c>
      <c r="I17" s="347" t="s">
        <v>1429</v>
      </c>
      <c r="J17" s="24">
        <f ca="1">ROUND(IF(项目基本情况!B11="自然人",J5*M17,J18+J19+J20),1)</f>
        <v>83.8</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99</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7650</v>
      </c>
      <c r="D19" s="140" t="s">
        <v>1436</v>
      </c>
      <c r="E19" s="1821"/>
      <c r="F19" s="26"/>
      <c r="G19" s="1854"/>
      <c r="H19" s="1204" t="s">
        <v>1036</v>
      </c>
      <c r="I19" s="347" t="s">
        <v>1437</v>
      </c>
      <c r="J19" s="24">
        <f ca="1">IF(K19="按租金收入计税",ROUND(J5*M19,2),ROUND(C29*M19*0.7,2))</f>
        <v>75.84</v>
      </c>
      <c r="K19" s="1831" t="s">
        <v>1438</v>
      </c>
      <c r="L19" s="347" t="s">
        <v>1422</v>
      </c>
      <c r="M19" s="367">
        <f>IF(K19="按租金收入计税",'数据-取费表'!B51,'数据-取费表'!B50)</f>
        <v>1.2E-2</v>
      </c>
    </row>
    <row r="20" spans="1:37" s="1861" customFormat="1" ht="18" customHeight="1">
      <c r="A20" s="1204" t="s">
        <v>1039</v>
      </c>
      <c r="B20" s="347" t="s">
        <v>1439</v>
      </c>
      <c r="C20" s="24">
        <f ca="1">ROUND(C19*F20,0)</f>
        <v>153</v>
      </c>
      <c r="D20" s="369" t="s">
        <v>1440</v>
      </c>
      <c r="E20" s="347" t="s">
        <v>1422</v>
      </c>
      <c r="F20" s="367">
        <f>'数据-取费表'!B37</f>
        <v>0.02</v>
      </c>
      <c r="G20" s="1857"/>
      <c r="H20" s="1204" t="s">
        <v>1389</v>
      </c>
      <c r="I20" s="164" t="s">
        <v>1441</v>
      </c>
      <c r="J20" s="25">
        <f ca="1">ROUND(M20*M21/10000,2)</f>
        <v>7.98</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0.02</v>
      </c>
      <c r="G21" s="1857"/>
      <c r="H21" s="372"/>
      <c r="I21" s="356"/>
      <c r="J21" s="29"/>
      <c r="K21" s="373"/>
      <c r="L21" s="347" t="s">
        <v>1447</v>
      </c>
      <c r="M21" s="348">
        <f ca="1">INDIRECT("'数据-取费表'!r"&amp;$G$1)</f>
        <v>26594.63</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ROUND(J14*M22,1)</f>
        <v>135.4</v>
      </c>
      <c r="K22" s="1801" t="s">
        <v>1450</v>
      </c>
      <c r="L22" s="347" t="s">
        <v>1422</v>
      </c>
      <c r="M22" s="374">
        <f ca="1">INDIRECT("'数据-取费表'!Ak"&amp;$G$1)</f>
        <v>1.4999999999999999E-2</v>
      </c>
    </row>
    <row r="23" spans="1:37" s="1861" customFormat="1" ht="18" customHeight="1">
      <c r="A23" s="1204" t="s">
        <v>1034</v>
      </c>
      <c r="B23" s="347" t="s">
        <v>1451</v>
      </c>
      <c r="C23" s="24">
        <f ca="1">IF('数据-取费表'!B22&lt;=1,ROUND(C19*F24*F23/2,0)+ROUND(C20*F24*F23/2,0),ROUND(C19*(POWER((1+F24),F23/2)-1),0)+ROUND(C20*(POWER((1+F24),F23/2)-1),0))</f>
        <v>169</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ROUND(J13*M23,1)</f>
        <v>0</v>
      </c>
      <c r="K23" s="1801" t="s">
        <v>1454</v>
      </c>
      <c r="L23" s="347" t="s">
        <v>1455</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ROUND(J5*M24,1)</f>
        <v>0</v>
      </c>
      <c r="K24" s="1345" t="s">
        <v>1459</v>
      </c>
      <c r="L24" s="1343" t="s">
        <v>1455</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-219</v>
      </c>
      <c r="K25" s="1348" t="s">
        <v>1464</v>
      </c>
      <c r="L25" s="1349"/>
      <c r="M25" s="1350"/>
    </row>
    <row r="26" spans="1:37">
      <c r="A26" s="1204" t="s">
        <v>1034</v>
      </c>
      <c r="B26" s="347" t="s">
        <v>1465</v>
      </c>
      <c r="C26" s="24">
        <f ca="1">ROUND((C19+C20)*F26,0)</f>
        <v>390</v>
      </c>
      <c r="D26" s="369" t="s">
        <v>1466</v>
      </c>
      <c r="E26" s="358" t="s">
        <v>1467</v>
      </c>
      <c r="F26" s="357">
        <f ca="1">INDIRECT("'数据-取费表'!q"&amp;$G$1)</f>
        <v>0.05</v>
      </c>
      <c r="G26" s="1854"/>
      <c r="H26" s="344" t="s">
        <v>1032</v>
      </c>
      <c r="I26" s="345" t="s">
        <v>1468</v>
      </c>
      <c r="J26" s="346">
        <f ca="1">IF(J5&lt;&gt;0,ROUND(J25*(1-((1+M28)/(1+M26))^M27)/(M26-M28),0),0)</f>
        <v>0</v>
      </c>
      <c r="K26" s="370" t="s">
        <v>1469</v>
      </c>
      <c r="L26" s="347" t="s">
        <v>1470</v>
      </c>
      <c r="M26" s="357">
        <f ca="1">INDIRECT("'数据-取费表'!I"&amp;$G$1)</f>
        <v>5.5E-2</v>
      </c>
    </row>
    <row r="27" spans="1:37" ht="18" customHeight="1">
      <c r="A27" s="1204" t="s">
        <v>1036</v>
      </c>
      <c r="B27" s="347" t="s">
        <v>1471</v>
      </c>
      <c r="C27" s="24">
        <f ca="1">ROUND(F21*F26,4)</f>
        <v>1E-3</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9028</v>
      </c>
      <c r="D29" s="1345"/>
      <c r="E29" s="1343"/>
      <c r="F29" s="1346"/>
      <c r="G29" s="1857"/>
      <c r="H29" s="380" t="s">
        <v>1033</v>
      </c>
      <c r="I29" s="381" t="s">
        <v>1479</v>
      </c>
      <c r="J29" s="382">
        <f ca="1">ROUND(J26/(1+F40)^F41,0)</f>
        <v>0</v>
      </c>
      <c r="K29" s="383" t="s">
        <v>1480</v>
      </c>
      <c r="L29" s="384"/>
      <c r="M29" s="385">
        <f ca="1">INDIRECT("'数据-取费表'!k"&amp;$G$1)</f>
        <v>36762</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382</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216.6</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63.38</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145.19999999999999</v>
      </c>
      <c r="D33" s="1831" t="s">
        <v>3229</v>
      </c>
      <c r="E33" s="347" t="s">
        <v>1422</v>
      </c>
      <c r="F33" s="367">
        <f>IF(D33="按票据","——",IF(D33="按租金收入计税",'数据-取费表'!B51,'数据-取费表'!B50))</f>
        <v>0.12</v>
      </c>
      <c r="G33" s="1854"/>
      <c r="H33" s="1862"/>
      <c r="I33" s="1863"/>
      <c r="J33" s="1864"/>
      <c r="K33" s="1865"/>
      <c r="L33" s="1862"/>
      <c r="M33" s="1862"/>
    </row>
    <row r="34" spans="1:18" ht="18" customHeight="1">
      <c r="A34" s="1294" t="s">
        <v>1389</v>
      </c>
      <c r="B34" s="164" t="s">
        <v>1441</v>
      </c>
      <c r="C34" s="25">
        <f ca="1">IF(项目基本情况!B11="自然人","——",ROUND(F34*F35/10000,2))</f>
        <v>7.98</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26594.63</v>
      </c>
      <c r="G35" s="1854"/>
      <c r="H35" s="745"/>
      <c r="I35" s="1863"/>
      <c r="J35" s="1864"/>
      <c r="K35" s="1865"/>
      <c r="L35" s="1862"/>
      <c r="M35" s="1862"/>
    </row>
    <row r="36" spans="1:18" ht="18" customHeight="1">
      <c r="A36" s="1355" t="s">
        <v>1039</v>
      </c>
      <c r="B36" s="347" t="s">
        <v>1449</v>
      </c>
      <c r="C36" s="24">
        <f ca="1">ROUND(C29*F36,1)</f>
        <v>135.4</v>
      </c>
      <c r="D36" s="1801" t="s">
        <v>1482</v>
      </c>
      <c r="E36" s="347" t="s">
        <v>1422</v>
      </c>
      <c r="F36" s="374">
        <f ca="1">INDIRECT("'数据-取费表'!Ak"&amp;$G$1)</f>
        <v>1.4999999999999999E-2</v>
      </c>
      <c r="G36" s="1854"/>
      <c r="H36" s="1862"/>
      <c r="I36" s="1863"/>
      <c r="J36" s="1864"/>
      <c r="K36" s="751"/>
      <c r="L36" s="1862"/>
      <c r="M36" s="1862"/>
    </row>
    <row r="37" spans="1:18" ht="18" customHeight="1">
      <c r="A37" s="1204" t="s">
        <v>1075</v>
      </c>
      <c r="B37" s="347" t="s">
        <v>1453</v>
      </c>
      <c r="C37" s="24">
        <f ca="1">ROUND(C13*F37,1)</f>
        <v>12.2</v>
      </c>
      <c r="D37" s="1801" t="s">
        <v>1454</v>
      </c>
      <c r="E37" s="347" t="s">
        <v>1455</v>
      </c>
      <c r="F37" s="376">
        <f ca="1">INDIRECT("'数据-取费表'!Al"&amp;$G$1)</f>
        <v>1.5E-3</v>
      </c>
      <c r="G37" s="1854"/>
      <c r="H37" s="1862"/>
      <c r="I37" s="1863"/>
      <c r="J37" s="1864"/>
      <c r="K37" s="751"/>
      <c r="L37" s="1862"/>
      <c r="M37" s="1862"/>
    </row>
    <row r="38" spans="1:18" ht="18" customHeight="1" thickBot="1">
      <c r="A38" s="1342" t="s">
        <v>1393</v>
      </c>
      <c r="B38" s="1343" t="s">
        <v>1439</v>
      </c>
      <c r="C38" s="1344">
        <f ca="1">ROUND(C5*F38,1)</f>
        <v>18.2</v>
      </c>
      <c r="D38" s="1345" t="s">
        <v>1459</v>
      </c>
      <c r="E38" s="1343" t="s">
        <v>1455</v>
      </c>
      <c r="F38" s="1339">
        <f ca="1">INDIRECT("'数据-取费表'!Am"&amp;$G$1)</f>
        <v>1.4999999999999999E-2</v>
      </c>
      <c r="G38" s="1854"/>
      <c r="H38" s="1862"/>
      <c r="I38" s="1863"/>
      <c r="J38" s="1864"/>
      <c r="K38" s="1868"/>
      <c r="L38" s="1862"/>
      <c r="M38" s="1862"/>
    </row>
    <row r="39" spans="1:18" ht="24.6" customHeight="1" thickTop="1">
      <c r="A39" s="1332" t="s">
        <v>1031</v>
      </c>
      <c r="B39" s="1347" t="s">
        <v>1483</v>
      </c>
      <c r="C39" s="355">
        <f ca="1">C5-C30</f>
        <v>828</v>
      </c>
      <c r="D39" s="1348" t="s">
        <v>1484</v>
      </c>
      <c r="E39" s="1349"/>
      <c r="F39" s="1350"/>
      <c r="G39" s="1854"/>
      <c r="H39" s="1862"/>
      <c r="I39" s="1863"/>
      <c r="J39" s="1864"/>
      <c r="K39" s="1868"/>
      <c r="L39" s="1862"/>
      <c r="M39" s="1862"/>
    </row>
    <row r="40" spans="1:18" ht="18" customHeight="1">
      <c r="A40" s="344" t="s">
        <v>1032</v>
      </c>
      <c r="B40" s="345" t="s">
        <v>1485</v>
      </c>
      <c r="C40" s="346">
        <f ca="1">ROUND(C39*(1-((1+F42)/(1+F40))^F41)/(F40-F42),0)</f>
        <v>18272</v>
      </c>
      <c r="D40" s="370" t="s">
        <v>1469</v>
      </c>
      <c r="E40" s="347" t="s">
        <v>1470</v>
      </c>
      <c r="F40" s="357">
        <f ca="1">INDIRECT("'数据-取费表'!I"&amp;$G$1)</f>
        <v>5.5E-2</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43.87</v>
      </c>
      <c r="G41" s="1854"/>
      <c r="H41" s="732"/>
      <c r="I41" s="1863"/>
      <c r="J41" s="1864"/>
      <c r="K41" s="751"/>
      <c r="L41" s="732"/>
      <c r="M41" s="732"/>
    </row>
    <row r="42" spans="1:18" ht="18" customHeight="1">
      <c r="A42" s="353"/>
      <c r="B42" s="354"/>
      <c r="C42" s="355"/>
      <c r="D42" s="373"/>
      <c r="E42" s="347" t="s">
        <v>1477</v>
      </c>
      <c r="F42" s="357">
        <f ca="1">INDIRECT("'数据-取费表'!v"&amp;$G$1)</f>
        <v>0.02</v>
      </c>
      <c r="G42" s="1854"/>
      <c r="H42" s="732"/>
      <c r="I42" s="1863"/>
      <c r="J42" s="1864"/>
      <c r="K42" s="751"/>
      <c r="L42" s="732"/>
      <c r="M42" s="732"/>
    </row>
    <row r="43" spans="1:18" ht="18" customHeight="1" thickBot="1">
      <c r="A43" s="380" t="s">
        <v>1033</v>
      </c>
      <c r="B43" s="381" t="s">
        <v>1487</v>
      </c>
      <c r="C43" s="382">
        <f ca="1">ROUND(C40*10000/F43,0)</f>
        <v>4970</v>
      </c>
      <c r="D43" s="383" t="s">
        <v>1488</v>
      </c>
      <c r="E43" s="384" t="s">
        <v>1489</v>
      </c>
      <c r="F43" s="385">
        <f ca="1">INDIRECT("'数据-取费表'!k"&amp;$G$1)</f>
        <v>36762</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8" thickBot="1">
      <c r="A46" s="1873" t="s">
        <v>1520</v>
      </c>
      <c r="C46" s="1874">
        <f ca="1">C68-C40</f>
        <v>-33303</v>
      </c>
      <c r="D46" s="1875" t="str">
        <f>C2</f>
        <v>万元</v>
      </c>
      <c r="E46" s="1869"/>
      <c r="F46" s="1869"/>
      <c r="I46" s="1876" t="s">
        <v>1521</v>
      </c>
      <c r="J46" s="1877"/>
      <c r="K46" s="1878"/>
      <c r="L46" s="1879">
        <f ca="1">IF(M47="住宅",0,IF(L48&gt;J51,L60,J60))</f>
        <v>82</v>
      </c>
      <c r="O46" s="1880" t="s">
        <v>1522</v>
      </c>
      <c r="P46" s="1881" t="s">
        <v>1523</v>
      </c>
      <c r="Q46" s="1882" t="s">
        <v>1524</v>
      </c>
      <c r="R46" s="1882" t="s">
        <v>1525</v>
      </c>
    </row>
    <row r="47" spans="1:18" s="1845" customFormat="1" ht="13.8" thickBot="1">
      <c r="A47" s="1168" t="s">
        <v>1396</v>
      </c>
      <c r="B47" s="1200" t="s">
        <v>1397</v>
      </c>
      <c r="C47" s="1370" t="s">
        <v>1398</v>
      </c>
      <c r="D47" s="1200" t="s">
        <v>1399</v>
      </c>
      <c r="E47" s="1282" t="s">
        <v>1400</v>
      </c>
      <c r="F47" s="1283"/>
      <c r="G47" s="792"/>
      <c r="I47" s="1883" t="s">
        <v>1526</v>
      </c>
      <c r="J47" s="1884" t="s">
        <v>3230</v>
      </c>
      <c r="K47" s="1885" t="s">
        <v>1527</v>
      </c>
      <c r="L47" s="1886">
        <f ca="1">INDIRECT("'数据-取费表'!d"&amp;$G$1)</f>
        <v>50</v>
      </c>
      <c r="M47" s="1841" t="str">
        <f>IF(ISNUMBER(FIND("住宅",C1)),"住宅","非住宅")</f>
        <v>非住宅</v>
      </c>
      <c r="O47" s="1887" t="s">
        <v>1040</v>
      </c>
      <c r="P47" s="1888" t="s">
        <v>1528</v>
      </c>
      <c r="Q47" s="1889">
        <f ca="1">C40+J29</f>
        <v>18272</v>
      </c>
      <c r="R47" s="1889" t="s">
        <v>1529</v>
      </c>
    </row>
    <row r="48" spans="1:18" s="1845" customFormat="1" ht="40.200000000000003" thickBot="1">
      <c r="A48" s="1363" t="s">
        <v>1135</v>
      </c>
      <c r="B48" s="345" t="s">
        <v>1401</v>
      </c>
      <c r="C48" s="1820">
        <f ca="1">C49+C53+C55</f>
        <v>0</v>
      </c>
      <c r="D48" s="1365"/>
      <c r="E48" s="1366"/>
      <c r="F48" s="1184"/>
      <c r="G48" s="792"/>
      <c r="H48" s="793"/>
      <c r="I48" s="1890" t="s">
        <v>1530</v>
      </c>
      <c r="J48" s="1891" t="s">
        <v>3231</v>
      </c>
      <c r="K48" s="1892" t="s">
        <v>1531</v>
      </c>
      <c r="L48" s="1893">
        <f ca="1">INDIRECT("'数据-取费表'!f"&amp;$G$1)</f>
        <v>43.87</v>
      </c>
      <c r="O48" s="1887" t="s">
        <v>1041</v>
      </c>
      <c r="P48" s="1888" t="s">
        <v>1532</v>
      </c>
      <c r="Q48" s="1889">
        <f ca="1">J60</f>
        <v>82</v>
      </c>
      <c r="R48" s="1889" t="s">
        <v>1533</v>
      </c>
    </row>
    <row r="49" spans="1:18" s="1845" customFormat="1" ht="13.8" thickBot="1">
      <c r="A49" s="1197" t="s">
        <v>1136</v>
      </c>
      <c r="B49" s="1832" t="s">
        <v>1490</v>
      </c>
      <c r="C49" s="1367">
        <f ca="1">ROUND(F49*F51*F50*(1-F52)/10000,0)</f>
        <v>0</v>
      </c>
      <c r="D49" s="1279" t="s">
        <v>3033</v>
      </c>
      <c r="E49" s="1833" t="s">
        <v>1491</v>
      </c>
      <c r="F49" s="1284"/>
      <c r="G49" s="1894"/>
      <c r="H49" s="793"/>
      <c r="I49" s="1890" t="s">
        <v>1534</v>
      </c>
      <c r="J49" s="1895">
        <v>2013</v>
      </c>
      <c r="K49" s="1892" t="s">
        <v>1535</v>
      </c>
      <c r="L49" s="1896"/>
      <c r="O49" s="1897" t="s">
        <v>1042</v>
      </c>
      <c r="P49" s="1888" t="s">
        <v>1536</v>
      </c>
      <c r="Q49" s="1889">
        <f ca="1">C29</f>
        <v>9028</v>
      </c>
      <c r="R49" s="1889" t="s">
        <v>1529</v>
      </c>
    </row>
    <row r="50" spans="1:18" s="1845" customFormat="1" ht="13.8" thickBot="1">
      <c r="A50" s="1198"/>
      <c r="B50" s="1201"/>
      <c r="C50" s="1371"/>
      <c r="D50" s="1175"/>
      <c r="E50" s="1280" t="s">
        <v>1406</v>
      </c>
      <c r="F50" s="1281">
        <f ca="1">F7</f>
        <v>36762</v>
      </c>
      <c r="H50" s="793"/>
      <c r="I50" s="1890" t="s">
        <v>1537</v>
      </c>
      <c r="J50" s="1898">
        <f>SUMPRODUCT((I63:I65=J47)*(J62:L62=J48)*(J63:L65))</f>
        <v>50</v>
      </c>
      <c r="K50" s="1892" t="s">
        <v>1538</v>
      </c>
      <c r="L50" s="1896"/>
      <c r="M50" s="1899"/>
      <c r="O50" s="1897" t="s">
        <v>1043</v>
      </c>
      <c r="P50" s="1888" t="s">
        <v>1539</v>
      </c>
      <c r="Q50" s="1900">
        <f ca="1">J58</f>
        <v>0.4</v>
      </c>
      <c r="R50" s="1889"/>
    </row>
    <row r="51" spans="1:18" s="1845" customFormat="1" ht="13.8" thickBot="1">
      <c r="A51" s="1199"/>
      <c r="B51" s="1201"/>
      <c r="C51" s="1202"/>
      <c r="D51" s="1175"/>
      <c r="E51" s="1203" t="s">
        <v>1407</v>
      </c>
      <c r="F51" s="348">
        <f ca="1">F8</f>
        <v>365</v>
      </c>
      <c r="I51" s="1901" t="s">
        <v>1540</v>
      </c>
      <c r="J51" s="1902">
        <f>IF(J49="",J50,J49+J50-YEAR('数据-取费表'!B2))</f>
        <v>45</v>
      </c>
      <c r="K51" s="1903" t="s">
        <v>1541</v>
      </c>
      <c r="L51" s="1904">
        <f ca="1">ROUND(-PV(INDIRECT("'数据-取费表'!h"&amp;$G$1),L48,(C39-C13*C76),0),0)</f>
        <v>2424</v>
      </c>
      <c r="M51" s="1905"/>
      <c r="O51" s="1897" t="s">
        <v>1044</v>
      </c>
      <c r="P51" s="1888" t="s">
        <v>1542</v>
      </c>
      <c r="Q51" s="1900">
        <f>J52</f>
        <v>0.09</v>
      </c>
      <c r="R51" s="1889"/>
    </row>
    <row r="52" spans="1:18" s="1845" customFormat="1" ht="13.8" thickBot="1">
      <c r="A52" s="1199"/>
      <c r="B52" s="1201"/>
      <c r="C52" s="1202"/>
      <c r="D52" s="1175"/>
      <c r="E52" s="1203" t="s">
        <v>1408</v>
      </c>
      <c r="F52" s="1278"/>
      <c r="I52" s="1906" t="s">
        <v>1543</v>
      </c>
      <c r="J52" s="1907">
        <v>0.09</v>
      </c>
      <c r="K52" s="1906" t="s">
        <v>1544</v>
      </c>
      <c r="L52" s="1907"/>
      <c r="O52" s="1897" t="s">
        <v>1045</v>
      </c>
      <c r="P52" s="1888" t="s">
        <v>1545</v>
      </c>
      <c r="Q52" s="1889">
        <f ca="1">J53</f>
        <v>43.87</v>
      </c>
      <c r="R52" s="1889" t="s">
        <v>1546</v>
      </c>
    </row>
    <row r="53" spans="1:18" s="1845" customFormat="1" ht="36.6" thickBot="1">
      <c r="A53" s="1408" t="s">
        <v>1137</v>
      </c>
      <c r="B53" s="1834" t="s">
        <v>1409</v>
      </c>
      <c r="C53" s="361">
        <f ca="1">ROUND(IF(F53="押一",C49/12*F11,IF(F53="押二",C49/12*2*F11,IF(F53="押三",C49/12*3*F11,C54*F11))),0)</f>
        <v>0</v>
      </c>
      <c r="D53" s="1827" t="s">
        <v>3040</v>
      </c>
      <c r="E53" s="358" t="s">
        <v>1410</v>
      </c>
      <c r="F53" s="1369"/>
      <c r="I53" s="1908" t="s">
        <v>1547</v>
      </c>
      <c r="J53" s="1909">
        <f ca="1">IF(M47="住宅",IF(D1="——",MAX(J51,L48),IF(D1="在建（套用方法）",MAX(J51,L48-'数据-取费表'!B24),MAX(J51,L48-'数据-取费表'!B20))),IF(D1="——",MIN(J51,L48),IF(D1="在建（套用方法）",MIN(J51,L48-'数据-取费表'!B24),IF(D1="土地（套用方法）",MIN(J51,L48-'数据-取费表'!B20)))))</f>
        <v>43.87</v>
      </c>
      <c r="K53" s="3147" t="s">
        <v>1548</v>
      </c>
      <c r="L53" s="3148"/>
      <c r="O53" s="1887" t="s">
        <v>1046</v>
      </c>
      <c r="P53" s="1888" t="s">
        <v>1549</v>
      </c>
      <c r="Q53" s="1889">
        <f ca="1">Q47+Q48</f>
        <v>18354</v>
      </c>
      <c r="R53" s="1889" t="s">
        <v>1047</v>
      </c>
    </row>
    <row r="54" spans="1:18" s="1845" customFormat="1" ht="24.6"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1550</v>
      </c>
      <c r="P54" s="1842"/>
      <c r="Q54" s="1842"/>
      <c r="R54" s="1842"/>
    </row>
    <row r="55" spans="1:18" s="1845" customFormat="1" ht="13.8" thickBot="1">
      <c r="A55" s="1336" t="s">
        <v>1075</v>
      </c>
      <c r="B55" s="1830" t="s">
        <v>1413</v>
      </c>
      <c r="C55" s="1337"/>
      <c r="D55" s="1827"/>
      <c r="E55" s="1835"/>
      <c r="F55" s="1910"/>
      <c r="I55" s="1913" t="s">
        <v>1551</v>
      </c>
      <c r="J55" s="1914">
        <f ca="1">ROUND(IF(J47="钢混",J57/J50,1-(1-2%)*(J50-J57)/J50),3)</f>
        <v>2.3E-2</v>
      </c>
      <c r="K55" s="1915" t="s">
        <v>1552</v>
      </c>
      <c r="L55" s="1916" t="s">
        <v>1553</v>
      </c>
      <c r="O55" s="1880" t="s">
        <v>1522</v>
      </c>
      <c r="P55" s="1881" t="s">
        <v>1523</v>
      </c>
      <c r="Q55" s="1882" t="s">
        <v>1524</v>
      </c>
      <c r="R55" s="1882" t="s">
        <v>1525</v>
      </c>
    </row>
    <row r="56" spans="1:18" s="1845" customFormat="1" ht="37.200000000000003" thickTop="1" thickBot="1">
      <c r="A56" s="1179">
        <v>2</v>
      </c>
      <c r="B56" s="1180" t="s">
        <v>1414</v>
      </c>
      <c r="C56" s="276">
        <f ca="1">C13</f>
        <v>8125</v>
      </c>
      <c r="D56" s="1917"/>
      <c r="E56" s="1918"/>
      <c r="F56" s="1910"/>
      <c r="I56" s="1919" t="s">
        <v>1554</v>
      </c>
      <c r="J56" s="1920" t="s">
        <v>3057</v>
      </c>
      <c r="K56" s="1890" t="s">
        <v>1555</v>
      </c>
      <c r="L56" s="1893" t="str">
        <f ca="1">IF(L48&lt;J51,"——",L48-J53)</f>
        <v>——</v>
      </c>
      <c r="O56" s="1887" t="s">
        <v>1040</v>
      </c>
      <c r="P56" s="1888" t="s">
        <v>1528</v>
      </c>
      <c r="Q56" s="1889">
        <f ca="1">C40+J29</f>
        <v>18272</v>
      </c>
      <c r="R56" s="1889" t="s">
        <v>1529</v>
      </c>
    </row>
    <row r="57" spans="1:18" s="1845" customFormat="1" ht="24.6" thickBot="1">
      <c r="A57" s="1921"/>
      <c r="B57" s="1172" t="s">
        <v>1478</v>
      </c>
      <c r="C57" s="282">
        <f ca="1">C29</f>
        <v>9028</v>
      </c>
      <c r="D57" s="1922"/>
      <c r="E57" s="1923"/>
      <c r="F57" s="1924"/>
      <c r="I57" s="1925" t="s">
        <v>1556</v>
      </c>
      <c r="J57" s="1926">
        <f ca="1">IF(OR(M47="住宅",J51&lt;L48,J56="是"),"——",J51-L48)</f>
        <v>1.1300000000000026</v>
      </c>
      <c r="K57" s="1890" t="s">
        <v>1557</v>
      </c>
      <c r="L57" s="1893" t="str">
        <f ca="1">IF(L48&lt;J51,"——",IF(L55="比较法",L49,IF(L55="基准地价",L50,L51)))</f>
        <v>——</v>
      </c>
      <c r="O57" s="1887" t="s">
        <v>1041</v>
      </c>
      <c r="P57" s="1888" t="s">
        <v>1558</v>
      </c>
      <c r="Q57" s="1889">
        <f ca="1">L60</f>
        <v>0</v>
      </c>
      <c r="R57" s="1889" t="s">
        <v>1559</v>
      </c>
    </row>
    <row r="58" spans="1:18" s="1845" customFormat="1" ht="24.6" thickBot="1">
      <c r="A58" s="360" t="s">
        <v>1030</v>
      </c>
      <c r="B58" s="1180" t="s">
        <v>1424</v>
      </c>
      <c r="C58" s="361">
        <f ca="1">ROUND(C59+C64+C65+C66,0)</f>
        <v>914</v>
      </c>
      <c r="D58" s="1182" t="s">
        <v>1425</v>
      </c>
      <c r="E58" s="1183"/>
      <c r="F58" s="1184"/>
      <c r="I58" s="1925" t="s">
        <v>1560</v>
      </c>
      <c r="J58" s="1927">
        <f ca="1">IF(J55&lt;0.4,0.4,J55)</f>
        <v>0.4</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6" thickBot="1">
      <c r="A59" s="1204" t="s">
        <v>1035</v>
      </c>
      <c r="B59" s="1172" t="s">
        <v>1429</v>
      </c>
      <c r="C59" s="24">
        <f ca="1">ROUND(IF(项目基本情况!B11="自然人",C48*F59,C60+C61+C62),1)</f>
        <v>766.3</v>
      </c>
      <c r="D59" s="1185" t="s">
        <v>1430</v>
      </c>
      <c r="E59" s="1186" t="s">
        <v>1431</v>
      </c>
      <c r="F59" s="368" t="str">
        <f ca="1">IF(项目基本情况!B11="企业","",IF(INDIRECT("'数据-取费表'!c"&amp;$G$1)="住宅",5%,IF(F49*F50*F51/12/(1+'数据-取费表'!C42)&gt;20000,12%,7%)))</f>
        <v/>
      </c>
      <c r="I59" s="1925" t="s">
        <v>1563</v>
      </c>
      <c r="J59" s="1926">
        <f ca="1">IF(OR(M47="住宅",J51&lt;L48,J56="是"),"——",ROUND(C29*J58,0))</f>
        <v>3611</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2"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f ca="1">IF(OR(M47="住宅",J51&lt;L48,J56="是"),"0",ROUND(J59/(1+J52)^J53,0))</f>
        <v>82</v>
      </c>
      <c r="K60" s="1930" t="s">
        <v>1566</v>
      </c>
      <c r="L60" s="1929">
        <f ca="1">IF(OR(M47="住宅",L48&lt;J51),0,ROUND(L57*(L58/L59-1),0))</f>
        <v>0</v>
      </c>
      <c r="O60" s="1897" t="s">
        <v>1044</v>
      </c>
      <c r="P60" s="1888" t="s">
        <v>1567</v>
      </c>
      <c r="Q60" s="1889" t="e">
        <f ca="1">L58</f>
        <v>#DIV/0!</v>
      </c>
      <c r="R60" s="1889" t="s">
        <v>1568</v>
      </c>
    </row>
    <row r="61" spans="1:18" s="1845" customFormat="1" ht="13.8" thickBot="1">
      <c r="A61" s="1204" t="s">
        <v>1492</v>
      </c>
      <c r="B61" s="1172" t="s">
        <v>1493</v>
      </c>
      <c r="C61" s="24">
        <f ca="1">IF(项目基本情况!B11="自然人","——",IF(D61="按租金收入计税",ROUND(C48*F61,2),IF(D61="按房产原值计税",ROUND(C57*F61*0.7,2),INDIRECT("'数据-取费表'!Aj"&amp;$G$1))))</f>
        <v>758.35</v>
      </c>
      <c r="D61" s="1831" t="s">
        <v>1438</v>
      </c>
      <c r="E61" s="1172" t="s">
        <v>1494</v>
      </c>
      <c r="F61" s="367">
        <f t="shared" si="0"/>
        <v>0.12</v>
      </c>
      <c r="I61" s="1931"/>
      <c r="J61" s="1931"/>
      <c r="K61" s="1931"/>
      <c r="L61" s="1931"/>
      <c r="O61" s="1897" t="s">
        <v>1045</v>
      </c>
      <c r="P61" s="1888" t="str">
        <f>K59</f>
        <v>建筑物剩余耐用年限下的土地年期修正系数Kn</v>
      </c>
      <c r="Q61" s="1889" t="e">
        <f ca="1">L59</f>
        <v>#DIV/0!</v>
      </c>
      <c r="R61" s="1889" t="s">
        <v>1569</v>
      </c>
    </row>
    <row r="62" spans="1:18" s="1845" customFormat="1" ht="13.8" thickBot="1">
      <c r="A62" s="1204" t="s">
        <v>1495</v>
      </c>
      <c r="B62" s="1171" t="s">
        <v>1496</v>
      </c>
      <c r="C62" s="25">
        <f ca="1">IF(项目基本情况!B11="自然人","——",ROUND(F62*F63/10000,2))</f>
        <v>7.98</v>
      </c>
      <c r="D62" s="1187" t="s">
        <v>1497</v>
      </c>
      <c r="E62" s="1172" t="s">
        <v>1498</v>
      </c>
      <c r="F62" s="371">
        <f t="shared" si="0"/>
        <v>3</v>
      </c>
      <c r="I62" s="1932" t="s">
        <v>1570</v>
      </c>
      <c r="J62" s="1933" t="s">
        <v>1571</v>
      </c>
      <c r="K62" s="1933" t="s">
        <v>1572</v>
      </c>
      <c r="L62" s="1933" t="s">
        <v>1573</v>
      </c>
      <c r="M62" s="1934" t="s">
        <v>1574</v>
      </c>
      <c r="O62" s="1887" t="s">
        <v>1046</v>
      </c>
      <c r="P62" s="1888" t="s">
        <v>1575</v>
      </c>
      <c r="Q62" s="1889">
        <f ca="1">Q56+Q57</f>
        <v>18272</v>
      </c>
      <c r="R62" s="1889" t="s">
        <v>1047</v>
      </c>
    </row>
    <row r="63" spans="1:18" s="1845" customFormat="1" ht="13.8" thickBot="1">
      <c r="A63" s="372"/>
      <c r="B63" s="1178"/>
      <c r="C63" s="29"/>
      <c r="D63" s="1188"/>
      <c r="E63" s="1172" t="s">
        <v>1499</v>
      </c>
      <c r="F63" s="348">
        <f t="shared" ca="1" si="0"/>
        <v>26594.63</v>
      </c>
      <c r="I63" s="1932" t="s">
        <v>1576</v>
      </c>
      <c r="J63" s="1933">
        <v>70</v>
      </c>
      <c r="K63" s="1933">
        <v>50</v>
      </c>
      <c r="L63" s="1933">
        <v>80</v>
      </c>
      <c r="M63" s="1935">
        <v>0.02</v>
      </c>
      <c r="O63" s="1872" t="s">
        <v>1577</v>
      </c>
      <c r="P63" s="1842"/>
      <c r="Q63" s="1842"/>
      <c r="R63" s="1842"/>
    </row>
    <row r="64" spans="1:18" s="1845" customFormat="1" ht="13.8" thickBot="1">
      <c r="A64" s="1204" t="s">
        <v>1500</v>
      </c>
      <c r="B64" s="1172" t="s">
        <v>1501</v>
      </c>
      <c r="C64" s="24">
        <f ca="1">ROUND(C57*F64,1)</f>
        <v>135.4</v>
      </c>
      <c r="D64" s="1186" t="s">
        <v>1502</v>
      </c>
      <c r="E64" s="1172" t="s">
        <v>1494</v>
      </c>
      <c r="F64" s="374">
        <f t="shared" ca="1" si="0"/>
        <v>1.4999999999999999E-2</v>
      </c>
      <c r="I64" s="1932" t="s">
        <v>1578</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ROUND(C56*F65,1)</f>
        <v>12.2</v>
      </c>
      <c r="D65" s="1186" t="s">
        <v>1454</v>
      </c>
      <c r="E65" s="1172" t="s">
        <v>1455</v>
      </c>
      <c r="F65" s="376">
        <f t="shared" ca="1" si="0"/>
        <v>1.5E-3</v>
      </c>
      <c r="I65" s="1932" t="s">
        <v>1579</v>
      </c>
      <c r="J65" s="1933">
        <v>40</v>
      </c>
      <c r="K65" s="1933">
        <v>30</v>
      </c>
      <c r="L65" s="1933">
        <v>50</v>
      </c>
      <c r="M65" s="1935">
        <v>0.02</v>
      </c>
      <c r="O65" s="1887" t="s">
        <v>1040</v>
      </c>
      <c r="P65" s="1888" t="s">
        <v>1580</v>
      </c>
      <c r="Q65" s="1889">
        <f ca="1">C40+J29</f>
        <v>18272</v>
      </c>
      <c r="R65" s="1889" t="s">
        <v>1529</v>
      </c>
    </row>
    <row r="66" spans="1:18" s="1845" customFormat="1" ht="16.2" thickBot="1">
      <c r="A66" s="1204" t="s">
        <v>1504</v>
      </c>
      <c r="B66" s="1172" t="s">
        <v>1439</v>
      </c>
      <c r="C66" s="24">
        <f ca="1">ROUND(C48*F66,1)</f>
        <v>0</v>
      </c>
      <c r="D66" s="1186" t="s">
        <v>1505</v>
      </c>
      <c r="E66" s="1172" t="s">
        <v>1422</v>
      </c>
      <c r="F66" s="357">
        <f t="shared" ca="1" si="0"/>
        <v>1.4999999999999999E-2</v>
      </c>
      <c r="O66" s="1887" t="s">
        <v>1041</v>
      </c>
      <c r="P66" s="1888" t="s">
        <v>1558</v>
      </c>
      <c r="Q66" s="1889">
        <f ca="1">L60</f>
        <v>0</v>
      </c>
      <c r="R66" s="1889" t="s">
        <v>1581</v>
      </c>
    </row>
    <row r="67" spans="1:18" s="1845" customFormat="1" ht="24.6" thickBot="1">
      <c r="A67" s="1179" t="s">
        <v>1031</v>
      </c>
      <c r="B67" s="1189" t="s">
        <v>1463</v>
      </c>
      <c r="C67" s="361">
        <f ca="1">C48-C58</f>
        <v>-914</v>
      </c>
      <c r="D67" s="1185" t="s">
        <v>1464</v>
      </c>
      <c r="E67" s="1190"/>
      <c r="F67" s="1191"/>
      <c r="O67" s="1897" t="s">
        <v>1042</v>
      </c>
      <c r="P67" s="1888" t="s">
        <v>1562</v>
      </c>
      <c r="Q67" s="1936">
        <f ca="1">L51</f>
        <v>2424</v>
      </c>
      <c r="R67" s="1889" t="s">
        <v>1582</v>
      </c>
    </row>
    <row r="68" spans="1:18" s="1845" customFormat="1" ht="16.2" thickBot="1">
      <c r="A68" s="1169" t="s">
        <v>1032</v>
      </c>
      <c r="B68" s="1170" t="s">
        <v>1485</v>
      </c>
      <c r="C68" s="346">
        <f ca="1">ROUND(C67*(1-((1+F70)/(1+F68))^F69)/(F68-F70),0)</f>
        <v>-15031</v>
      </c>
      <c r="D68" s="1187" t="s">
        <v>1469</v>
      </c>
      <c r="E68" s="1172" t="s">
        <v>1470</v>
      </c>
      <c r="F68" s="357">
        <f ca="1">F40</f>
        <v>5.5E-2</v>
      </c>
      <c r="O68" s="1897" t="s">
        <v>1043</v>
      </c>
      <c r="P68" s="1937" t="s">
        <v>1583</v>
      </c>
      <c r="Q68" s="1889">
        <f ca="1">ROUND(Q69-Q70*Q71,0)</f>
        <v>137</v>
      </c>
      <c r="R68" s="1889" t="s">
        <v>1051</v>
      </c>
    </row>
    <row r="69" spans="1:18" s="1845" customFormat="1" ht="13.8" thickBot="1">
      <c r="A69" s="1173"/>
      <c r="B69" s="1174"/>
      <c r="C69" s="351"/>
      <c r="D69" s="1192" t="s">
        <v>1473</v>
      </c>
      <c r="E69" s="1172" t="s">
        <v>1474</v>
      </c>
      <c r="F69" s="379">
        <f ca="1">F41</f>
        <v>43.87</v>
      </c>
      <c r="O69" s="1897" t="s">
        <v>1048</v>
      </c>
      <c r="P69" s="1937" t="s">
        <v>1584</v>
      </c>
      <c r="Q69" s="1889">
        <f ca="1">C39</f>
        <v>828</v>
      </c>
      <c r="R69" s="1889" t="s">
        <v>1529</v>
      </c>
    </row>
    <row r="70" spans="1:18" s="1845" customFormat="1" ht="13.8" thickBot="1">
      <c r="A70" s="1176"/>
      <c r="B70" s="1177"/>
      <c r="C70" s="355"/>
      <c r="D70" s="1188"/>
      <c r="E70" s="1172" t="s">
        <v>1477</v>
      </c>
      <c r="F70" s="1278"/>
      <c r="O70" s="1897" t="s">
        <v>1049</v>
      </c>
      <c r="P70" s="1937" t="s">
        <v>1585</v>
      </c>
      <c r="Q70" s="1889">
        <f ca="1">C13</f>
        <v>8125</v>
      </c>
      <c r="R70" s="1889" t="s">
        <v>1529</v>
      </c>
    </row>
    <row r="71" spans="1:18" s="1845" customFormat="1" ht="13.8" thickBot="1">
      <c r="A71" s="1193" t="s">
        <v>1033</v>
      </c>
      <c r="B71" s="1194" t="s">
        <v>1487</v>
      </c>
      <c r="C71" s="382">
        <f ca="1">ROUND(C68*10000/F71,0)</f>
        <v>-4089</v>
      </c>
      <c r="D71" s="1195" t="s">
        <v>1488</v>
      </c>
      <c r="E71" s="1196" t="s">
        <v>1489</v>
      </c>
      <c r="F71" s="385">
        <f ca="1">F43</f>
        <v>36762</v>
      </c>
      <c r="O71" s="1897" t="s">
        <v>1050</v>
      </c>
      <c r="P71" s="1937" t="s">
        <v>1586</v>
      </c>
      <c r="Q71" s="1900">
        <f ca="1">C76</f>
        <v>8.5000000000000006E-2</v>
      </c>
      <c r="R71" s="1889"/>
    </row>
    <row r="72" spans="1:18" s="1845" customFormat="1" ht="13.8" thickBot="1">
      <c r="B72" s="796"/>
      <c r="C72" s="796"/>
      <c r="O72" s="1897" t="s">
        <v>1044</v>
      </c>
      <c r="P72" s="1888" t="s">
        <v>1564</v>
      </c>
      <c r="Q72" s="1900">
        <f>L52</f>
        <v>0</v>
      </c>
      <c r="R72" s="1889"/>
    </row>
    <row r="73" spans="1:18" ht="16.2" thickBot="1">
      <c r="A73" s="1845"/>
      <c r="B73" s="796"/>
      <c r="C73" s="796"/>
      <c r="D73" s="1845"/>
      <c r="E73" s="1845"/>
      <c r="F73" s="1845"/>
      <c r="O73" s="1897" t="s">
        <v>1045</v>
      </c>
      <c r="P73" s="1888" t="s">
        <v>1567</v>
      </c>
      <c r="Q73" s="1889" t="e">
        <f ca="1">L58</f>
        <v>#DIV/0!</v>
      </c>
      <c r="R73" s="1889" t="s">
        <v>1568</v>
      </c>
    </row>
    <row r="74" spans="1:18" ht="13.8" thickBot="1">
      <c r="A74" s="1845"/>
      <c r="B74" s="317" t="s">
        <v>1587</v>
      </c>
      <c r="C74" s="1939"/>
      <c r="D74" s="1845"/>
      <c r="E74" s="1845"/>
      <c r="F74" s="1845"/>
      <c r="O74" s="1897" t="s">
        <v>1052</v>
      </c>
      <c r="P74" s="1888" t="str">
        <f>K59</f>
        <v>建筑物剩余耐用年限下的土地年期修正系数Kn</v>
      </c>
      <c r="Q74" s="1889" t="e">
        <f ca="1">L59</f>
        <v>#DIV/0!</v>
      </c>
      <c r="R74" s="1889" t="s">
        <v>1569</v>
      </c>
    </row>
    <row r="75" spans="1:18" ht="13.8" thickBot="1">
      <c r="A75" s="1845"/>
      <c r="B75" s="386" t="s">
        <v>1506</v>
      </c>
      <c r="C75" s="387">
        <f ca="1">ROUND(C13*C76,0)</f>
        <v>691</v>
      </c>
      <c r="D75" s="1845"/>
      <c r="E75" s="1845"/>
      <c r="F75" s="1845"/>
      <c r="K75" s="1871"/>
      <c r="L75" s="1845"/>
      <c r="O75" s="1887" t="s">
        <v>1046</v>
      </c>
      <c r="P75" s="1888" t="s">
        <v>1549</v>
      </c>
      <c r="Q75" s="1889">
        <f ca="1">Q65+Q66</f>
        <v>18272</v>
      </c>
      <c r="R75" s="1889" t="s">
        <v>1047</v>
      </c>
    </row>
    <row r="76" spans="1:18">
      <c r="B76" s="388" t="s">
        <v>1507</v>
      </c>
      <c r="C76" s="389">
        <f ca="1">INDIRECT("'数据-取费表'!j"&amp;$G$1)</f>
        <v>8.5000000000000006E-2</v>
      </c>
      <c r="I76" s="1845"/>
      <c r="J76" s="1845"/>
      <c r="K76" s="1871"/>
      <c r="L76" s="1845"/>
    </row>
    <row r="77" spans="1:18">
      <c r="B77" s="390" t="s">
        <v>1508</v>
      </c>
      <c r="C77" s="391"/>
      <c r="I77" s="1845"/>
      <c r="J77" s="1845"/>
      <c r="K77" s="1871"/>
      <c r="L77" s="1845"/>
    </row>
    <row r="78" spans="1:18">
      <c r="B78" s="314" t="s">
        <v>1509</v>
      </c>
      <c r="C78" s="392"/>
    </row>
    <row r="79" spans="1:18">
      <c r="B79" s="386" t="s">
        <v>1510</v>
      </c>
      <c r="C79" s="318">
        <f ca="1">1-C80</f>
        <v>0.16500000000000004</v>
      </c>
    </row>
    <row r="80" spans="1:18">
      <c r="B80" s="386" t="s">
        <v>1511</v>
      </c>
      <c r="C80" s="318">
        <f ca="1">ROUND(C75/C39,3)</f>
        <v>0.83499999999999996</v>
      </c>
    </row>
    <row r="81" spans="2:3">
      <c r="B81" s="314" t="s">
        <v>1512</v>
      </c>
      <c r="C81" s="282"/>
    </row>
    <row r="82" spans="2:3">
      <c r="B82" s="317" t="s">
        <v>1513</v>
      </c>
      <c r="C82" s="319">
        <f ca="1">1-C83</f>
        <v>0.55499999999999994</v>
      </c>
    </row>
    <row r="83" spans="2:3">
      <c r="B83" s="317" t="s">
        <v>1514</v>
      </c>
      <c r="C83" s="318">
        <f ca="1">ROUND(C13/C40,3)</f>
        <v>0.44500000000000001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8" customWidth="1"/>
    <col min="12" max="12" width="16.33203125" style="302" customWidth="1"/>
    <col min="13" max="13" width="13" style="302" customWidth="1"/>
    <col min="14" max="14" width="13.77734375" style="1845" customWidth="1"/>
    <col min="15" max="15" width="5.109375" style="1845" customWidth="1"/>
    <col min="16" max="16" width="25.77734375" style="1845" customWidth="1"/>
    <col min="17" max="17" width="13.77734375" style="1845" customWidth="1"/>
    <col min="18" max="18" width="20.44140625" style="1845" customWidth="1"/>
    <col min="19" max="19" width="13.21875" style="1845" customWidth="1"/>
    <col min="20" max="37" width="9" style="1845"/>
    <col min="38" max="16384" width="9" style="302"/>
  </cols>
  <sheetData>
    <row r="1" spans="1:37" s="337" customFormat="1" ht="21.6">
      <c r="A1" s="1836" t="s">
        <v>1589</v>
      </c>
      <c r="B1" s="782"/>
      <c r="C1" s="1840"/>
      <c r="D1" s="1823"/>
      <c r="E1" s="1824" t="s">
        <v>1387</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49" t="s">
        <v>1403</v>
      </c>
      <c r="C6" s="1299">
        <f ca="1">ROUND(F6*F8*F7*(1-F9),0)</f>
        <v>0</v>
      </c>
      <c r="D6" s="164" t="s">
        <v>3029</v>
      </c>
      <c r="E6" s="347" t="s">
        <v>1405</v>
      </c>
      <c r="F6" s="348">
        <f ca="1">INDIRECT("'数据-取费表'!u"&amp;$G$1)</f>
        <v>0</v>
      </c>
      <c r="G6" s="1854"/>
      <c r="H6" s="1294" t="s">
        <v>1035</v>
      </c>
      <c r="I6" s="3149" t="s">
        <v>1403</v>
      </c>
      <c r="J6" s="346">
        <f ca="1">ROUND(M6*M8*M7*(1-M9),0)</f>
        <v>0</v>
      </c>
      <c r="K6" s="1837" t="s">
        <v>3030</v>
      </c>
      <c r="L6" s="347" t="s">
        <v>1405</v>
      </c>
      <c r="M6" s="348">
        <f ca="1">INDIRECT("'数据-取费表'!z"&amp;$G$1)</f>
        <v>0</v>
      </c>
    </row>
    <row r="7" spans="1:37" ht="18" customHeight="1">
      <c r="A7" s="1298"/>
      <c r="B7" s="3150"/>
      <c r="C7" s="1300"/>
      <c r="D7" s="352"/>
      <c r="E7" s="1301" t="s">
        <v>1406</v>
      </c>
      <c r="F7" s="348">
        <f ca="1">IF(INDIRECT("'数据-取费表'!ah"&amp;$G$1)="",INDIRECT("'数据-取费表'!k"&amp;$G$1),INDIRECT("'数据-取费表'!ah"&amp;$G$1))</f>
        <v>0</v>
      </c>
      <c r="G7" s="1854"/>
      <c r="H7" s="349"/>
      <c r="I7" s="3150"/>
      <c r="J7" s="351"/>
      <c r="K7" s="352"/>
      <c r="L7" s="347" t="s">
        <v>1406</v>
      </c>
      <c r="M7" s="348">
        <f ca="1">F7</f>
        <v>0</v>
      </c>
    </row>
    <row r="8" spans="1:37" ht="18" customHeight="1">
      <c r="A8" s="349"/>
      <c r="B8" s="3150"/>
      <c r="C8" s="351"/>
      <c r="D8" s="352"/>
      <c r="E8" s="347" t="s">
        <v>1407</v>
      </c>
      <c r="F8" s="348">
        <f ca="1">INDIRECT("'数据-取费表'!ai"&amp;$G$1)</f>
        <v>0</v>
      </c>
      <c r="G8" s="1854"/>
      <c r="H8" s="349"/>
      <c r="I8" s="3150"/>
      <c r="J8" s="351"/>
      <c r="K8" s="352"/>
      <c r="L8" s="347" t="s">
        <v>1407</v>
      </c>
      <c r="M8" s="348">
        <f ca="1">INDIRECT("'数据-取费表'!ai"&amp;$G$1)</f>
        <v>0</v>
      </c>
    </row>
    <row r="9" spans="1:37" ht="18" customHeight="1">
      <c r="A9" s="349"/>
      <c r="B9" s="3151"/>
      <c r="C9" s="351"/>
      <c r="D9" s="352"/>
      <c r="E9" s="347" t="s">
        <v>1408</v>
      </c>
      <c r="F9" s="357">
        <f ca="1">INDIRECT("'数据-取费表'!w"&amp;$G$1)</f>
        <v>0</v>
      </c>
      <c r="G9" s="1854"/>
      <c r="H9" s="349"/>
      <c r="I9" s="3151"/>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3040</v>
      </c>
      <c r="E10" s="358" t="s">
        <v>1410</v>
      </c>
      <c r="F10" s="1369"/>
      <c r="G10" s="1854"/>
      <c r="H10" s="1294" t="s">
        <v>1039</v>
      </c>
      <c r="I10" s="1826" t="s">
        <v>1409</v>
      </c>
      <c r="J10" s="346">
        <f ca="1">ROUND(IF(M10="押一",J6/12*M11,IF(M10="押二",J6/12*2*M11,IF(M10="押三",J6/12*3*M11,J11*M11))),0)</f>
        <v>0</v>
      </c>
      <c r="K10" s="1838" t="s">
        <v>3042</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200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0.02</v>
      </c>
      <c r="G20" s="1857"/>
      <c r="H20" s="1204" t="s">
        <v>1389</v>
      </c>
      <c r="I20" s="164" t="s">
        <v>1441</v>
      </c>
      <c r="J20" s="25">
        <f ca="1">ROUND(M20*M21,0)</f>
        <v>0</v>
      </c>
      <c r="K20" s="370" t="s">
        <v>1442</v>
      </c>
      <c r="L20" s="347" t="s">
        <v>1443</v>
      </c>
      <c r="M20" s="371">
        <f>'数据-取费表'!B52</f>
        <v>3</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0.02</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3</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8"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8"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40.200000000000003"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8"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8"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8"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8"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3043</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47" t="s">
        <v>1548</v>
      </c>
      <c r="L53" s="3148"/>
      <c r="O53" s="1887" t="s">
        <v>1046</v>
      </c>
      <c r="P53" s="1888" t="s">
        <v>1549</v>
      </c>
      <c r="Q53" s="1889" t="e">
        <f ca="1">Q47+Q48</f>
        <v>#DIV/0!</v>
      </c>
      <c r="R53" s="1889" t="s">
        <v>1047</v>
      </c>
    </row>
    <row r="54" spans="1:18" s="1845" customFormat="1" ht="13.8"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8"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6"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6"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6"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2"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8"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8" thickBot="1">
      <c r="A62" s="1204" t="s">
        <v>1495</v>
      </c>
      <c r="B62" s="1171" t="s">
        <v>1496</v>
      </c>
      <c r="C62" s="25">
        <f ca="1">IF(项目基本情况!B11="自然人","——",ROUND(F62*F63,0))</f>
        <v>0</v>
      </c>
      <c r="D62" s="1187" t="s">
        <v>1497</v>
      </c>
      <c r="E62" s="1172" t="s">
        <v>1498</v>
      </c>
      <c r="F62" s="371">
        <f t="shared" si="0"/>
        <v>3</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8"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8"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8"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2"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24.6"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2"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8" thickBot="1">
      <c r="A69" s="1173"/>
      <c r="B69" s="1174"/>
      <c r="C69" s="351"/>
      <c r="D69" s="1192" t="s">
        <v>1473</v>
      </c>
      <c r="E69" s="1172" t="s">
        <v>1474</v>
      </c>
      <c r="F69" s="379">
        <f ca="1">F41</f>
        <v>0</v>
      </c>
      <c r="O69" s="1897" t="s">
        <v>1048</v>
      </c>
      <c r="P69" s="1937" t="s">
        <v>1584</v>
      </c>
      <c r="Q69" s="1889">
        <f ca="1">C39</f>
        <v>0</v>
      </c>
      <c r="R69" s="1889" t="s">
        <v>1529</v>
      </c>
    </row>
    <row r="70" spans="1:18" s="1845" customFormat="1" ht="13.8" thickBot="1">
      <c r="A70" s="1176"/>
      <c r="B70" s="1177"/>
      <c r="C70" s="355"/>
      <c r="D70" s="1188"/>
      <c r="E70" s="1172" t="s">
        <v>1477</v>
      </c>
      <c r="F70" s="1278">
        <f ca="1">F42</f>
        <v>0</v>
      </c>
      <c r="O70" s="1897" t="s">
        <v>1049</v>
      </c>
      <c r="P70" s="1937" t="s">
        <v>1585</v>
      </c>
      <c r="Q70" s="1889">
        <f ca="1">C13</f>
        <v>0</v>
      </c>
      <c r="R70" s="1889" t="s">
        <v>1529</v>
      </c>
    </row>
    <row r="71" spans="1:18" s="1845" customFormat="1" ht="13.8"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8" thickBot="1">
      <c r="B72" s="796"/>
      <c r="C72" s="796"/>
      <c r="O72" s="1897" t="s">
        <v>1044</v>
      </c>
      <c r="P72" s="1888" t="s">
        <v>1564</v>
      </c>
      <c r="Q72" s="1900">
        <f>L52</f>
        <v>0</v>
      </c>
      <c r="R72" s="1889"/>
    </row>
    <row r="73" spans="1:18" ht="16.2" thickBot="1">
      <c r="A73" s="1845"/>
      <c r="B73" s="796"/>
      <c r="C73" s="796"/>
      <c r="D73" s="1845"/>
      <c r="E73" s="1845"/>
      <c r="F73" s="1845"/>
      <c r="O73" s="1897" t="s">
        <v>1045</v>
      </c>
      <c r="P73" s="1888" t="s">
        <v>1567</v>
      </c>
      <c r="Q73" s="1889" t="e">
        <f ca="1">L58</f>
        <v>#DIV/0!</v>
      </c>
      <c r="R73" s="1889" t="s">
        <v>1568</v>
      </c>
    </row>
    <row r="74" spans="1:18" ht="13.8"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8"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36" sqref="F36"/>
    </sheetView>
  </sheetViews>
  <sheetFormatPr defaultColWidth="9" defaultRowHeight="13.8"/>
  <cols>
    <col min="1" max="1" width="23.6640625" style="1948" customWidth="1"/>
    <col min="2" max="2" width="12" style="1948" customWidth="1"/>
    <col min="3" max="3" width="9" style="1948"/>
    <col min="4" max="4" width="14.109375" style="1948" customWidth="1"/>
    <col min="5" max="5" width="9" style="1948"/>
    <col min="6" max="6" width="12.88671875" style="1948" customWidth="1"/>
    <col min="7" max="16384" width="9" style="1948"/>
  </cols>
  <sheetData>
    <row r="1" spans="1:6" ht="21.6">
      <c r="A1" s="2565" t="s">
        <v>2526</v>
      </c>
      <c r="B1" s="2566"/>
      <c r="C1" s="2566"/>
      <c r="D1" s="2566"/>
      <c r="E1" s="2567"/>
    </row>
    <row r="2" spans="1:6" ht="15.6">
      <c r="A2" s="2568" t="s">
        <v>2327</v>
      </c>
      <c r="B2" s="2569">
        <f ca="1">SUMIF(B6:B13,"&lt;&gt;#ref!",B6:B13)</f>
        <v>18354</v>
      </c>
      <c r="C2" s="2570" t="s">
        <v>2519</v>
      </c>
      <c r="D2" s="2571" t="s">
        <v>2520</v>
      </c>
      <c r="E2" s="2572">
        <f>SUM(E6:E13)</f>
        <v>36762</v>
      </c>
    </row>
    <row r="3" spans="1:6" ht="15.6">
      <c r="A3" s="2568" t="s">
        <v>1395</v>
      </c>
      <c r="B3" s="2569">
        <f ca="1">ROUND(B2*10000/E2,0)</f>
        <v>4993</v>
      </c>
      <c r="C3" s="2570" t="s">
        <v>2527</v>
      </c>
      <c r="D3" s="2573"/>
      <c r="E3" s="2574"/>
    </row>
    <row r="4" spans="1:6" ht="15.6">
      <c r="A4" s="2575"/>
      <c r="B4" s="2573"/>
      <c r="C4" s="2573"/>
      <c r="D4" s="2573"/>
      <c r="E4" s="2574"/>
    </row>
    <row r="5" spans="1:6" ht="14.4">
      <c r="A5" s="2576" t="s">
        <v>2521</v>
      </c>
      <c r="B5" s="3152" t="s">
        <v>2522</v>
      </c>
      <c r="C5" s="3152"/>
      <c r="D5" s="2577"/>
      <c r="E5" s="2578" t="s">
        <v>2523</v>
      </c>
      <c r="F5" s="2579" t="s">
        <v>2524</v>
      </c>
    </row>
    <row r="6" spans="1:6" ht="14.4">
      <c r="A6" s="2580" t="str">
        <f>'数据-取费表'!AN6</f>
        <v>收益法</v>
      </c>
      <c r="B6" s="2579">
        <f ca="1">IF(F6="是",'数据-取费表'!AO6,0)</f>
        <v>18354</v>
      </c>
      <c r="C6" s="2570" t="s">
        <v>2519</v>
      </c>
      <c r="D6" s="2573"/>
      <c r="E6" s="2581">
        <f>IF(OR(A6=0,F6="否"),0,'数据-取费表'!K6+'数据-取费表'!S6)</f>
        <v>36762</v>
      </c>
      <c r="F6" s="2582" t="s">
        <v>2525</v>
      </c>
    </row>
    <row r="7" spans="1:6" ht="14.4">
      <c r="A7" s="2580">
        <f>'数据-取费表'!AN7</f>
        <v>0</v>
      </c>
      <c r="B7" s="2579" t="e">
        <f ca="1">IF(F7="是",'数据-取费表'!AO7,0)</f>
        <v>#REF!</v>
      </c>
      <c r="C7" s="2570" t="s">
        <v>2519</v>
      </c>
      <c r="D7" s="2573"/>
      <c r="E7" s="2581">
        <f>IF(OR(A7=0,F7="否"),0,'数据-取费表'!K7+'数据-取费表'!S7)</f>
        <v>0</v>
      </c>
      <c r="F7" s="2582" t="s">
        <v>2525</v>
      </c>
    </row>
    <row r="8" spans="1:6" ht="14.4">
      <c r="A8" s="2580">
        <f>'数据-取费表'!AN8</f>
        <v>0</v>
      </c>
      <c r="B8" s="2579" t="e">
        <f ca="1">IF(F8="是",'数据-取费表'!AO8,0)</f>
        <v>#REF!</v>
      </c>
      <c r="C8" s="2570" t="s">
        <v>2519</v>
      </c>
      <c r="D8" s="2573"/>
      <c r="E8" s="2581">
        <f>IF(OR(A8=0,F8="否"),0,'数据-取费表'!K8+'数据-取费表'!S8)</f>
        <v>0</v>
      </c>
      <c r="F8" s="2582" t="s">
        <v>2525</v>
      </c>
    </row>
    <row r="9" spans="1:6" ht="14.4">
      <c r="A9" s="2580">
        <f>'数据-取费表'!AN9</f>
        <v>0</v>
      </c>
      <c r="B9" s="2579" t="e">
        <f ca="1">IF(F9="是",'数据-取费表'!AO9,0)</f>
        <v>#REF!</v>
      </c>
      <c r="C9" s="2570" t="s">
        <v>2519</v>
      </c>
      <c r="D9" s="2573"/>
      <c r="E9" s="2581">
        <f>IF(OR(A9=0,F9="否"),0,'数据-取费表'!K9+'数据-取费表'!S9)</f>
        <v>0</v>
      </c>
      <c r="F9" s="2582" t="s">
        <v>2525</v>
      </c>
    </row>
    <row r="10" spans="1:6" ht="14.4">
      <c r="A10" s="2580">
        <f>'数据-取费表'!AN10</f>
        <v>0</v>
      </c>
      <c r="B10" s="2579" t="e">
        <f ca="1">IF(F10="是",'数据-取费表'!AO10,0)</f>
        <v>#REF!</v>
      </c>
      <c r="C10" s="2570" t="s">
        <v>2519</v>
      </c>
      <c r="D10" s="2573"/>
      <c r="E10" s="2581">
        <f>IF(OR(A10=0,F10="否"),0,'数据-取费表'!K10+'数据-取费表'!S10)</f>
        <v>0</v>
      </c>
      <c r="F10" s="2582" t="s">
        <v>2525</v>
      </c>
    </row>
    <row r="11" spans="1:6" ht="14.4">
      <c r="A11" s="2580">
        <f>'数据-取费表'!AN11</f>
        <v>0</v>
      </c>
      <c r="B11" s="2579" t="e">
        <f ca="1">IF(F11="是",'数据-取费表'!AO11,0)</f>
        <v>#REF!</v>
      </c>
      <c r="C11" s="2570" t="s">
        <v>2519</v>
      </c>
      <c r="D11" s="2573"/>
      <c r="E11" s="2581">
        <f>IF(OR(A11=0,F11="否"),0,'数据-取费表'!K11+'数据-取费表'!S11)</f>
        <v>0</v>
      </c>
      <c r="F11" s="2582" t="s">
        <v>2525</v>
      </c>
    </row>
    <row r="12" spans="1:6" ht="14.4">
      <c r="A12" s="2580">
        <f>'数据-取费表'!AN12</f>
        <v>0</v>
      </c>
      <c r="B12" s="2579" t="e">
        <f ca="1">IF(F12="是",'数据-取费表'!AO12,0)</f>
        <v>#REF!</v>
      </c>
      <c r="C12" s="2570" t="s">
        <v>2519</v>
      </c>
      <c r="D12" s="2573"/>
      <c r="E12" s="2581">
        <f>IF(OR(A12=0,F12="否"),0,'数据-取费表'!K12+'数据-取费表'!S12)</f>
        <v>0</v>
      </c>
      <c r="F12" s="2582" t="s">
        <v>2525</v>
      </c>
    </row>
    <row r="13" spans="1:6" ht="15" thickBot="1">
      <c r="A13" s="2583">
        <f>'数据-取费表'!AN13</f>
        <v>0</v>
      </c>
      <c r="B13" s="2579" t="e">
        <f ca="1">IF(F13="是",'数据-取费表'!AO13,0)</f>
        <v>#REF!</v>
      </c>
      <c r="C13" s="2584" t="s">
        <v>2519</v>
      </c>
      <c r="D13" s="2585"/>
      <c r="E13" s="2581">
        <f>IF(OR(A13=0,F13="否"),0,'数据-取费表'!K13+'数据-取费表'!S13)</f>
        <v>0</v>
      </c>
      <c r="F13" s="2582"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36" sqref="F36"/>
    </sheetView>
  </sheetViews>
  <sheetFormatPr defaultRowHeight="14.4"/>
  <cols>
    <col min="1" max="1" width="10.44140625" customWidth="1"/>
    <col min="2" max="2" width="12.88671875" customWidth="1"/>
    <col min="3" max="3" width="8.77734375" customWidth="1"/>
  </cols>
  <sheetData>
    <row r="1" spans="1:9" ht="15.6">
      <c r="A1" s="3153" t="s">
        <v>1076</v>
      </c>
      <c r="B1" s="3154"/>
      <c r="C1" s="3155"/>
      <c r="D1" s="3156">
        <f>SUM(I10,I15,I20,I21,I23)</f>
        <v>0</v>
      </c>
      <c r="E1" s="3156"/>
      <c r="F1" s="3156"/>
      <c r="G1" s="3156"/>
      <c r="H1" s="3156"/>
      <c r="I1" s="3157"/>
    </row>
    <row r="2" spans="1:9">
      <c r="A2" s="3158" t="s">
        <v>1077</v>
      </c>
      <c r="B2" s="3159" t="s">
        <v>1078</v>
      </c>
      <c r="C2" s="3159"/>
      <c r="D2" s="1304" t="s">
        <v>1079</v>
      </c>
      <c r="E2" s="1304" t="s">
        <v>1080</v>
      </c>
      <c r="F2" s="1304" t="s">
        <v>1081</v>
      </c>
      <c r="G2" s="1304" t="s">
        <v>1082</v>
      </c>
      <c r="H2" s="1304" t="s">
        <v>1083</v>
      </c>
      <c r="I2" s="1305" t="s">
        <v>1084</v>
      </c>
    </row>
    <row r="3" spans="1:9">
      <c r="A3" s="3158"/>
      <c r="B3" s="3159" t="s">
        <v>1085</v>
      </c>
      <c r="C3" s="3159"/>
      <c r="D3" s="1306"/>
      <c r="E3" s="1304"/>
      <c r="F3" s="1307"/>
      <c r="G3" s="1307"/>
      <c r="H3" s="1308"/>
      <c r="I3" s="1309">
        <f>ROUND(D3*E3*F3*G3*H3/10000,0)</f>
        <v>0</v>
      </c>
    </row>
    <row r="4" spans="1:9">
      <c r="A4" s="3158"/>
      <c r="B4" s="3159" t="s">
        <v>1086</v>
      </c>
      <c r="C4" s="3159"/>
      <c r="D4" s="1306"/>
      <c r="E4" s="1304"/>
      <c r="F4" s="1307"/>
      <c r="G4" s="1307"/>
      <c r="H4" s="1308"/>
      <c r="I4" s="1309">
        <f t="shared" ref="I4:I9" si="0">ROUND(D4*E4*F4*G4*H4/10000,0)</f>
        <v>0</v>
      </c>
    </row>
    <row r="5" spans="1:9">
      <c r="A5" s="3158"/>
      <c r="B5" s="3159" t="s">
        <v>1087</v>
      </c>
      <c r="C5" s="3159"/>
      <c r="D5" s="1306"/>
      <c r="E5" s="1304"/>
      <c r="F5" s="1307"/>
      <c r="G5" s="1307"/>
      <c r="H5" s="1308"/>
      <c r="I5" s="1309">
        <f t="shared" si="0"/>
        <v>0</v>
      </c>
    </row>
    <row r="6" spans="1:9">
      <c r="A6" s="3158"/>
      <c r="B6" s="3159" t="s">
        <v>1088</v>
      </c>
      <c r="C6" s="3159"/>
      <c r="D6" s="1306"/>
      <c r="E6" s="1304"/>
      <c r="F6" s="1307"/>
      <c r="G6" s="1307"/>
      <c r="H6" s="1308"/>
      <c r="I6" s="1309">
        <f t="shared" si="0"/>
        <v>0</v>
      </c>
    </row>
    <row r="7" spans="1:9">
      <c r="A7" s="3158"/>
      <c r="B7" s="3159" t="s">
        <v>1089</v>
      </c>
      <c r="C7" s="3159"/>
      <c r="D7" s="1306"/>
      <c r="E7" s="1304"/>
      <c r="F7" s="1307"/>
      <c r="G7" s="1307"/>
      <c r="H7" s="1308"/>
      <c r="I7" s="1309">
        <f t="shared" si="0"/>
        <v>0</v>
      </c>
    </row>
    <row r="8" spans="1:9">
      <c r="A8" s="3158"/>
      <c r="B8" s="3159" t="s">
        <v>1090</v>
      </c>
      <c r="C8" s="3159"/>
      <c r="D8" s="1306"/>
      <c r="E8" s="1304"/>
      <c r="F8" s="1307"/>
      <c r="G8" s="1307"/>
      <c r="H8" s="1308"/>
      <c r="I8" s="1309">
        <f t="shared" si="0"/>
        <v>0</v>
      </c>
    </row>
    <row r="9" spans="1:9">
      <c r="A9" s="3158"/>
      <c r="B9" s="3159" t="s">
        <v>1091</v>
      </c>
      <c r="C9" s="3159"/>
      <c r="D9" s="1306"/>
      <c r="E9" s="1304"/>
      <c r="F9" s="1307"/>
      <c r="G9" s="1307"/>
      <c r="H9" s="1308"/>
      <c r="I9" s="1309">
        <f t="shared" si="0"/>
        <v>0</v>
      </c>
    </row>
    <row r="10" spans="1:9">
      <c r="A10" s="3158"/>
      <c r="B10" s="3160" t="s">
        <v>1092</v>
      </c>
      <c r="C10" s="3160"/>
      <c r="D10" s="1310"/>
      <c r="E10" s="1310" t="e">
        <f>ROUND(D1*10000/D10/H9,0)</f>
        <v>#DIV/0!</v>
      </c>
      <c r="F10" s="1311"/>
      <c r="G10" s="1311"/>
      <c r="H10" s="1312"/>
      <c r="I10" s="1313">
        <f>SUM(I3:I9)</f>
        <v>0</v>
      </c>
    </row>
    <row r="11" spans="1:9" ht="15.6">
      <c r="A11" s="3158" t="s">
        <v>1093</v>
      </c>
      <c r="B11" s="3159" t="s">
        <v>1094</v>
      </c>
      <c r="C11" s="3159"/>
      <c r="D11" s="1306" t="s">
        <v>1095</v>
      </c>
      <c r="E11" s="1306" t="s">
        <v>1096</v>
      </c>
      <c r="F11" s="1307" t="s">
        <v>1097</v>
      </c>
      <c r="G11" s="1307" t="s">
        <v>1083</v>
      </c>
      <c r="H11" s="1314" t="s">
        <v>1098</v>
      </c>
      <c r="I11" s="1305" t="s">
        <v>1084</v>
      </c>
    </row>
    <row r="12" spans="1:9">
      <c r="A12" s="3158"/>
      <c r="B12" s="3159" t="s">
        <v>1099</v>
      </c>
      <c r="C12" s="3159"/>
      <c r="D12" s="1306"/>
      <c r="E12" s="1306"/>
      <c r="F12" s="1307"/>
      <c r="G12" s="1308"/>
      <c r="H12" s="1315"/>
      <c r="I12" s="1305">
        <f>ROUND(D12*E12*F12*G12/10000,0)</f>
        <v>0</v>
      </c>
    </row>
    <row r="13" spans="1:9">
      <c r="A13" s="3158"/>
      <c r="B13" s="3159" t="s">
        <v>1100</v>
      </c>
      <c r="C13" s="3159"/>
      <c r="D13" s="1306"/>
      <c r="E13" s="1306"/>
      <c r="F13" s="1307"/>
      <c r="G13" s="1308"/>
      <c r="H13" s="1315"/>
      <c r="I13" s="1305">
        <f>ROUND(D13*E13*F13*G13/10000,0)</f>
        <v>0</v>
      </c>
    </row>
    <row r="14" spans="1:9">
      <c r="A14" s="3158"/>
      <c r="B14" s="3159" t="s">
        <v>1101</v>
      </c>
      <c r="C14" s="3159"/>
      <c r="D14" s="1306"/>
      <c r="E14" s="1306"/>
      <c r="F14" s="1307"/>
      <c r="G14" s="1308"/>
      <c r="H14" s="1315"/>
      <c r="I14" s="1305">
        <f>ROUND(D14*E14*F14*G14/10000,0)</f>
        <v>0</v>
      </c>
    </row>
    <row r="15" spans="1:9">
      <c r="A15" s="3158"/>
      <c r="B15" s="3160" t="s">
        <v>1092</v>
      </c>
      <c r="C15" s="3160"/>
      <c r="D15" s="1310"/>
      <c r="E15" s="1310">
        <f>SUM(E12:E14)</f>
        <v>0</v>
      </c>
      <c r="F15" s="1311"/>
      <c r="G15" s="1308"/>
      <c r="H15" s="1315"/>
      <c r="I15" s="1316">
        <f>SUM(I12:I14)</f>
        <v>0</v>
      </c>
    </row>
    <row r="16" spans="1:9" ht="24">
      <c r="A16" s="3158" t="s">
        <v>1102</v>
      </c>
      <c r="B16" s="3159" t="s">
        <v>1103</v>
      </c>
      <c r="C16" s="3159"/>
      <c r="D16" s="1306" t="s">
        <v>1079</v>
      </c>
      <c r="E16" s="1317" t="s">
        <v>1104</v>
      </c>
      <c r="F16" s="1307" t="s">
        <v>1105</v>
      </c>
      <c r="G16" s="1308" t="s">
        <v>1083</v>
      </c>
      <c r="H16" s="1314" t="s">
        <v>1098</v>
      </c>
      <c r="I16" s="1305" t="s">
        <v>1084</v>
      </c>
    </row>
    <row r="17" spans="1:9" ht="15.6">
      <c r="A17" s="3158"/>
      <c r="B17" s="3159" t="s">
        <v>1106</v>
      </c>
      <c r="C17" s="3159"/>
      <c r="D17" s="1306"/>
      <c r="E17" s="1306"/>
      <c r="F17" s="1307"/>
      <c r="G17" s="1308"/>
      <c r="H17" s="1318"/>
      <c r="I17" s="1319">
        <f>ROUND(D17*E17*F17*G17/10000,0)</f>
        <v>0</v>
      </c>
    </row>
    <row r="18" spans="1:9" ht="15.6">
      <c r="A18" s="3158"/>
      <c r="B18" s="3159" t="s">
        <v>1107</v>
      </c>
      <c r="C18" s="3159"/>
      <c r="D18" s="1306"/>
      <c r="E18" s="1306"/>
      <c r="F18" s="1307"/>
      <c r="G18" s="1308"/>
      <c r="H18" s="1318"/>
      <c r="I18" s="1319">
        <f>ROUND(D18*E18*F18*G18/10000,0)</f>
        <v>0</v>
      </c>
    </row>
    <row r="19" spans="1:9" ht="15.6">
      <c r="A19" s="3158"/>
      <c r="B19" s="3159" t="s">
        <v>1108</v>
      </c>
      <c r="C19" s="3159"/>
      <c r="D19" s="1306"/>
      <c r="E19" s="1306"/>
      <c r="F19" s="1307"/>
      <c r="G19" s="1308"/>
      <c r="H19" s="1318"/>
      <c r="I19" s="1319">
        <f>ROUND(D19*E19*F19*G19/10000,0)</f>
        <v>0</v>
      </c>
    </row>
    <row r="20" spans="1:9">
      <c r="A20" s="3158"/>
      <c r="B20" s="3160" t="s">
        <v>1092</v>
      </c>
      <c r="C20" s="3160"/>
      <c r="D20" s="1310">
        <f>SUM(D17:D19)</f>
        <v>0</v>
      </c>
      <c r="E20" s="1310"/>
      <c r="F20" s="1311"/>
      <c r="G20" s="1308"/>
      <c r="H20" s="1315"/>
      <c r="I20" s="1316">
        <f>SUM(I17:I19)</f>
        <v>0</v>
      </c>
    </row>
    <row r="21" spans="1:9">
      <c r="A21" s="3158" t="s">
        <v>1109</v>
      </c>
      <c r="B21" s="3162"/>
      <c r="C21" s="3162"/>
      <c r="D21" s="3162"/>
      <c r="E21" s="3162"/>
      <c r="F21" s="3162"/>
      <c r="G21" s="3162"/>
      <c r="H21" s="1768">
        <v>0.1</v>
      </c>
      <c r="I21" s="1313">
        <f>ROUND(I10*H21,0)</f>
        <v>0</v>
      </c>
    </row>
    <row r="22" spans="1:9" ht="15.6">
      <c r="A22" s="3163" t="s">
        <v>1110</v>
      </c>
      <c r="B22" s="3164"/>
      <c r="C22" s="3165"/>
      <c r="D22" s="1320" t="s">
        <v>1111</v>
      </c>
      <c r="E22" s="1320" t="s">
        <v>1112</v>
      </c>
      <c r="F22" s="1321" t="s">
        <v>1113</v>
      </c>
      <c r="G22" s="1321" t="s">
        <v>1114</v>
      </c>
      <c r="H22" s="1314" t="s">
        <v>1115</v>
      </c>
      <c r="I22" s="1305" t="s">
        <v>1116</v>
      </c>
    </row>
    <row r="23" spans="1:9" ht="15" thickBot="1">
      <c r="A23" s="3166"/>
      <c r="B23" s="3167"/>
      <c r="C23" s="3168"/>
      <c r="D23" s="1322"/>
      <c r="E23" s="1322"/>
      <c r="F23" s="1322"/>
      <c r="G23" s="1323"/>
      <c r="H23" s="1324"/>
      <c r="I23" s="1325">
        <f>ROUND(E23*D23*F23*(1-G23)/10000,0)</f>
        <v>0</v>
      </c>
    </row>
    <row r="26" spans="1:9">
      <c r="A26" s="1326" t="s">
        <v>1117</v>
      </c>
      <c r="B26" s="1326"/>
      <c r="C26" s="1326"/>
      <c r="D26" s="1326"/>
      <c r="E26" s="3169">
        <f>C27-C30-C31-C32</f>
        <v>0</v>
      </c>
      <c r="F26" s="3169"/>
      <c r="G26" s="3169"/>
      <c r="H26" s="1740" t="s">
        <v>1340</v>
      </c>
    </row>
    <row r="27" spans="1:9">
      <c r="A27" s="1327">
        <v>1</v>
      </c>
      <c r="B27" s="1328" t="s">
        <v>1118</v>
      </c>
      <c r="C27" s="1328">
        <f>C28+C29</f>
        <v>0</v>
      </c>
      <c r="D27" s="1328"/>
      <c r="E27" s="3170"/>
      <c r="F27" s="3170"/>
      <c r="G27" s="3170"/>
    </row>
    <row r="28" spans="1:9">
      <c r="A28" s="1329" t="s">
        <v>1119</v>
      </c>
      <c r="B28" s="1328" t="s">
        <v>1120</v>
      </c>
      <c r="C28" s="1328"/>
      <c r="D28" s="1328"/>
      <c r="E28" s="3170"/>
      <c r="F28" s="3170"/>
      <c r="G28" s="3170"/>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61"/>
      <c r="F32" s="3161"/>
      <c r="G32" s="3161"/>
    </row>
    <row r="33" spans="1:7" hidden="1">
      <c r="A33" s="3171" t="s">
        <v>1129</v>
      </c>
      <c r="B33" s="3172"/>
      <c r="C33" s="3172"/>
      <c r="D33" s="3173"/>
      <c r="E33" s="3169"/>
      <c r="F33" s="3169"/>
      <c r="G33" s="3169"/>
    </row>
    <row r="34" spans="1:7" hidden="1">
      <c r="A34" s="1331">
        <v>1</v>
      </c>
      <c r="B34" s="1328" t="s">
        <v>1130</v>
      </c>
      <c r="C34" s="1328"/>
      <c r="D34" s="1328"/>
      <c r="E34" s="3170"/>
      <c r="F34" s="3170"/>
      <c r="G34" s="3170"/>
    </row>
    <row r="35" spans="1:7" hidden="1">
      <c r="A35" s="1331">
        <v>2</v>
      </c>
      <c r="B35" s="1328" t="s">
        <v>1131</v>
      </c>
      <c r="C35" s="1328"/>
      <c r="D35" s="1328"/>
      <c r="E35" s="3170"/>
      <c r="F35" s="3170"/>
      <c r="G35" s="3170"/>
    </row>
    <row r="36" spans="1:7" hidden="1">
      <c r="A36" s="1331">
        <v>3</v>
      </c>
      <c r="B36" s="1328" t="s">
        <v>1132</v>
      </c>
      <c r="C36" s="1328"/>
      <c r="D36" s="1328"/>
      <c r="E36" s="3170"/>
      <c r="F36" s="3170"/>
      <c r="G36" s="3170"/>
    </row>
    <row r="37" spans="1:7" hidden="1">
      <c r="A37" s="1331">
        <v>4</v>
      </c>
      <c r="B37" s="1328" t="s">
        <v>1133</v>
      </c>
      <c r="C37" s="1328"/>
      <c r="D37" s="1328"/>
      <c r="E37" s="3170"/>
      <c r="F37" s="3170"/>
      <c r="G37" s="3170"/>
    </row>
    <row r="38" spans="1:7" hidden="1">
      <c r="A38" s="3171" t="s">
        <v>1134</v>
      </c>
      <c r="B38" s="3172"/>
      <c r="C38" s="3172"/>
      <c r="D38" s="3173"/>
      <c r="E38" s="3169"/>
      <c r="F38" s="3169"/>
      <c r="G38" s="316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F36" sqref="F3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2528</v>
      </c>
      <c r="B1" s="2586" t="s">
        <v>2529</v>
      </c>
      <c r="C1" s="1637" t="s">
        <v>2530</v>
      </c>
      <c r="D1" s="1624"/>
      <c r="E1" s="2587"/>
      <c r="F1" s="2588" t="s">
        <v>2531</v>
      </c>
      <c r="G1" s="1634" t="s">
        <v>2532</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1394</v>
      </c>
      <c r="B2" s="1421" t="e">
        <f ca="1">IF(C2="——",ROUND(C49*D3/10000,0),ROUND(C49*D3/10000,0)-D2)</f>
        <v>#DIV/0!</v>
      </c>
      <c r="C2" s="2590"/>
      <c r="D2" s="1368" t="e">
        <f ca="1">SUMIF(INDIRECT("'"&amp;F2&amp;"'"&amp;"!A:A"),"承租人权益价值",INDIRECT("'"&amp;F2&amp;"'"&amp;"!c:c"))</f>
        <v>#REF!</v>
      </c>
      <c r="E2" s="2591" t="s">
        <v>2533</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2534</v>
      </c>
      <c r="D3" s="399">
        <f>IF(D1="",'数据-汇总表'!E3,SUMIF('数据-汇总表'!$C19:$C33,D1,'数据-汇总表'!$E19:$E33))</f>
        <v>36762</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4.4">
      <c r="A4" s="401" t="s">
        <v>2535</v>
      </c>
      <c r="B4" s="402"/>
      <c r="C4" s="3192" t="s">
        <v>2536</v>
      </c>
      <c r="D4" s="3193"/>
      <c r="E4" s="3194" t="s">
        <v>2537</v>
      </c>
      <c r="F4" s="3195"/>
      <c r="G4" s="3192" t="s">
        <v>2538</v>
      </c>
      <c r="H4" s="3193"/>
      <c r="I4" s="3192" t="s">
        <v>2539</v>
      </c>
      <c r="J4" s="3193"/>
      <c r="K4" s="2600" t="s">
        <v>2540</v>
      </c>
      <c r="L4" s="1133"/>
      <c r="M4" s="1134"/>
      <c r="N4" s="1134"/>
      <c r="O4" s="1134"/>
      <c r="P4" s="3196" t="s">
        <v>2541</v>
      </c>
      <c r="Q4" s="3197"/>
      <c r="R4" s="3179" t="s">
        <v>2537</v>
      </c>
      <c r="S4" s="3180"/>
      <c r="T4" s="3179" t="s">
        <v>2538</v>
      </c>
      <c r="U4" s="3180"/>
      <c r="V4" s="3204" t="s">
        <v>2539</v>
      </c>
      <c r="W4" s="3204"/>
      <c r="X4" s="1816"/>
      <c r="Y4" s="3179" t="s">
        <v>2541</v>
      </c>
      <c r="Z4" s="3180"/>
      <c r="AA4" s="3174" t="s">
        <v>2537</v>
      </c>
      <c r="AB4" s="3174" t="s">
        <v>2538</v>
      </c>
      <c r="AC4" s="3174" t="s">
        <v>2539</v>
      </c>
    </row>
    <row r="5" spans="1:29">
      <c r="A5" s="404"/>
      <c r="B5" s="405"/>
      <c r="C5" s="3185" t="s">
        <v>2542</v>
      </c>
      <c r="D5" s="3186"/>
      <c r="E5" s="3183" t="s">
        <v>2543</v>
      </c>
      <c r="F5" s="3184"/>
      <c r="G5" s="3185" t="s">
        <v>2544</v>
      </c>
      <c r="H5" s="3186"/>
      <c r="I5" s="3185" t="s">
        <v>2545</v>
      </c>
      <c r="J5" s="3186"/>
      <c r="K5" s="2601"/>
      <c r="L5" s="1133"/>
      <c r="M5" s="1134"/>
      <c r="N5" s="1134"/>
      <c r="O5" s="1134"/>
      <c r="P5" s="3198"/>
      <c r="Q5" s="3199"/>
      <c r="R5" s="3181"/>
      <c r="S5" s="3182"/>
      <c r="T5" s="3181"/>
      <c r="U5" s="3182"/>
      <c r="V5" s="3204"/>
      <c r="W5" s="3204"/>
      <c r="X5" s="1816"/>
      <c r="Y5" s="3181"/>
      <c r="Z5" s="3182"/>
      <c r="AA5" s="3175"/>
      <c r="AB5" s="3175"/>
      <c r="AC5" s="3175"/>
    </row>
    <row r="6" spans="1:29" ht="15" thickBot="1">
      <c r="A6" s="406"/>
      <c r="B6" s="407"/>
      <c r="C6" s="3187" t="s">
        <v>2546</v>
      </c>
      <c r="D6" s="3188"/>
      <c r="E6" s="3189" t="s">
        <v>2546</v>
      </c>
      <c r="F6" s="3190"/>
      <c r="G6" s="3187" t="s">
        <v>2546</v>
      </c>
      <c r="H6" s="3188"/>
      <c r="I6" s="3187" t="s">
        <v>2546</v>
      </c>
      <c r="J6" s="3188"/>
      <c r="K6" s="2601" t="s">
        <v>2547</v>
      </c>
      <c r="L6" s="1133"/>
      <c r="M6" s="1134"/>
      <c r="N6" s="1134"/>
      <c r="O6" s="1134"/>
      <c r="P6" s="3200"/>
      <c r="Q6" s="3201"/>
      <c r="R6" s="3181"/>
      <c r="S6" s="3182"/>
      <c r="T6" s="3202"/>
      <c r="U6" s="3203"/>
      <c r="V6" s="3204"/>
      <c r="W6" s="3204"/>
      <c r="X6" s="1816"/>
      <c r="Y6" s="3202"/>
      <c r="Z6" s="3203"/>
      <c r="AA6" s="3176"/>
      <c r="AB6" s="3176"/>
      <c r="AC6" s="3176"/>
    </row>
    <row r="7" spans="1:29" s="117" customFormat="1" ht="15" thickBot="1">
      <c r="A7" s="408" t="s">
        <v>2548</v>
      </c>
      <c r="B7" s="409"/>
      <c r="C7" s="410">
        <f>'数据-取费表'!B2</f>
        <v>43339</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77" t="s">
        <v>2549</v>
      </c>
      <c r="Q7" s="3205"/>
      <c r="R7" s="770" t="s">
        <v>23</v>
      </c>
      <c r="S7" s="771">
        <f t="shared" ref="S7:S15" si="0">F7</f>
        <v>0</v>
      </c>
      <c r="T7" s="770" t="s">
        <v>23</v>
      </c>
      <c r="U7" s="771">
        <f t="shared" ref="U7:U15" si="1">H7</f>
        <v>0</v>
      </c>
      <c r="V7" s="770" t="s">
        <v>23</v>
      </c>
      <c r="W7" s="771">
        <f t="shared" ref="W7:W15" si="2">J7</f>
        <v>0</v>
      </c>
      <c r="X7" s="772"/>
      <c r="Y7" s="3177" t="s">
        <v>2549</v>
      </c>
      <c r="Z7" s="3178"/>
      <c r="AA7" s="773" t="e">
        <f>D7/F7</f>
        <v>#DIV/0!</v>
      </c>
      <c r="AB7" s="773" t="e">
        <f>D7/H7</f>
        <v>#DIV/0!</v>
      </c>
      <c r="AC7" s="773" t="e">
        <f>D7/J7</f>
        <v>#DIV/0!</v>
      </c>
    </row>
    <row r="8" spans="1:29" s="117" customFormat="1" ht="15" thickBot="1">
      <c r="A8" s="408" t="s">
        <v>2550</v>
      </c>
      <c r="B8" s="409"/>
      <c r="C8" s="414" t="s">
        <v>2551</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77" t="s">
        <v>2552</v>
      </c>
      <c r="Q8" s="3178"/>
      <c r="R8" s="770" t="s">
        <v>23</v>
      </c>
      <c r="S8" s="771">
        <f t="shared" si="0"/>
        <v>0</v>
      </c>
      <c r="T8" s="770" t="s">
        <v>23</v>
      </c>
      <c r="U8" s="771">
        <f t="shared" si="1"/>
        <v>0</v>
      </c>
      <c r="V8" s="770" t="s">
        <v>23</v>
      </c>
      <c r="W8" s="771">
        <f t="shared" si="2"/>
        <v>0</v>
      </c>
      <c r="X8" s="772"/>
      <c r="Y8" s="3177" t="s">
        <v>2552</v>
      </c>
      <c r="Z8" s="3178"/>
      <c r="AA8" s="773" t="e">
        <f t="shared" ref="AA8:AA19" si="3">D8/F8</f>
        <v>#DIV/0!</v>
      </c>
      <c r="AB8" s="773" t="e">
        <f t="shared" ref="AB8:AB19" si="4">D8/H8</f>
        <v>#DIV/0!</v>
      </c>
      <c r="AC8" s="773" t="e">
        <f t="shared" ref="AC8:AC19" si="5">D8/J8</f>
        <v>#DIV/0!</v>
      </c>
    </row>
    <row r="9" spans="1:29" s="117" customFormat="1" ht="14.4">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191" t="s">
        <v>2555</v>
      </c>
      <c r="Q9" s="1798" t="str">
        <f t="shared" ref="Q9:Q15" si="6">B9</f>
        <v>用途</v>
      </c>
      <c r="R9" s="770" t="s">
        <v>17</v>
      </c>
      <c r="S9" s="771">
        <f t="shared" si="0"/>
        <v>100</v>
      </c>
      <c r="T9" s="770" t="s">
        <v>17</v>
      </c>
      <c r="U9" s="771">
        <f t="shared" si="1"/>
        <v>100</v>
      </c>
      <c r="V9" s="770" t="s">
        <v>17</v>
      </c>
      <c r="W9" s="771">
        <f t="shared" si="2"/>
        <v>100</v>
      </c>
      <c r="X9" s="772"/>
      <c r="Y9" s="3024"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1"/>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1"/>
      <c r="Q11" s="1798" t="str">
        <f t="shared" si="6"/>
        <v>容积率</v>
      </c>
      <c r="R11" s="770" t="s">
        <v>21</v>
      </c>
      <c r="S11" s="771" t="e">
        <f t="shared" si="0"/>
        <v>#N/A</v>
      </c>
      <c r="T11" s="770" t="s">
        <v>21</v>
      </c>
      <c r="U11" s="771" t="e">
        <f t="shared" si="1"/>
        <v>#N/A</v>
      </c>
      <c r="V11" s="770" t="s">
        <v>21</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191"/>
      <c r="Q12" s="1798">
        <f t="shared" si="6"/>
        <v>111</v>
      </c>
      <c r="R12" s="770" t="s">
        <v>21</v>
      </c>
      <c r="S12" s="771">
        <f t="shared" si="0"/>
        <v>100</v>
      </c>
      <c r="T12" s="770" t="s">
        <v>21</v>
      </c>
      <c r="U12" s="771">
        <f t="shared" si="1"/>
        <v>100</v>
      </c>
      <c r="V12" s="770" t="s">
        <v>21</v>
      </c>
      <c r="W12" s="771">
        <f t="shared" si="2"/>
        <v>100</v>
      </c>
      <c r="X12" s="772"/>
      <c r="Y12" s="3024"/>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191"/>
      <c r="Q13" s="1798">
        <f t="shared" si="6"/>
        <v>111</v>
      </c>
      <c r="R13" s="770" t="s">
        <v>21</v>
      </c>
      <c r="S13" s="771">
        <f t="shared" si="0"/>
        <v>100</v>
      </c>
      <c r="T13" s="770" t="s">
        <v>21</v>
      </c>
      <c r="U13" s="771">
        <f t="shared" si="1"/>
        <v>100</v>
      </c>
      <c r="V13" s="770" t="s">
        <v>21</v>
      </c>
      <c r="W13" s="771">
        <f t="shared" si="2"/>
        <v>100</v>
      </c>
      <c r="X13" s="772"/>
      <c r="Y13" s="3024"/>
      <c r="Z13" s="55">
        <f t="shared" si="7"/>
        <v>111</v>
      </c>
      <c r="AA13" s="773">
        <f t="shared" si="3"/>
        <v>1</v>
      </c>
      <c r="AB13" s="773">
        <f t="shared" si="4"/>
        <v>1</v>
      </c>
      <c r="AC13" s="773">
        <f t="shared" si="5"/>
        <v>1</v>
      </c>
    </row>
    <row r="14" spans="1:29" ht="15.6"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191"/>
      <c r="Q14" s="1798">
        <f t="shared" si="6"/>
        <v>111</v>
      </c>
      <c r="R14" s="770" t="s">
        <v>21</v>
      </c>
      <c r="S14" s="771">
        <f t="shared" si="0"/>
        <v>100</v>
      </c>
      <c r="T14" s="770" t="s">
        <v>21</v>
      </c>
      <c r="U14" s="771">
        <f t="shared" si="1"/>
        <v>100</v>
      </c>
      <c r="V14" s="770" t="s">
        <v>21</v>
      </c>
      <c r="W14" s="771">
        <f t="shared" si="2"/>
        <v>100</v>
      </c>
      <c r="X14" s="772"/>
      <c r="Y14" s="3024"/>
      <c r="Z14" s="55">
        <f t="shared" si="7"/>
        <v>111</v>
      </c>
      <c r="AA14" s="773">
        <f t="shared" si="3"/>
        <v>1</v>
      </c>
      <c r="AB14" s="773">
        <f t="shared" si="4"/>
        <v>1</v>
      </c>
      <c r="AC14" s="773">
        <f t="shared" si="5"/>
        <v>1</v>
      </c>
    </row>
    <row r="15" spans="1:29" ht="96.6">
      <c r="A15" s="440" t="s">
        <v>2559</v>
      </c>
      <c r="B15" s="69" t="s">
        <v>2084</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8" t="s">
        <v>2560</v>
      </c>
      <c r="Q15" s="1813" t="str">
        <f t="shared" si="6"/>
        <v>居住社区成熟度</v>
      </c>
      <c r="R15" s="774" t="s">
        <v>21</v>
      </c>
      <c r="S15" s="775">
        <f t="shared" si="0"/>
        <v>100</v>
      </c>
      <c r="T15" s="774" t="s">
        <v>21</v>
      </c>
      <c r="U15" s="775">
        <f t="shared" si="1"/>
        <v>100</v>
      </c>
      <c r="V15" s="774" t="s">
        <v>21</v>
      </c>
      <c r="W15" s="775">
        <f t="shared" si="2"/>
        <v>100</v>
      </c>
      <c r="X15" s="1816"/>
      <c r="Y15" s="3211" t="s">
        <v>2560</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19"/>
      <c r="Q16" s="1813"/>
      <c r="R16" s="774"/>
      <c r="S16" s="775"/>
      <c r="T16" s="774"/>
      <c r="U16" s="775"/>
      <c r="V16" s="774"/>
      <c r="W16" s="775"/>
      <c r="X16" s="1816"/>
      <c r="Y16" s="3212"/>
      <c r="Z16" s="1817"/>
      <c r="AA16" s="1814">
        <v>1</v>
      </c>
      <c r="AB16" s="1814">
        <v>1</v>
      </c>
      <c r="AC16" s="1814">
        <v>1</v>
      </c>
    </row>
    <row r="17" spans="1:29" ht="82.8">
      <c r="A17" s="428"/>
      <c r="B17" s="451" t="s">
        <v>2096</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9"/>
      <c r="Q17" s="1813" t="str">
        <f>B17</f>
        <v>交通便捷度</v>
      </c>
      <c r="R17" s="774" t="s">
        <v>21</v>
      </c>
      <c r="S17" s="775">
        <f>F17</f>
        <v>100</v>
      </c>
      <c r="T17" s="774" t="s">
        <v>21</v>
      </c>
      <c r="U17" s="775">
        <f>H17</f>
        <v>100</v>
      </c>
      <c r="V17" s="774" t="s">
        <v>21</v>
      </c>
      <c r="W17" s="775">
        <f>J17</f>
        <v>100</v>
      </c>
      <c r="X17" s="1816"/>
      <c r="Y17" s="3212"/>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19"/>
      <c r="Q18" s="1813"/>
      <c r="R18" s="774"/>
      <c r="S18" s="775"/>
      <c r="T18" s="774"/>
      <c r="U18" s="775"/>
      <c r="V18" s="774"/>
      <c r="W18" s="775"/>
      <c r="X18" s="1816"/>
      <c r="Y18" s="3212"/>
      <c r="Z18" s="1817"/>
      <c r="AA18" s="1814">
        <v>1</v>
      </c>
      <c r="AB18" s="1814">
        <v>1</v>
      </c>
      <c r="AC18" s="1814">
        <v>1</v>
      </c>
    </row>
    <row r="19" spans="1:29" ht="41.4">
      <c r="A19" s="428"/>
      <c r="B19" s="451" t="s">
        <v>2094</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9"/>
      <c r="Q19" s="1813" t="str">
        <f>B19</f>
        <v>公共配套设施</v>
      </c>
      <c r="R19" s="774" t="s">
        <v>21</v>
      </c>
      <c r="S19" s="775">
        <f>F19</f>
        <v>100</v>
      </c>
      <c r="T19" s="774" t="s">
        <v>21</v>
      </c>
      <c r="U19" s="775">
        <f>H19</f>
        <v>100</v>
      </c>
      <c r="V19" s="774" t="s">
        <v>21</v>
      </c>
      <c r="W19" s="775">
        <f>J19</f>
        <v>100</v>
      </c>
      <c r="X19" s="1816"/>
      <c r="Y19" s="3212"/>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19"/>
      <c r="Q20" s="1813"/>
      <c r="R20" s="774"/>
      <c r="S20" s="775"/>
      <c r="T20" s="774"/>
      <c r="U20" s="775"/>
      <c r="V20" s="774"/>
      <c r="W20" s="775"/>
      <c r="X20" s="1816"/>
      <c r="Y20" s="3212"/>
      <c r="Z20" s="1817"/>
      <c r="AA20" s="1814">
        <v>1</v>
      </c>
      <c r="AB20" s="1814">
        <v>1</v>
      </c>
      <c r="AC20" s="1814">
        <v>1</v>
      </c>
    </row>
    <row r="21" spans="1:29" ht="27.6">
      <c r="A21" s="428"/>
      <c r="B21" s="1387" t="s">
        <v>2097</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9"/>
      <c r="Q21" s="1813" t="str">
        <f>B21</f>
        <v>基础设施水平</v>
      </c>
      <c r="R21" s="774" t="s">
        <v>17</v>
      </c>
      <c r="S21" s="775">
        <f>F21</f>
        <v>100</v>
      </c>
      <c r="T21" s="774" t="s">
        <v>17</v>
      </c>
      <c r="U21" s="775">
        <f>H21</f>
        <v>100</v>
      </c>
      <c r="V21" s="774" t="s">
        <v>17</v>
      </c>
      <c r="W21" s="775">
        <f>J21</f>
        <v>100</v>
      </c>
      <c r="X21" s="1816"/>
      <c r="Y21" s="3212"/>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19"/>
      <c r="Q22" s="1813"/>
      <c r="R22" s="774"/>
      <c r="S22" s="775"/>
      <c r="T22" s="774"/>
      <c r="U22" s="775"/>
      <c r="V22" s="774"/>
      <c r="W22" s="775"/>
      <c r="X22" s="1816"/>
      <c r="Y22" s="3212"/>
      <c r="Z22" s="1817"/>
      <c r="AA22" s="1814">
        <v>1</v>
      </c>
      <c r="AB22" s="1814">
        <v>1</v>
      </c>
      <c r="AC22" s="1814">
        <v>1</v>
      </c>
    </row>
    <row r="23" spans="1:29" ht="55.2">
      <c r="A23" s="428"/>
      <c r="B23" s="451" t="s">
        <v>2101</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9"/>
      <c r="Q23" s="1813" t="str">
        <f>B23</f>
        <v>自然及人文环境</v>
      </c>
      <c r="R23" s="774" t="s">
        <v>21</v>
      </c>
      <c r="S23" s="775">
        <f>F23</f>
        <v>100</v>
      </c>
      <c r="T23" s="774" t="s">
        <v>21</v>
      </c>
      <c r="U23" s="775">
        <f>H23</f>
        <v>100</v>
      </c>
      <c r="V23" s="774" t="s">
        <v>21</v>
      </c>
      <c r="W23" s="775">
        <f>J23</f>
        <v>100</v>
      </c>
      <c r="X23" s="1816"/>
      <c r="Y23" s="3212"/>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19"/>
      <c r="Q24" s="1813"/>
      <c r="R24" s="774"/>
      <c r="S24" s="775"/>
      <c r="T24" s="774"/>
      <c r="U24" s="775"/>
      <c r="V24" s="774"/>
      <c r="W24" s="775"/>
      <c r="X24" s="1816"/>
      <c r="Y24" s="3212"/>
      <c r="Z24" s="1817"/>
      <c r="AA24" s="1814">
        <v>1</v>
      </c>
      <c r="AB24" s="1814">
        <v>1</v>
      </c>
      <c r="AC24" s="1814">
        <v>1</v>
      </c>
    </row>
    <row r="25" spans="1:29" ht="15">
      <c r="A25" s="428"/>
      <c r="B25" s="422" t="s">
        <v>2561</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1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2"/>
      <c r="Z25" s="1817" t="str">
        <f>Q25</f>
        <v>楼层-1</v>
      </c>
      <c r="AA25" s="1814">
        <f t="shared" ref="AA25:AA46" si="15">D25/F25</f>
        <v>1</v>
      </c>
      <c r="AB25" s="1814">
        <f t="shared" ref="AB25:AB46" si="16">D25/H25</f>
        <v>1</v>
      </c>
      <c r="AC25" s="1814">
        <f t="shared" ref="AC25:AC46" si="17">D25/J25</f>
        <v>1</v>
      </c>
    </row>
    <row r="26" spans="1:29" ht="15">
      <c r="A26" s="428"/>
      <c r="B26" s="422" t="s">
        <v>2562</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19"/>
      <c r="Q26" s="1813" t="str">
        <f t="shared" si="11"/>
        <v>朝向</v>
      </c>
      <c r="R26" s="774" t="s">
        <v>21</v>
      </c>
      <c r="S26" s="775">
        <f t="shared" si="12"/>
        <v>100</v>
      </c>
      <c r="T26" s="774" t="s">
        <v>21</v>
      </c>
      <c r="U26" s="775">
        <f t="shared" si="13"/>
        <v>100</v>
      </c>
      <c r="V26" s="774" t="s">
        <v>21</v>
      </c>
      <c r="W26" s="775">
        <f t="shared" si="14"/>
        <v>100</v>
      </c>
      <c r="X26" s="1816"/>
      <c r="Y26" s="321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19"/>
      <c r="Q27" s="1798">
        <f t="shared" si="11"/>
        <v>111</v>
      </c>
      <c r="R27" s="770" t="s">
        <v>21</v>
      </c>
      <c r="S27" s="771">
        <f t="shared" si="12"/>
        <v>100</v>
      </c>
      <c r="T27" s="770" t="s">
        <v>21</v>
      </c>
      <c r="U27" s="771">
        <f t="shared" si="13"/>
        <v>100</v>
      </c>
      <c r="V27" s="770" t="s">
        <v>21</v>
      </c>
      <c r="W27" s="771">
        <f t="shared" si="14"/>
        <v>100</v>
      </c>
      <c r="X27" s="772"/>
      <c r="Y27" s="321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19"/>
      <c r="Q28" s="1813">
        <f t="shared" si="11"/>
        <v>111</v>
      </c>
      <c r="R28" s="774" t="s">
        <v>21</v>
      </c>
      <c r="S28" s="775">
        <f t="shared" si="12"/>
        <v>100</v>
      </c>
      <c r="T28" s="774" t="s">
        <v>21</v>
      </c>
      <c r="U28" s="775">
        <f t="shared" si="13"/>
        <v>100</v>
      </c>
      <c r="V28" s="774" t="s">
        <v>21</v>
      </c>
      <c r="W28" s="775">
        <f t="shared" si="14"/>
        <v>100</v>
      </c>
      <c r="X28" s="1816"/>
      <c r="Y28" s="321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19"/>
      <c r="Q29" s="1813">
        <f t="shared" si="11"/>
        <v>111</v>
      </c>
      <c r="R29" s="774" t="s">
        <v>21</v>
      </c>
      <c r="S29" s="775">
        <f t="shared" si="12"/>
        <v>100</v>
      </c>
      <c r="T29" s="774" t="s">
        <v>21</v>
      </c>
      <c r="U29" s="775">
        <f t="shared" si="13"/>
        <v>100</v>
      </c>
      <c r="V29" s="774" t="s">
        <v>21</v>
      </c>
      <c r="W29" s="775">
        <f t="shared" si="14"/>
        <v>100</v>
      </c>
      <c r="X29" s="1816"/>
      <c r="Y29" s="321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19"/>
      <c r="Q30" s="1813">
        <f t="shared" si="11"/>
        <v>111</v>
      </c>
      <c r="R30" s="774" t="s">
        <v>21</v>
      </c>
      <c r="S30" s="775">
        <f t="shared" si="12"/>
        <v>100</v>
      </c>
      <c r="T30" s="774" t="s">
        <v>21</v>
      </c>
      <c r="U30" s="775">
        <f t="shared" si="13"/>
        <v>100</v>
      </c>
      <c r="V30" s="774" t="s">
        <v>21</v>
      </c>
      <c r="W30" s="775">
        <f t="shared" si="14"/>
        <v>100</v>
      </c>
      <c r="X30" s="1816"/>
      <c r="Y30" s="3212"/>
      <c r="Z30" s="1817">
        <f t="shared" si="18"/>
        <v>111</v>
      </c>
      <c r="AA30" s="1814">
        <f t="shared" si="15"/>
        <v>1</v>
      </c>
      <c r="AB30" s="1814">
        <f t="shared" si="16"/>
        <v>1</v>
      </c>
      <c r="AC30" s="1814">
        <f t="shared" si="17"/>
        <v>1</v>
      </c>
    </row>
    <row r="31" spans="1:29" ht="15.6"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19"/>
      <c r="Q31" s="1813">
        <f t="shared" si="11"/>
        <v>111</v>
      </c>
      <c r="R31" s="774" t="s">
        <v>21</v>
      </c>
      <c r="S31" s="775">
        <f t="shared" si="12"/>
        <v>100</v>
      </c>
      <c r="T31" s="774" t="s">
        <v>21</v>
      </c>
      <c r="U31" s="775">
        <f t="shared" si="13"/>
        <v>100</v>
      </c>
      <c r="V31" s="774" t="s">
        <v>21</v>
      </c>
      <c r="W31" s="775">
        <f t="shared" si="14"/>
        <v>100</v>
      </c>
      <c r="X31" s="1816"/>
      <c r="Y31" s="3212"/>
      <c r="Z31" s="1817">
        <f t="shared" si="18"/>
        <v>111</v>
      </c>
      <c r="AA31" s="1814">
        <f t="shared" si="15"/>
        <v>1</v>
      </c>
      <c r="AB31" s="1814">
        <f t="shared" si="16"/>
        <v>1</v>
      </c>
      <c r="AC31" s="1814">
        <f t="shared" si="17"/>
        <v>1</v>
      </c>
    </row>
    <row r="32" spans="1:29" ht="15">
      <c r="A32" s="440" t="s">
        <v>2563</v>
      </c>
      <c r="B32" s="71" t="s">
        <v>2564</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13" t="s">
        <v>2565</v>
      </c>
      <c r="Q32" s="1813" t="str">
        <f t="shared" si="11"/>
        <v>建筑类型</v>
      </c>
      <c r="R32" s="774" t="s">
        <v>21</v>
      </c>
      <c r="S32" s="775">
        <f t="shared" si="12"/>
        <v>100</v>
      </c>
      <c r="T32" s="774" t="s">
        <v>21</v>
      </c>
      <c r="U32" s="775">
        <f t="shared" si="13"/>
        <v>100</v>
      </c>
      <c r="V32" s="774" t="s">
        <v>21</v>
      </c>
      <c r="W32" s="775">
        <f t="shared" si="14"/>
        <v>100</v>
      </c>
      <c r="X32" s="1816"/>
      <c r="Y32" s="3216" t="s">
        <v>2565</v>
      </c>
      <c r="Z32" s="1817" t="str">
        <f t="shared" si="18"/>
        <v>建筑类型</v>
      </c>
      <c r="AA32" s="1814">
        <f t="shared" si="15"/>
        <v>1</v>
      </c>
      <c r="AB32" s="1814">
        <f t="shared" si="16"/>
        <v>1</v>
      </c>
      <c r="AC32" s="1814">
        <f t="shared" si="17"/>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14"/>
      <c r="Q33" s="776" t="str">
        <f t="shared" si="11"/>
        <v>项目建筑规模</v>
      </c>
      <c r="R33" s="777" t="s">
        <v>21</v>
      </c>
      <c r="S33" s="778" t="e">
        <f t="shared" si="12"/>
        <v>#N/A</v>
      </c>
      <c r="T33" s="777" t="s">
        <v>21</v>
      </c>
      <c r="U33" s="778" t="e">
        <f t="shared" si="13"/>
        <v>#N/A</v>
      </c>
      <c r="V33" s="777" t="s">
        <v>21</v>
      </c>
      <c r="W33" s="778" t="e">
        <f t="shared" si="14"/>
        <v>#N/A</v>
      </c>
      <c r="X33" s="779"/>
      <c r="Y33" s="3216"/>
      <c r="Z33" s="780" t="str">
        <f t="shared" si="18"/>
        <v>项目建筑规模</v>
      </c>
      <c r="AA33" s="1814" t="e">
        <f t="shared" si="15"/>
        <v>#N/A</v>
      </c>
      <c r="AB33" s="1814" t="e">
        <f t="shared" si="16"/>
        <v>#N/A</v>
      </c>
      <c r="AC33" s="1814" t="e">
        <f t="shared" si="17"/>
        <v>#N/A</v>
      </c>
    </row>
    <row r="34" spans="1:29" ht="15">
      <c r="A34" s="472"/>
      <c r="B34" s="422" t="s">
        <v>2567</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14"/>
      <c r="Q34" s="1813" t="str">
        <f t="shared" si="11"/>
        <v>建筑结构</v>
      </c>
      <c r="R34" s="774" t="s">
        <v>21</v>
      </c>
      <c r="S34" s="775">
        <f t="shared" si="12"/>
        <v>100</v>
      </c>
      <c r="T34" s="774" t="s">
        <v>21</v>
      </c>
      <c r="U34" s="775">
        <f t="shared" si="13"/>
        <v>100</v>
      </c>
      <c r="V34" s="774" t="s">
        <v>21</v>
      </c>
      <c r="W34" s="775">
        <f t="shared" si="14"/>
        <v>100</v>
      </c>
      <c r="X34" s="1816"/>
      <c r="Y34" s="3216"/>
      <c r="Z34" s="1817" t="str">
        <f t="shared" si="18"/>
        <v>建筑结构</v>
      </c>
      <c r="AA34" s="1814">
        <f t="shared" si="15"/>
        <v>1</v>
      </c>
      <c r="AB34" s="1814">
        <f t="shared" si="16"/>
        <v>1</v>
      </c>
      <c r="AC34" s="1814">
        <f t="shared" si="17"/>
        <v>1</v>
      </c>
    </row>
    <row r="35" spans="1:29" ht="15">
      <c r="A35" s="472"/>
      <c r="B35" s="422" t="s">
        <v>2568</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14"/>
      <c r="Q35" s="1813" t="str">
        <f t="shared" si="11"/>
        <v>建筑品质</v>
      </c>
      <c r="R35" s="774" t="s">
        <v>21</v>
      </c>
      <c r="S35" s="775">
        <f t="shared" si="12"/>
        <v>100</v>
      </c>
      <c r="T35" s="774" t="s">
        <v>21</v>
      </c>
      <c r="U35" s="775">
        <f t="shared" si="13"/>
        <v>100</v>
      </c>
      <c r="V35" s="774" t="s">
        <v>21</v>
      </c>
      <c r="W35" s="775">
        <f t="shared" si="14"/>
        <v>100</v>
      </c>
      <c r="X35" s="1816"/>
      <c r="Y35" s="3216"/>
      <c r="Z35" s="1817" t="str">
        <f t="shared" si="18"/>
        <v>建筑品质</v>
      </c>
      <c r="AA35" s="1814">
        <f t="shared" si="15"/>
        <v>1</v>
      </c>
      <c r="AB35" s="1814">
        <f t="shared" si="16"/>
        <v>1</v>
      </c>
      <c r="AC35" s="1814">
        <f t="shared" si="17"/>
        <v>1</v>
      </c>
    </row>
    <row r="36" spans="1:29" ht="15">
      <c r="A36" s="472"/>
      <c r="B36" s="422" t="s">
        <v>2569</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14"/>
      <c r="Q36" s="1813" t="str">
        <f t="shared" si="11"/>
        <v>公共部分装修</v>
      </c>
      <c r="R36" s="774" t="s">
        <v>21</v>
      </c>
      <c r="S36" s="775">
        <f t="shared" si="12"/>
        <v>100</v>
      </c>
      <c r="T36" s="774" t="s">
        <v>21</v>
      </c>
      <c r="U36" s="775">
        <f t="shared" si="13"/>
        <v>100</v>
      </c>
      <c r="V36" s="774" t="s">
        <v>21</v>
      </c>
      <c r="W36" s="775">
        <f t="shared" si="14"/>
        <v>100</v>
      </c>
      <c r="X36" s="1816"/>
      <c r="Y36" s="3216"/>
      <c r="Z36" s="1817" t="str">
        <f t="shared" si="18"/>
        <v>公共部分装修</v>
      </c>
      <c r="AA36" s="1814">
        <f t="shared" si="15"/>
        <v>1</v>
      </c>
      <c r="AB36" s="1814">
        <f t="shared" si="16"/>
        <v>1</v>
      </c>
      <c r="AC36" s="1814">
        <f t="shared" si="17"/>
        <v>1</v>
      </c>
    </row>
    <row r="37" spans="1:29" s="117" customFormat="1" ht="15">
      <c r="A37" s="473"/>
      <c r="B37" s="422" t="s">
        <v>2570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14"/>
      <c r="Q37" s="1798" t="str">
        <f t="shared" si="11"/>
        <v>成新度</v>
      </c>
      <c r="R37" s="770" t="s">
        <v>21</v>
      </c>
      <c r="S37" s="771" t="e">
        <f t="shared" si="12"/>
        <v>#N/A</v>
      </c>
      <c r="T37" s="770" t="s">
        <v>21</v>
      </c>
      <c r="U37" s="771" t="e">
        <f t="shared" si="13"/>
        <v>#N/A</v>
      </c>
      <c r="V37" s="770" t="s">
        <v>21</v>
      </c>
      <c r="W37" s="771" t="e">
        <f t="shared" si="14"/>
        <v>#N/A</v>
      </c>
      <c r="X37" s="772"/>
      <c r="Y37" s="3216"/>
      <c r="Z37" s="55" t="str">
        <f t="shared" si="18"/>
        <v>成新度</v>
      </c>
      <c r="AA37" s="773" t="e">
        <f t="shared" si="15"/>
        <v>#N/A</v>
      </c>
      <c r="AB37" s="773" t="e">
        <f t="shared" si="16"/>
        <v>#N/A</v>
      </c>
      <c r="AC37" s="773" t="e">
        <f t="shared" si="17"/>
        <v>#N/A</v>
      </c>
    </row>
    <row r="38" spans="1:29" ht="15">
      <c r="A38" s="472"/>
      <c r="B38" s="422" t="s">
        <v>2571</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14" t="s">
        <v>2565</v>
      </c>
      <c r="Q38" s="1813" t="str">
        <f t="shared" si="11"/>
        <v>物业管理</v>
      </c>
      <c r="R38" s="774" t="s">
        <v>21</v>
      </c>
      <c r="S38" s="775">
        <f t="shared" si="12"/>
        <v>100</v>
      </c>
      <c r="T38" s="774" t="s">
        <v>21</v>
      </c>
      <c r="U38" s="775">
        <f t="shared" si="13"/>
        <v>100</v>
      </c>
      <c r="V38" s="774" t="s">
        <v>21</v>
      </c>
      <c r="W38" s="775">
        <f t="shared" si="14"/>
        <v>100</v>
      </c>
      <c r="X38" s="1816"/>
      <c r="Y38" s="3216" t="s">
        <v>2565</v>
      </c>
      <c r="Z38" s="1817" t="str">
        <f t="shared" si="18"/>
        <v>物业管理</v>
      </c>
      <c r="AA38" s="1814">
        <f t="shared" si="15"/>
        <v>1</v>
      </c>
      <c r="AB38" s="1814">
        <f t="shared" si="16"/>
        <v>1</v>
      </c>
      <c r="AC38" s="1814">
        <f t="shared" si="17"/>
        <v>1</v>
      </c>
    </row>
    <row r="39" spans="1:29" ht="15">
      <c r="A39" s="472"/>
      <c r="B39" s="422" t="s">
        <v>2572</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14"/>
      <c r="Q39" s="1813" t="str">
        <f t="shared" si="11"/>
        <v>市政基础设施</v>
      </c>
      <c r="R39" s="774" t="s">
        <v>21</v>
      </c>
      <c r="S39" s="775">
        <f t="shared" si="12"/>
        <v>100</v>
      </c>
      <c r="T39" s="774" t="s">
        <v>21</v>
      </c>
      <c r="U39" s="775">
        <f t="shared" si="13"/>
        <v>100</v>
      </c>
      <c r="V39" s="774" t="s">
        <v>21</v>
      </c>
      <c r="W39" s="775">
        <f t="shared" si="14"/>
        <v>100</v>
      </c>
      <c r="X39" s="1816"/>
      <c r="Y39" s="3216"/>
      <c r="Z39" s="1817" t="str">
        <f t="shared" si="18"/>
        <v>市政基础设施</v>
      </c>
      <c r="AA39" s="1814">
        <f t="shared" si="15"/>
        <v>1</v>
      </c>
      <c r="AB39" s="1814">
        <f t="shared" si="16"/>
        <v>1</v>
      </c>
      <c r="AC39" s="1814">
        <f t="shared" si="17"/>
        <v>1</v>
      </c>
    </row>
    <row r="40" spans="1:29" ht="15">
      <c r="A40" s="472"/>
      <c r="B40" s="422" t="s">
        <v>2573</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14"/>
      <c r="Q40" s="1813" t="str">
        <f t="shared" si="11"/>
        <v>房型</v>
      </c>
      <c r="R40" s="774" t="s">
        <v>21</v>
      </c>
      <c r="S40" s="775">
        <f t="shared" si="12"/>
        <v>100</v>
      </c>
      <c r="T40" s="774" t="s">
        <v>21</v>
      </c>
      <c r="U40" s="775">
        <f t="shared" si="13"/>
        <v>100</v>
      </c>
      <c r="V40" s="774" t="s">
        <v>21</v>
      </c>
      <c r="W40" s="775">
        <f t="shared" si="14"/>
        <v>100</v>
      </c>
      <c r="X40" s="1816"/>
      <c r="Y40" s="3216"/>
      <c r="Z40" s="1817" t="str">
        <f t="shared" si="18"/>
        <v>房型</v>
      </c>
      <c r="AA40" s="1814">
        <f t="shared" si="15"/>
        <v>1</v>
      </c>
      <c r="AB40" s="1814">
        <f t="shared" si="16"/>
        <v>1</v>
      </c>
      <c r="AC40" s="1814">
        <f t="shared" si="17"/>
        <v>1</v>
      </c>
    </row>
    <row r="41" spans="1:29" s="471" customFormat="1" ht="28.8">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14"/>
      <c r="Q41" s="776" t="str">
        <f t="shared" si="11"/>
        <v>单套/主力户型建筑面积</v>
      </c>
      <c r="R41" s="777" t="s">
        <v>21</v>
      </c>
      <c r="S41" s="778">
        <f t="shared" si="12"/>
        <v>100</v>
      </c>
      <c r="T41" s="777" t="s">
        <v>21</v>
      </c>
      <c r="U41" s="778">
        <f t="shared" si="13"/>
        <v>100</v>
      </c>
      <c r="V41" s="777" t="s">
        <v>21</v>
      </c>
      <c r="W41" s="778">
        <f t="shared" si="14"/>
        <v>100</v>
      </c>
      <c r="X41" s="779"/>
      <c r="Y41" s="3216"/>
      <c r="Z41" s="780" t="str">
        <f t="shared" si="18"/>
        <v>单套/主力户型建筑面积</v>
      </c>
      <c r="AA41" s="1814">
        <f t="shared" si="15"/>
        <v>1</v>
      </c>
      <c r="AB41" s="1814">
        <f t="shared" si="16"/>
        <v>1</v>
      </c>
      <c r="AC41" s="1814">
        <f t="shared" si="17"/>
        <v>1</v>
      </c>
    </row>
    <row r="42" spans="1:29" ht="15">
      <c r="A42" s="472"/>
      <c r="B42" s="422" t="s">
        <v>2575</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14"/>
      <c r="Q42" s="1813" t="str">
        <f t="shared" si="11"/>
        <v>内部装修</v>
      </c>
      <c r="R42" s="774" t="s">
        <v>21</v>
      </c>
      <c r="S42" s="775">
        <f t="shared" si="12"/>
        <v>100</v>
      </c>
      <c r="T42" s="774" t="s">
        <v>21</v>
      </c>
      <c r="U42" s="775">
        <f t="shared" si="13"/>
        <v>100</v>
      </c>
      <c r="V42" s="774" t="s">
        <v>21</v>
      </c>
      <c r="W42" s="775">
        <f t="shared" si="14"/>
        <v>100</v>
      </c>
      <c r="X42" s="1816"/>
      <c r="Y42" s="3216"/>
      <c r="Z42" s="1817" t="str">
        <f t="shared" si="18"/>
        <v>内部装修</v>
      </c>
      <c r="AA42" s="1814">
        <f t="shared" si="15"/>
        <v>1</v>
      </c>
      <c r="AB42" s="1814">
        <f t="shared" si="16"/>
        <v>1</v>
      </c>
      <c r="AC42" s="1814">
        <f t="shared" si="17"/>
        <v>1</v>
      </c>
    </row>
    <row r="43" spans="1:29" ht="28.8">
      <c r="A43" s="472"/>
      <c r="B43" s="422" t="s">
        <v>2576</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14"/>
      <c r="Q43" s="1813" t="str">
        <f t="shared" si="11"/>
        <v>内部装修维护情况</v>
      </c>
      <c r="R43" s="774" t="s">
        <v>21</v>
      </c>
      <c r="S43" s="775">
        <f t="shared" si="12"/>
        <v>100</v>
      </c>
      <c r="T43" s="774" t="s">
        <v>21</v>
      </c>
      <c r="U43" s="775">
        <f t="shared" si="13"/>
        <v>100</v>
      </c>
      <c r="V43" s="774" t="s">
        <v>21</v>
      </c>
      <c r="W43" s="775">
        <f t="shared" si="14"/>
        <v>100</v>
      </c>
      <c r="X43" s="1816"/>
      <c r="Y43" s="321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14"/>
      <c r="Q44" s="1798">
        <f t="shared" si="11"/>
        <v>111</v>
      </c>
      <c r="R44" s="770" t="s">
        <v>21</v>
      </c>
      <c r="S44" s="771">
        <f t="shared" si="12"/>
        <v>100</v>
      </c>
      <c r="T44" s="770" t="s">
        <v>21</v>
      </c>
      <c r="U44" s="771">
        <f t="shared" si="13"/>
        <v>100</v>
      </c>
      <c r="V44" s="770" t="s">
        <v>21</v>
      </c>
      <c r="W44" s="771">
        <f t="shared" si="14"/>
        <v>100</v>
      </c>
      <c r="X44" s="772"/>
      <c r="Y44" s="321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14"/>
      <c r="Q45" s="1813">
        <f t="shared" si="11"/>
        <v>111</v>
      </c>
      <c r="R45" s="774" t="s">
        <v>21</v>
      </c>
      <c r="S45" s="775">
        <f t="shared" si="12"/>
        <v>100</v>
      </c>
      <c r="T45" s="774" t="s">
        <v>21</v>
      </c>
      <c r="U45" s="775">
        <f t="shared" si="13"/>
        <v>100</v>
      </c>
      <c r="V45" s="774" t="s">
        <v>21</v>
      </c>
      <c r="W45" s="775">
        <f t="shared" si="14"/>
        <v>100</v>
      </c>
      <c r="X45" s="1816"/>
      <c r="Y45" s="3216"/>
      <c r="Z45" s="1817">
        <f t="shared" si="18"/>
        <v>111</v>
      </c>
      <c r="AA45" s="1814">
        <f t="shared" si="15"/>
        <v>1</v>
      </c>
      <c r="AB45" s="1814">
        <f t="shared" si="16"/>
        <v>1</v>
      </c>
      <c r="AC45" s="1814">
        <f t="shared" si="17"/>
        <v>1</v>
      </c>
    </row>
    <row r="46" spans="1:29" ht="15.6"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15"/>
      <c r="Q46" s="1813">
        <f t="shared" si="11"/>
        <v>111</v>
      </c>
      <c r="R46" s="774" t="s">
        <v>20</v>
      </c>
      <c r="S46" s="775">
        <f t="shared" si="12"/>
        <v>100</v>
      </c>
      <c r="T46" s="774" t="s">
        <v>20</v>
      </c>
      <c r="U46" s="775">
        <f t="shared" si="13"/>
        <v>100</v>
      </c>
      <c r="V46" s="774" t="s">
        <v>20</v>
      </c>
      <c r="W46" s="775">
        <f t="shared" si="14"/>
        <v>100</v>
      </c>
      <c r="X46" s="1816"/>
      <c r="Y46" s="3217"/>
      <c r="Z46" s="1817">
        <f t="shared" si="18"/>
        <v>111</v>
      </c>
      <c r="AA46" s="1814">
        <f t="shared" si="15"/>
        <v>1</v>
      </c>
      <c r="AB46" s="1814">
        <f t="shared" si="16"/>
        <v>1</v>
      </c>
      <c r="AC46" s="1814">
        <f t="shared" si="17"/>
        <v>1</v>
      </c>
    </row>
    <row r="47" spans="1:29" ht="14.4">
      <c r="A47" s="479" t="s">
        <v>2577</v>
      </c>
      <c r="B47" s="480"/>
      <c r="C47" s="1410" t="s">
        <v>19</v>
      </c>
      <c r="D47" s="1411"/>
      <c r="E47" s="1412"/>
      <c r="F47" s="1413"/>
      <c r="G47" s="1414"/>
      <c r="H47" s="1415"/>
      <c r="I47" s="1412"/>
      <c r="J47" s="1415"/>
      <c r="K47" s="2625"/>
      <c r="L47" s="1146"/>
      <c r="M47" s="1147"/>
      <c r="N47" s="1134"/>
      <c r="O47" s="1147"/>
      <c r="P47" s="3209" t="str">
        <f>A47</f>
        <v>成交单价（元/平方米）</v>
      </c>
      <c r="Q47" s="3209"/>
      <c r="R47" s="3210">
        <f>E47</f>
        <v>0</v>
      </c>
      <c r="S47" s="3210"/>
      <c r="T47" s="3210">
        <f>G47</f>
        <v>0</v>
      </c>
      <c r="U47" s="3210"/>
      <c r="V47" s="3210">
        <f>I47</f>
        <v>0</v>
      </c>
      <c r="W47" s="3210"/>
      <c r="X47" s="759"/>
      <c r="Y47" s="781"/>
      <c r="Z47" s="759"/>
      <c r="AA47" s="759"/>
      <c r="AB47" s="759"/>
      <c r="AC47" s="759"/>
    </row>
    <row r="48" spans="1:29" ht="15" thickBot="1">
      <c r="A48" s="486" t="s">
        <v>2578</v>
      </c>
      <c r="B48" s="487"/>
      <c r="C48" s="1416" t="e">
        <f>R49</f>
        <v>#DIV/0!</v>
      </c>
      <c r="D48" s="1417"/>
      <c r="E48" s="1418" t="e">
        <f>R48</f>
        <v>#DIV/0!</v>
      </c>
      <c r="F48" s="1418"/>
      <c r="G48" s="1416" t="e">
        <f>T48</f>
        <v>#DIV/0!</v>
      </c>
      <c r="H48" s="1417"/>
      <c r="I48" s="1418" t="e">
        <f>V48</f>
        <v>#DIV/0!</v>
      </c>
      <c r="J48" s="1417"/>
      <c r="K48" s="2626"/>
      <c r="L48" s="1146"/>
      <c r="M48" s="1147"/>
      <c r="N48" s="1147"/>
      <c r="O48" s="1147"/>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9"/>
      <c r="Y48" s="759"/>
      <c r="Z48" s="759"/>
      <c r="AA48" s="759"/>
      <c r="AB48" s="759"/>
      <c r="AC48" s="759"/>
    </row>
    <row r="49" spans="1:29" ht="15" thickBot="1">
      <c r="A49" s="492" t="s">
        <v>2579</v>
      </c>
      <c r="B49" s="493"/>
      <c r="C49" s="1419" t="e">
        <f>R49</f>
        <v>#DIV/0!</v>
      </c>
      <c r="D49" s="1420"/>
      <c r="E49" s="1420"/>
      <c r="F49" s="1420"/>
      <c r="G49" s="1420"/>
      <c r="H49" s="1420"/>
      <c r="I49" s="1420"/>
      <c r="J49" s="1420"/>
      <c r="K49" s="2627"/>
      <c r="L49" s="1146"/>
      <c r="M49" s="1147"/>
      <c r="N49" s="1147"/>
      <c r="O49" s="1147"/>
      <c r="P49" s="3206" t="str">
        <f>A49</f>
        <v>估价对象XX用房的比较价值（楼面单价，元/平方米）</v>
      </c>
      <c r="Q49" s="3207"/>
      <c r="R49" s="3208" t="e">
        <f>IF(F1="售价",ROUND(AVERAGE(R48:V48),0),ROUND(AVERAGE(R48:V48),1))</f>
        <v>#DIV/0!</v>
      </c>
      <c r="S49" s="3208"/>
      <c r="T49" s="3208"/>
      <c r="U49" s="3208"/>
      <c r="V49" s="3208"/>
      <c r="W49" s="320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2.2" thickBot="1">
      <c r="A57" s="763" t="s">
        <v>2583</v>
      </c>
      <c r="B57" s="759"/>
      <c r="C57" s="764"/>
      <c r="D57" s="764"/>
      <c r="E57" s="764"/>
      <c r="F57" s="765"/>
      <c r="G57" s="765"/>
      <c r="H57" s="764"/>
      <c r="I57" s="764"/>
      <c r="J57" s="764"/>
      <c r="K57" s="1163"/>
      <c r="L57" s="1164"/>
      <c r="M57" s="1162"/>
      <c r="N57" s="1162"/>
      <c r="O57" s="1162"/>
      <c r="P57" s="2630"/>
      <c r="Q57" s="504"/>
    </row>
    <row r="58" spans="1:29" s="508" customFormat="1" ht="14.4">
      <c r="A58" s="505" t="s">
        <v>2584</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c r="A59" s="509"/>
      <c r="B59" s="2631"/>
      <c r="C59" s="1576">
        <v>100</v>
      </c>
      <c r="D59" s="511"/>
      <c r="E59" s="512"/>
      <c r="F59" s="512"/>
      <c r="G59" s="512"/>
      <c r="H59" s="512"/>
      <c r="I59" s="512"/>
      <c r="J59" s="512"/>
      <c r="K59" s="512"/>
      <c r="L59" s="512"/>
      <c r="M59" s="513"/>
      <c r="N59" s="512"/>
      <c r="O59" s="513"/>
      <c r="P59" s="2632"/>
    </row>
    <row r="60" spans="1:29" s="117" customFormat="1" ht="15" thickBot="1">
      <c r="A60" s="515" t="s">
        <v>2585</v>
      </c>
      <c r="B60" s="516"/>
      <c r="C60" s="517"/>
      <c r="D60" s="518"/>
      <c r="E60" s="518"/>
      <c r="F60" s="518"/>
      <c r="G60" s="518"/>
      <c r="H60" s="518"/>
      <c r="I60" s="518"/>
      <c r="J60" s="518"/>
      <c r="K60" s="518"/>
      <c r="L60" s="518"/>
      <c r="M60" s="519"/>
      <c r="N60" s="518"/>
      <c r="O60" s="519"/>
      <c r="P60" s="2632"/>
      <c r="Q60" s="504"/>
    </row>
    <row r="61" spans="1:29" s="117" customFormat="1" ht="14.4">
      <c r="A61" s="521" t="s">
        <v>2586</v>
      </c>
      <c r="B61" s="510"/>
      <c r="C61" s="522" t="s">
        <v>2587</v>
      </c>
      <c r="D61" s="523"/>
      <c r="E61" s="523"/>
      <c r="F61" s="523"/>
      <c r="G61" s="523"/>
      <c r="H61" s="523"/>
      <c r="I61" s="523"/>
      <c r="J61" s="523"/>
      <c r="K61" s="523"/>
      <c r="L61" s="524"/>
      <c r="M61" s="525"/>
      <c r="N61" s="1154"/>
      <c r="O61" s="1154"/>
      <c r="P61" s="2633"/>
      <c r="Q61" s="504"/>
    </row>
    <row r="62" spans="1:29" s="117" customFormat="1" ht="14.4" thickBot="1">
      <c r="A62" s="521"/>
      <c r="B62" s="510"/>
      <c r="C62" s="511">
        <v>100</v>
      </c>
      <c r="D62" s="512"/>
      <c r="E62" s="512"/>
      <c r="F62" s="512"/>
      <c r="G62" s="512"/>
      <c r="H62" s="512"/>
      <c r="I62" s="512"/>
      <c r="J62" s="512"/>
      <c r="K62" s="512"/>
      <c r="L62" s="512"/>
      <c r="M62" s="514"/>
      <c r="N62" s="1154"/>
      <c r="O62" s="1154"/>
      <c r="P62" s="2632"/>
      <c r="Q62" s="504"/>
    </row>
    <row r="63" spans="1:29" ht="14.4">
      <c r="A63" s="527" t="s">
        <v>2588</v>
      </c>
      <c r="B63" s="528" t="s">
        <v>2554</v>
      </c>
      <c r="C63" s="529">
        <f>C9</f>
        <v>0</v>
      </c>
      <c r="D63" s="530"/>
      <c r="E63" s="530"/>
      <c r="F63" s="530"/>
      <c r="G63" s="530"/>
      <c r="H63" s="530"/>
      <c r="I63" s="530"/>
      <c r="J63" s="530"/>
      <c r="K63" s="531"/>
      <c r="L63" s="532"/>
      <c r="M63" s="533"/>
      <c r="N63" s="1155"/>
      <c r="O63" s="1155"/>
      <c r="P63" s="2634"/>
      <c r="Q63" s="504"/>
    </row>
    <row r="64" spans="1:29" ht="14.4" thickBot="1">
      <c r="A64" s="534"/>
      <c r="B64" s="535"/>
      <c r="C64" s="536">
        <v>100</v>
      </c>
      <c r="D64" s="536"/>
      <c r="E64" s="536"/>
      <c r="F64" s="536"/>
      <c r="G64" s="536"/>
      <c r="H64" s="536"/>
      <c r="I64" s="536"/>
      <c r="J64" s="536"/>
      <c r="K64" s="536"/>
      <c r="L64" s="536"/>
      <c r="M64" s="537"/>
      <c r="N64" s="1156"/>
      <c r="O64" s="1156"/>
      <c r="P64" s="2634"/>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4"/>
      <c r="Q65" s="504"/>
    </row>
    <row r="66" spans="1:17" ht="14.4"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 thickTop="1">
      <c r="A67" s="534"/>
      <c r="B67" s="546" t="s">
        <v>2558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c r="A68" s="534"/>
      <c r="B68" s="548"/>
      <c r="C68" s="549"/>
      <c r="D68" s="549"/>
      <c r="E68" s="549"/>
      <c r="F68" s="549"/>
      <c r="G68" s="549"/>
      <c r="H68" s="549"/>
      <c r="I68" s="549"/>
      <c r="J68" s="549"/>
      <c r="K68" s="550"/>
      <c r="L68" s="551"/>
      <c r="M68" s="552"/>
      <c r="N68" s="1155"/>
      <c r="O68" s="1155"/>
      <c r="P68" s="2634"/>
      <c r="Q68" s="504"/>
    </row>
    <row r="69" spans="1:17" ht="14.4"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4.4" thickTop="1">
      <c r="A70" s="553"/>
      <c r="B70" s="538">
        <f>B12</f>
        <v>111</v>
      </c>
      <c r="C70" s="554"/>
      <c r="D70" s="554"/>
      <c r="E70" s="554"/>
      <c r="F70" s="554"/>
      <c r="G70" s="554"/>
      <c r="H70" s="555"/>
      <c r="I70" s="555"/>
      <c r="J70" s="555"/>
      <c r="K70" s="555"/>
      <c r="L70" s="556"/>
      <c r="M70" s="557"/>
      <c r="N70" s="1157"/>
      <c r="O70" s="1157"/>
      <c r="P70" s="2635"/>
      <c r="Q70" s="559"/>
    </row>
    <row r="71" spans="1:17" s="471" customFormat="1" ht="14.4" thickBot="1">
      <c r="A71" s="553"/>
      <c r="B71" s="543"/>
      <c r="C71" s="560"/>
      <c r="D71" s="536"/>
      <c r="E71" s="536"/>
      <c r="F71" s="536"/>
      <c r="G71" s="536"/>
      <c r="H71" s="536"/>
      <c r="I71" s="536"/>
      <c r="J71" s="536"/>
      <c r="K71" s="536"/>
      <c r="L71" s="536"/>
      <c r="M71" s="537"/>
      <c r="N71" s="1156"/>
      <c r="O71" s="1156"/>
      <c r="P71" s="2635"/>
      <c r="Q71" s="559"/>
    </row>
    <row r="72" spans="1:17" s="471" customFormat="1" ht="14.4" thickTop="1">
      <c r="A72" s="553"/>
      <c r="B72" s="538">
        <f>B13</f>
        <v>111</v>
      </c>
      <c r="C72" s="554"/>
      <c r="D72" s="554"/>
      <c r="E72" s="554"/>
      <c r="F72" s="554"/>
      <c r="G72" s="554"/>
      <c r="H72" s="555"/>
      <c r="I72" s="555"/>
      <c r="J72" s="555"/>
      <c r="K72" s="555"/>
      <c r="L72" s="556"/>
      <c r="M72" s="557"/>
      <c r="N72" s="1157"/>
      <c r="O72" s="1157"/>
      <c r="P72" s="2636"/>
      <c r="Q72" s="561"/>
    </row>
    <row r="73" spans="1:17" s="471" customFormat="1" ht="14.4" thickBot="1">
      <c r="A73" s="553"/>
      <c r="B73" s="543"/>
      <c r="C73" s="560"/>
      <c r="D73" s="560"/>
      <c r="E73" s="560"/>
      <c r="F73" s="560"/>
      <c r="G73" s="560"/>
      <c r="H73" s="562"/>
      <c r="I73" s="562"/>
      <c r="J73" s="562"/>
      <c r="K73" s="562"/>
      <c r="L73" s="562"/>
      <c r="M73" s="563"/>
      <c r="N73" s="1157"/>
      <c r="O73" s="1157"/>
      <c r="P73" s="2635"/>
      <c r="Q73" s="559"/>
    </row>
    <row r="74" spans="1:17" s="471" customFormat="1" ht="14.4" thickTop="1">
      <c r="A74" s="553"/>
      <c r="B74" s="546">
        <f>B14</f>
        <v>111</v>
      </c>
      <c r="C74" s="554"/>
      <c r="D74" s="554"/>
      <c r="E74" s="554"/>
      <c r="F74" s="554"/>
      <c r="G74" s="523"/>
      <c r="H74" s="564"/>
      <c r="I74" s="564"/>
      <c r="J74" s="564"/>
      <c r="K74" s="564"/>
      <c r="L74" s="565"/>
      <c r="M74" s="566"/>
      <c r="N74" s="1157"/>
      <c r="O74" s="1157"/>
      <c r="P74" s="2637"/>
      <c r="Q74" s="559"/>
    </row>
    <row r="75" spans="1:17" s="471" customFormat="1" ht="14.4" thickBot="1">
      <c r="A75" s="568"/>
      <c r="B75" s="569"/>
      <c r="C75" s="570"/>
      <c r="D75" s="570"/>
      <c r="E75" s="570"/>
      <c r="F75" s="570"/>
      <c r="G75" s="570"/>
      <c r="H75" s="571"/>
      <c r="I75" s="571"/>
      <c r="J75" s="571"/>
      <c r="K75" s="571"/>
      <c r="L75" s="571"/>
      <c r="M75" s="572"/>
      <c r="N75" s="1157"/>
      <c r="O75" s="1157"/>
      <c r="P75" s="2635"/>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5"/>
      <c r="O76" s="1155"/>
      <c r="P76" s="263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5"/>
      <c r="O78" s="1155"/>
      <c r="P78" s="263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5"/>
      <c r="O80" s="1155"/>
      <c r="P80" s="263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 thickTop="1">
      <c r="A82" s="534"/>
      <c r="B82" s="546" t="s">
        <v>2097</v>
      </c>
      <c r="C82" s="539" t="s">
        <v>2604</v>
      </c>
      <c r="D82" s="539" t="s">
        <v>2605</v>
      </c>
      <c r="E82" s="539" t="s">
        <v>2606</v>
      </c>
      <c r="F82" s="539" t="s">
        <v>2607</v>
      </c>
      <c r="G82" s="539" t="s">
        <v>2608</v>
      </c>
      <c r="H82" s="539"/>
      <c r="I82" s="539"/>
      <c r="J82" s="539"/>
      <c r="K82" s="539"/>
      <c r="L82" s="539"/>
      <c r="M82" s="1385"/>
      <c r="N82" s="1156"/>
      <c r="O82" s="1156"/>
      <c r="P82" s="2634"/>
      <c r="Q82" s="504"/>
    </row>
    <row r="83" spans="1:17" ht="14.4"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5"/>
      <c r="O84" s="1155"/>
      <c r="P84" s="263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 thickTop="1">
      <c r="A86" s="579"/>
      <c r="B86" s="538" t="s">
        <v>2610</v>
      </c>
      <c r="C86" s="554"/>
      <c r="D86" s="554"/>
      <c r="E86" s="554"/>
      <c r="F86" s="554"/>
      <c r="G86" s="554"/>
      <c r="H86" s="554"/>
      <c r="I86" s="554"/>
      <c r="J86" s="554"/>
      <c r="K86" s="554"/>
      <c r="L86" s="580"/>
      <c r="M86" s="581"/>
      <c r="N86" s="1154"/>
      <c r="O86" s="1154"/>
      <c r="P86" s="2634"/>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 thickTop="1">
      <c r="A88" s="579"/>
      <c r="B88" s="538" t="s">
        <v>2611</v>
      </c>
      <c r="C88" s="554"/>
      <c r="D88" s="554"/>
      <c r="E88" s="554"/>
      <c r="F88" s="2639"/>
      <c r="G88" s="554"/>
      <c r="H88" s="554"/>
      <c r="I88" s="554"/>
      <c r="J88" s="554"/>
      <c r="K88" s="554"/>
      <c r="L88" s="554"/>
      <c r="M88" s="581"/>
      <c r="N88" s="1154"/>
      <c r="O88" s="1154"/>
      <c r="P88" s="2634"/>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4.4" thickTop="1">
      <c r="A90" s="553"/>
      <c r="B90" s="538">
        <f>B27</f>
        <v>111</v>
      </c>
      <c r="C90" s="554"/>
      <c r="D90" s="554"/>
      <c r="E90" s="554"/>
      <c r="F90" s="554"/>
      <c r="G90" s="554"/>
      <c r="H90" s="555"/>
      <c r="I90" s="555"/>
      <c r="J90" s="555"/>
      <c r="K90" s="555"/>
      <c r="L90" s="556"/>
      <c r="M90" s="557"/>
      <c r="N90" s="1157"/>
      <c r="O90" s="1157"/>
      <c r="P90" s="2635"/>
      <c r="Q90" s="559"/>
    </row>
    <row r="91" spans="1:17" s="471" customFormat="1" ht="14.4" thickBot="1">
      <c r="A91" s="553"/>
      <c r="B91" s="543"/>
      <c r="C91" s="560"/>
      <c r="D91" s="560"/>
      <c r="E91" s="560"/>
      <c r="F91" s="560"/>
      <c r="G91" s="560"/>
      <c r="H91" s="562"/>
      <c r="I91" s="562"/>
      <c r="J91" s="562"/>
      <c r="K91" s="562"/>
      <c r="L91" s="562"/>
      <c r="M91" s="563"/>
      <c r="N91" s="1157"/>
      <c r="O91" s="1157"/>
      <c r="P91" s="2635"/>
      <c r="Q91" s="559"/>
    </row>
    <row r="92" spans="1:17" ht="14.4" thickTop="1">
      <c r="A92" s="534"/>
      <c r="B92" s="538">
        <f>B28</f>
        <v>111</v>
      </c>
      <c r="C92" s="554"/>
      <c r="D92" s="554"/>
      <c r="E92" s="554"/>
      <c r="F92" s="554"/>
      <c r="G92" s="583"/>
      <c r="H92" s="583"/>
      <c r="I92" s="583"/>
      <c r="J92" s="583"/>
      <c r="K92" s="584"/>
      <c r="L92" s="585"/>
      <c r="M92" s="586"/>
      <c r="N92" s="1155"/>
      <c r="O92" s="1155"/>
      <c r="P92" s="2634"/>
      <c r="Q92" s="504"/>
    </row>
    <row r="93" spans="1:17" ht="14.4" thickBot="1">
      <c r="A93" s="534"/>
      <c r="B93" s="543"/>
      <c r="C93" s="560"/>
      <c r="D93" s="536"/>
      <c r="E93" s="536"/>
      <c r="F93" s="536"/>
      <c r="G93" s="536"/>
      <c r="H93" s="536"/>
      <c r="I93" s="536"/>
      <c r="J93" s="536"/>
      <c r="K93" s="536"/>
      <c r="L93" s="536"/>
      <c r="M93" s="537"/>
      <c r="N93" s="1156"/>
      <c r="O93" s="1156"/>
      <c r="P93" s="2634"/>
      <c r="Q93" s="504"/>
    </row>
    <row r="94" spans="1:17" ht="14.4" thickTop="1">
      <c r="A94" s="534"/>
      <c r="B94" s="538">
        <f>B29</f>
        <v>111</v>
      </c>
      <c r="C94" s="554"/>
      <c r="D94" s="554"/>
      <c r="E94" s="554"/>
      <c r="F94" s="554"/>
      <c r="G94" s="583"/>
      <c r="H94" s="583"/>
      <c r="I94" s="583"/>
      <c r="J94" s="583"/>
      <c r="K94" s="584"/>
      <c r="L94" s="585"/>
      <c r="M94" s="586"/>
      <c r="N94" s="1155"/>
      <c r="O94" s="1155"/>
      <c r="P94" s="2634"/>
      <c r="Q94" s="504"/>
    </row>
    <row r="95" spans="1:17" ht="14.4" thickBot="1">
      <c r="A95" s="534"/>
      <c r="B95" s="543"/>
      <c r="C95" s="560"/>
      <c r="D95" s="560"/>
      <c r="E95" s="560"/>
      <c r="F95" s="560"/>
      <c r="G95" s="536"/>
      <c r="H95" s="536"/>
      <c r="I95" s="536"/>
      <c r="J95" s="536"/>
      <c r="K95" s="536"/>
      <c r="L95" s="536"/>
      <c r="M95" s="537"/>
      <c r="N95" s="1156"/>
      <c r="O95" s="1156"/>
      <c r="P95" s="2634"/>
      <c r="Q95" s="504"/>
    </row>
    <row r="96" spans="1:17" ht="14.4" thickTop="1">
      <c r="A96" s="534"/>
      <c r="B96" s="538">
        <f>B30</f>
        <v>111</v>
      </c>
      <c r="C96" s="554"/>
      <c r="D96" s="554"/>
      <c r="E96" s="554"/>
      <c r="F96" s="554"/>
      <c r="G96" s="583"/>
      <c r="H96" s="583"/>
      <c r="I96" s="583"/>
      <c r="J96" s="583"/>
      <c r="K96" s="584"/>
      <c r="L96" s="585"/>
      <c r="M96" s="586"/>
      <c r="N96" s="1155"/>
      <c r="O96" s="1155"/>
      <c r="P96" s="2634"/>
      <c r="Q96" s="504"/>
    </row>
    <row r="97" spans="1:17" ht="14.4" thickBot="1">
      <c r="A97" s="534"/>
      <c r="B97" s="543"/>
      <c r="C97" s="570"/>
      <c r="D97" s="570"/>
      <c r="E97" s="570"/>
      <c r="F97" s="570"/>
      <c r="G97" s="536"/>
      <c r="H97" s="536"/>
      <c r="I97" s="536"/>
      <c r="J97" s="536"/>
      <c r="K97" s="536"/>
      <c r="L97" s="536"/>
      <c r="M97" s="537"/>
      <c r="N97" s="1156"/>
      <c r="O97" s="1156"/>
      <c r="P97" s="2634"/>
      <c r="Q97" s="504"/>
    </row>
    <row r="98" spans="1:17" ht="14.4" thickTop="1">
      <c r="A98" s="534"/>
      <c r="B98" s="546">
        <f>B31</f>
        <v>111</v>
      </c>
      <c r="C98" s="587"/>
      <c r="D98" s="587"/>
      <c r="E98" s="587"/>
      <c r="F98" s="587"/>
      <c r="G98" s="587"/>
      <c r="H98" s="587"/>
      <c r="I98" s="587"/>
      <c r="J98" s="587"/>
      <c r="K98" s="588"/>
      <c r="L98" s="589"/>
      <c r="M98" s="590"/>
      <c r="N98" s="1155"/>
      <c r="O98" s="1155"/>
      <c r="P98" s="2634"/>
      <c r="Q98" s="504"/>
    </row>
    <row r="99" spans="1:17" ht="14.4" thickBot="1">
      <c r="A99" s="2640"/>
      <c r="B99" s="569"/>
      <c r="C99" s="591"/>
      <c r="D99" s="591"/>
      <c r="E99" s="591"/>
      <c r="F99" s="591"/>
      <c r="G99" s="591"/>
      <c r="H99" s="591"/>
      <c r="I99" s="591"/>
      <c r="J99" s="591"/>
      <c r="K99" s="591"/>
      <c r="L99" s="591"/>
      <c r="M99" s="592"/>
      <c r="N99" s="1156"/>
      <c r="O99" s="1156"/>
      <c r="P99" s="2634"/>
      <c r="Q99" s="504"/>
    </row>
    <row r="100" spans="1:17" ht="14.4">
      <c r="A100" s="527" t="s">
        <v>2563</v>
      </c>
      <c r="B100" s="528" t="s">
        <v>2612</v>
      </c>
      <c r="C100" s="530"/>
      <c r="D100" s="530"/>
      <c r="E100" s="530"/>
      <c r="F100" s="530"/>
      <c r="G100" s="530"/>
      <c r="H100" s="530"/>
      <c r="I100" s="530"/>
      <c r="J100" s="530"/>
      <c r="K100" s="531"/>
      <c r="L100" s="532"/>
      <c r="M100" s="533"/>
      <c r="N100" s="1155"/>
      <c r="O100" s="1155"/>
      <c r="P100" s="2634"/>
      <c r="Q100" s="504"/>
    </row>
    <row r="101" spans="1:17" ht="14.4"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 thickTop="1">
      <c r="A102" s="534"/>
      <c r="B102" s="538" t="s">
        <v>2613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4.4"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2614</v>
      </c>
      <c r="C105" s="554"/>
      <c r="D105" s="554"/>
      <c r="E105" s="583"/>
      <c r="F105" s="583"/>
      <c r="G105" s="583"/>
      <c r="H105" s="583"/>
      <c r="I105" s="583"/>
      <c r="J105" s="583"/>
      <c r="K105" s="584"/>
      <c r="L105" s="585"/>
      <c r="M105" s="586"/>
      <c r="N105" s="1155"/>
      <c r="O105" s="1155"/>
      <c r="P105" s="2634"/>
      <c r="Q105" s="504"/>
    </row>
    <row r="106" spans="1:17" ht="14.4"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2615</v>
      </c>
      <c r="C107" s="583"/>
      <c r="D107" s="583"/>
      <c r="E107" s="583"/>
      <c r="F107" s="583"/>
      <c r="G107" s="583"/>
      <c r="H107" s="583"/>
      <c r="I107" s="583"/>
      <c r="J107" s="583"/>
      <c r="K107" s="584"/>
      <c r="L107" s="585"/>
      <c r="M107" s="586"/>
      <c r="N107" s="1155"/>
      <c r="O107" s="1155"/>
      <c r="P107" s="2634"/>
      <c r="Q107" s="504"/>
    </row>
    <row r="108" spans="1:17" ht="14.4"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2616</v>
      </c>
      <c r="C109" s="554"/>
      <c r="D109" s="554"/>
      <c r="E109" s="554"/>
      <c r="F109" s="583"/>
      <c r="G109" s="583"/>
      <c r="H109" s="583"/>
      <c r="I109" s="583"/>
      <c r="J109" s="583"/>
      <c r="K109" s="584"/>
      <c r="L109" s="585"/>
      <c r="M109" s="586"/>
      <c r="N109" s="1155"/>
      <c r="O109" s="1155"/>
      <c r="P109" s="2634"/>
      <c r="Q109" s="504"/>
    </row>
    <row r="110" spans="1:17" ht="14.4"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4.4"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2617</v>
      </c>
      <c r="C114" s="554"/>
      <c r="D114" s="554"/>
      <c r="E114" s="583"/>
      <c r="F114" s="583"/>
      <c r="G114" s="583"/>
      <c r="H114" s="583"/>
      <c r="I114" s="583"/>
      <c r="J114" s="583"/>
      <c r="K114" s="584"/>
      <c r="L114" s="585"/>
      <c r="M114" s="586"/>
      <c r="N114" s="1155"/>
      <c r="O114" s="1155"/>
      <c r="P114" s="2634"/>
      <c r="Q114" s="504"/>
    </row>
    <row r="115" spans="1:17" ht="14.4"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2618</v>
      </c>
      <c r="C116" s="554"/>
      <c r="D116" s="554"/>
      <c r="E116" s="554"/>
      <c r="F116" s="554"/>
      <c r="G116" s="554"/>
      <c r="H116" s="583"/>
      <c r="I116" s="583"/>
      <c r="J116" s="583"/>
      <c r="K116" s="584"/>
      <c r="L116" s="585"/>
      <c r="M116" s="586"/>
      <c r="N116" s="1155"/>
      <c r="O116" s="1155"/>
      <c r="P116" s="263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2619</v>
      </c>
      <c r="C118" s="583"/>
      <c r="D118" s="583"/>
      <c r="E118" s="583"/>
      <c r="F118" s="583"/>
      <c r="G118" s="583"/>
      <c r="H118" s="583"/>
      <c r="I118" s="583"/>
      <c r="J118" s="583"/>
      <c r="K118" s="584"/>
      <c r="L118" s="585"/>
      <c r="M118" s="586"/>
      <c r="N118" s="1155"/>
      <c r="O118" s="1155"/>
      <c r="P118" s="2634"/>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9.4" thickTop="1">
      <c r="A120" s="593"/>
      <c r="B120" s="538" t="s">
        <v>2574</v>
      </c>
      <c r="C120" s="554"/>
      <c r="D120" s="554"/>
      <c r="E120" s="554"/>
      <c r="F120" s="554"/>
      <c r="G120" s="554"/>
      <c r="H120" s="554"/>
      <c r="I120" s="554"/>
      <c r="J120" s="554"/>
      <c r="K120" s="554"/>
      <c r="L120" s="580"/>
      <c r="M120" s="581"/>
      <c r="N120" s="1157"/>
      <c r="O120" s="1157"/>
      <c r="P120" s="2635"/>
      <c r="Q120" s="559"/>
    </row>
    <row r="121" spans="1:17" s="471" customFormat="1" ht="14.4"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2620</v>
      </c>
      <c r="C122" s="554"/>
      <c r="D122" s="554"/>
      <c r="E122" s="554"/>
      <c r="F122" s="583"/>
      <c r="G122" s="583"/>
      <c r="H122" s="583"/>
      <c r="I122" s="583"/>
      <c r="J122" s="583"/>
      <c r="K122" s="584"/>
      <c r="L122" s="585"/>
      <c r="M122" s="586"/>
      <c r="N122" s="1155"/>
      <c r="O122" s="1155"/>
      <c r="P122" s="2634"/>
      <c r="Q122" s="504"/>
    </row>
    <row r="123" spans="1:17" ht="14.4"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5"/>
      <c r="Q127" s="559"/>
    </row>
    <row r="128" spans="1:17" ht="14.4" thickTop="1">
      <c r="A128" s="599"/>
      <c r="B128" s="538">
        <f>B45</f>
        <v>111</v>
      </c>
      <c r="C128" s="554"/>
      <c r="D128" s="554"/>
      <c r="E128" s="554"/>
      <c r="F128" s="554"/>
      <c r="G128" s="583"/>
      <c r="H128" s="583"/>
      <c r="I128" s="583"/>
      <c r="J128" s="583"/>
      <c r="K128" s="584"/>
      <c r="L128" s="585"/>
      <c r="M128" s="586"/>
      <c r="N128" s="1155"/>
      <c r="O128" s="1155"/>
      <c r="P128" s="2634"/>
      <c r="Q128" s="504"/>
    </row>
    <row r="129" spans="1:17" ht="14.4" thickBot="1">
      <c r="A129" s="534"/>
      <c r="B129" s="543"/>
      <c r="C129" s="560"/>
      <c r="D129" s="560"/>
      <c r="E129" s="560"/>
      <c r="F129" s="560"/>
      <c r="G129" s="536"/>
      <c r="H129" s="536"/>
      <c r="I129" s="536"/>
      <c r="J129" s="536"/>
      <c r="K129" s="536"/>
      <c r="L129" s="536"/>
      <c r="M129" s="537"/>
      <c r="N129" s="1156"/>
      <c r="O129" s="1156"/>
      <c r="P129" s="2634"/>
      <c r="Q129" s="504"/>
    </row>
    <row r="130" spans="1:17" ht="14.4" thickTop="1">
      <c r="A130" s="599"/>
      <c r="B130" s="546">
        <f>B46</f>
        <v>111</v>
      </c>
      <c r="C130" s="554"/>
      <c r="D130" s="554"/>
      <c r="E130" s="554"/>
      <c r="F130" s="554"/>
      <c r="G130" s="587"/>
      <c r="H130" s="587"/>
      <c r="I130" s="587"/>
      <c r="J130" s="587"/>
      <c r="K130" s="523"/>
      <c r="L130" s="524"/>
      <c r="M130" s="590"/>
      <c r="N130" s="1155"/>
      <c r="O130" s="1155"/>
      <c r="P130" s="2634"/>
      <c r="Q130" s="504"/>
    </row>
    <row r="131" spans="1:17" ht="14.4"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2622</v>
      </c>
    </row>
    <row r="137" spans="1:17" ht="15">
      <c r="B137" s="2642" t="s">
        <v>2623</v>
      </c>
      <c r="C137" s="2643"/>
      <c r="D137" s="2643"/>
      <c r="E137" s="2643"/>
      <c r="F137" s="2643"/>
      <c r="G137" s="2644"/>
      <c r="H137" s="2645"/>
      <c r="I137" s="2646" t="s">
        <v>2624</v>
      </c>
      <c r="J137" s="2643"/>
      <c r="K137" s="2647"/>
    </row>
    <row r="138" spans="1:17" ht="15">
      <c r="B138" s="2648"/>
      <c r="C138" s="146" t="s">
        <v>2625</v>
      </c>
      <c r="D138" s="146" t="s">
        <v>2626</v>
      </c>
      <c r="E138" s="2649" t="s">
        <v>2627</v>
      </c>
      <c r="F138" s="2650" t="s">
        <v>2628</v>
      </c>
      <c r="G138" s="146" t="s">
        <v>2626</v>
      </c>
      <c r="H138" s="147" t="s">
        <v>2627</v>
      </c>
      <c r="I138" s="2651"/>
      <c r="J138" s="146" t="s">
        <v>2629</v>
      </c>
      <c r="K138" s="147" t="s">
        <v>2630</v>
      </c>
    </row>
    <row r="139" spans="1:17" ht="15">
      <c r="B139" s="1087">
        <v>6</v>
      </c>
      <c r="C139" s="1088">
        <v>96</v>
      </c>
      <c r="D139" s="2652" t="s">
        <v>2631</v>
      </c>
      <c r="E139" s="1089">
        <v>100</v>
      </c>
      <c r="F139" s="1090">
        <v>102.5</v>
      </c>
      <c r="G139" s="2652" t="s">
        <v>2631</v>
      </c>
      <c r="H139" s="1091">
        <v>105</v>
      </c>
      <c r="I139" s="2653" t="s">
        <v>2632</v>
      </c>
      <c r="J139" s="1088">
        <v>20</v>
      </c>
      <c r="K139" s="1092">
        <f>C145/(J139-2)</f>
        <v>4.0555555555555553E-3</v>
      </c>
    </row>
    <row r="140" spans="1:17" ht="15">
      <c r="B140" s="1093">
        <v>5</v>
      </c>
      <c r="C140" s="1094">
        <v>100</v>
      </c>
      <c r="D140" s="1094"/>
      <c r="E140" s="1095"/>
      <c r="F140" s="1096">
        <v>102</v>
      </c>
      <c r="G140" s="1094"/>
      <c r="H140" s="1097"/>
      <c r="I140" s="2654" t="s">
        <v>2633</v>
      </c>
      <c r="J140" s="315">
        <f>ROUNDUP((J139-1)/2,0)</f>
        <v>10</v>
      </c>
      <c r="K140" s="1098">
        <v>100</v>
      </c>
    </row>
    <row r="141" spans="1:17" ht="15">
      <c r="B141" s="1093">
        <v>4</v>
      </c>
      <c r="C141" s="1094">
        <v>102</v>
      </c>
      <c r="D141" s="1094"/>
      <c r="E141" s="1095"/>
      <c r="F141" s="1096">
        <v>101.5</v>
      </c>
      <c r="G141" s="1094"/>
      <c r="H141" s="1097"/>
      <c r="I141" s="2654" t="s">
        <v>2634</v>
      </c>
      <c r="J141" s="315">
        <v>1</v>
      </c>
      <c r="K141" s="1099">
        <f>ROUND(100+(J141-J140)*K139*100,1)</f>
        <v>96.4</v>
      </c>
    </row>
    <row r="142" spans="1:17" ht="15">
      <c r="B142" s="1093">
        <v>3</v>
      </c>
      <c r="C142" s="1094">
        <v>103</v>
      </c>
      <c r="D142" s="1094"/>
      <c r="E142" s="1095"/>
      <c r="F142" s="1096">
        <v>101</v>
      </c>
      <c r="G142" s="1094"/>
      <c r="H142" s="1097"/>
      <c r="I142" s="2654" t="s">
        <v>2635</v>
      </c>
      <c r="J142" s="315">
        <f>J139</f>
        <v>20</v>
      </c>
      <c r="K142" s="1100">
        <v>95</v>
      </c>
    </row>
    <row r="143" spans="1:17" ht="15">
      <c r="B143" s="1093">
        <v>2</v>
      </c>
      <c r="C143" s="1094">
        <v>100</v>
      </c>
      <c r="D143" s="1094"/>
      <c r="E143" s="1095"/>
      <c r="F143" s="1096">
        <v>100.5</v>
      </c>
      <c r="G143" s="1094"/>
      <c r="H143" s="1097"/>
      <c r="I143" s="2654" t="s">
        <v>2636</v>
      </c>
      <c r="J143" s="1094">
        <v>15</v>
      </c>
      <c r="K143" s="1099">
        <f>ROUND(100+(J143-J140)*K139*100,1)</f>
        <v>102</v>
      </c>
    </row>
    <row r="144" spans="1:17" ht="15">
      <c r="B144" s="1093">
        <v>1</v>
      </c>
      <c r="C144" s="1094">
        <v>98</v>
      </c>
      <c r="D144" s="2655" t="s">
        <v>2637</v>
      </c>
      <c r="E144" s="1095">
        <v>102</v>
      </c>
      <c r="F144" s="1101">
        <v>100</v>
      </c>
      <c r="G144" s="2655" t="s">
        <v>2637</v>
      </c>
      <c r="H144" s="1097">
        <v>105</v>
      </c>
      <c r="I144" s="2654" t="s">
        <v>2636</v>
      </c>
      <c r="J144" s="1094">
        <v>18</v>
      </c>
      <c r="K144" s="1099">
        <f>ROUND(100+(J144-J140)*K139*100,1)</f>
        <v>103.2</v>
      </c>
    </row>
    <row r="145" spans="2:11" ht="16.2" thickBot="1">
      <c r="B145" s="2656" t="s">
        <v>2638</v>
      </c>
      <c r="C145" s="1102">
        <f>ROUND(MAX(C139:C144)/MIN(C139:C144)-1,3)</f>
        <v>7.2999999999999995E-2</v>
      </c>
      <c r="D145" s="1103"/>
      <c r="E145" s="1103"/>
      <c r="F145" s="2657" t="s">
        <v>2639</v>
      </c>
      <c r="G145" s="2658"/>
      <c r="H145" s="2659"/>
      <c r="I145" s="2660" t="s">
        <v>2636</v>
      </c>
      <c r="J145" s="1104">
        <v>8</v>
      </c>
      <c r="K145" s="1105">
        <f>ROUND(100+(J145-J140)*K139*100,1)</f>
        <v>99.2</v>
      </c>
    </row>
    <row r="147" spans="2:11" ht="14.4">
      <c r="B147" s="2641" t="s">
        <v>2640</v>
      </c>
    </row>
    <row r="148" spans="2:11" ht="14.4">
      <c r="B148" s="2641" t="s">
        <v>2641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6" sqref="F36"/>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8"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2528</v>
      </c>
      <c r="B1" s="2586" t="s">
        <v>2642</v>
      </c>
      <c r="C1" s="1637" t="s">
        <v>2530</v>
      </c>
      <c r="D1" s="1624"/>
      <c r="E1" s="2661"/>
      <c r="F1" s="2588"/>
      <c r="G1" s="1634" t="s">
        <v>2643</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2327</v>
      </c>
      <c r="B2" s="1421" t="e">
        <f ca="1">IF(C2="——",ROUND(C49*D3/10000,0),ROUND(C49*D3/10000,0)-D2)</f>
        <v>#DIV/0!</v>
      </c>
      <c r="C2" s="2590"/>
      <c r="D2" s="1368" t="e">
        <f ca="1">SUMIF(INDIRECT("'"&amp;F2&amp;"'"&amp;"!A:A"),"承租人权益价值",INDIRECT("'"&amp;F2&amp;"'"&amp;"!c:c"))</f>
        <v>#REF!</v>
      </c>
      <c r="E2" s="2591" t="s">
        <v>2328</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2329</v>
      </c>
      <c r="B3" s="609" t="e">
        <f ca="1">IF(C2="——",C49,ROUND(B2*10000/D3,0))</f>
        <v>#DIV/0!</v>
      </c>
      <c r="C3" s="400" t="s">
        <v>2644</v>
      </c>
      <c r="D3" s="399">
        <f>IF(D1="",'数据-汇总表'!E3,SUMIF('数据-汇总表'!$C19:$C33,D1,'数据-汇总表'!$E19:$E33))</f>
        <v>36762</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4.4">
      <c r="A4" s="401" t="s">
        <v>2645</v>
      </c>
      <c r="B4" s="402"/>
      <c r="C4" s="3192" t="s">
        <v>2646</v>
      </c>
      <c r="D4" s="3193"/>
      <c r="E4" s="3194" t="s">
        <v>2647</v>
      </c>
      <c r="F4" s="3195"/>
      <c r="G4" s="3192" t="s">
        <v>2648</v>
      </c>
      <c r="H4" s="3193"/>
      <c r="I4" s="3192" t="s">
        <v>2649</v>
      </c>
      <c r="J4" s="3193"/>
      <c r="K4" s="610" t="s">
        <v>2650</v>
      </c>
      <c r="L4" s="1133"/>
      <c r="M4" s="1134"/>
      <c r="N4" s="1134"/>
      <c r="O4" s="1134"/>
      <c r="P4" s="3196" t="s">
        <v>2651</v>
      </c>
      <c r="Q4" s="3197"/>
      <c r="R4" s="3179" t="s">
        <v>2647</v>
      </c>
      <c r="S4" s="3180"/>
      <c r="T4" s="3179" t="s">
        <v>2648</v>
      </c>
      <c r="U4" s="3180"/>
      <c r="V4" s="3204" t="s">
        <v>2649</v>
      </c>
      <c r="W4" s="3204"/>
      <c r="X4" s="1816"/>
      <c r="Y4" s="3179" t="s">
        <v>2651</v>
      </c>
      <c r="Z4" s="3180"/>
      <c r="AA4" s="3174" t="s">
        <v>2647</v>
      </c>
      <c r="AB4" s="3204" t="s">
        <v>2648</v>
      </c>
      <c r="AC4" s="3174" t="s">
        <v>2649</v>
      </c>
    </row>
    <row r="5" spans="1:29">
      <c r="A5" s="404"/>
      <c r="B5" s="405"/>
      <c r="C5" s="3185" t="s">
        <v>2542</v>
      </c>
      <c r="D5" s="3186"/>
      <c r="E5" s="3183" t="s">
        <v>2543</v>
      </c>
      <c r="F5" s="3184"/>
      <c r="G5" s="3185" t="s">
        <v>2544</v>
      </c>
      <c r="H5" s="3186"/>
      <c r="I5" s="3185" t="s">
        <v>2545</v>
      </c>
      <c r="J5" s="3186"/>
      <c r="K5" s="610"/>
      <c r="L5" s="1133"/>
      <c r="M5" s="1134"/>
      <c r="N5" s="1134"/>
      <c r="O5" s="1134"/>
      <c r="P5" s="3198"/>
      <c r="Q5" s="3199"/>
      <c r="R5" s="3181"/>
      <c r="S5" s="3182"/>
      <c r="T5" s="3181"/>
      <c r="U5" s="3182"/>
      <c r="V5" s="3204"/>
      <c r="W5" s="3204"/>
      <c r="X5" s="1816"/>
      <c r="Y5" s="3181"/>
      <c r="Z5" s="3182"/>
      <c r="AA5" s="3175"/>
      <c r="AB5" s="3204"/>
      <c r="AC5" s="3175"/>
    </row>
    <row r="6" spans="1:29" ht="15" thickBot="1">
      <c r="A6" s="406"/>
      <c r="B6" s="407"/>
      <c r="C6" s="3187" t="s">
        <v>2546</v>
      </c>
      <c r="D6" s="3188"/>
      <c r="E6" s="3189" t="s">
        <v>2546</v>
      </c>
      <c r="F6" s="3190"/>
      <c r="G6" s="3187" t="s">
        <v>2546</v>
      </c>
      <c r="H6" s="3188"/>
      <c r="I6" s="3187" t="s">
        <v>2546</v>
      </c>
      <c r="J6" s="3188"/>
      <c r="K6" s="610" t="s">
        <v>2547</v>
      </c>
      <c r="L6" s="1133"/>
      <c r="M6" s="1134"/>
      <c r="N6" s="1134"/>
      <c r="O6" s="1134"/>
      <c r="P6" s="3200"/>
      <c r="Q6" s="3201"/>
      <c r="R6" s="3181"/>
      <c r="S6" s="3182"/>
      <c r="T6" s="3202"/>
      <c r="U6" s="3203"/>
      <c r="V6" s="3204"/>
      <c r="W6" s="3204"/>
      <c r="X6" s="1816"/>
      <c r="Y6" s="3202"/>
      <c r="Z6" s="3203"/>
      <c r="AA6" s="3176"/>
      <c r="AB6" s="3204"/>
      <c r="AC6" s="3176"/>
    </row>
    <row r="7" spans="1:29" s="117" customFormat="1" ht="15" thickBot="1">
      <c r="A7" s="408" t="s">
        <v>2548</v>
      </c>
      <c r="B7" s="409"/>
      <c r="C7" s="410">
        <f>'数据-取费表'!B2</f>
        <v>43339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77" t="s">
        <v>2549</v>
      </c>
      <c r="Q7" s="3205"/>
      <c r="R7" s="770" t="s">
        <v>17</v>
      </c>
      <c r="S7" s="771">
        <f t="shared" ref="S7:S15" si="0">F7</f>
        <v>0</v>
      </c>
      <c r="T7" s="770" t="s">
        <v>17</v>
      </c>
      <c r="U7" s="771">
        <f t="shared" ref="U7:U15" si="1">H7</f>
        <v>0</v>
      </c>
      <c r="V7" s="770" t="s">
        <v>17</v>
      </c>
      <c r="W7" s="771">
        <f t="shared" ref="W7:W15" si="2">J7</f>
        <v>0</v>
      </c>
      <c r="X7" s="772"/>
      <c r="Y7" s="3177" t="s">
        <v>2549</v>
      </c>
      <c r="Z7" s="3178"/>
      <c r="AA7" s="773" t="e">
        <f>D7/F7</f>
        <v>#DIV/0!</v>
      </c>
      <c r="AB7" s="773" t="e">
        <f>D7/H7</f>
        <v>#DIV/0!</v>
      </c>
      <c r="AC7" s="773" t="e">
        <f>D7/J7</f>
        <v>#DIV/0!</v>
      </c>
    </row>
    <row r="8" spans="1:29" s="117" customFormat="1" ht="1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77" t="s">
        <v>2552</v>
      </c>
      <c r="Q8" s="3178"/>
      <c r="R8" s="770" t="s">
        <v>17</v>
      </c>
      <c r="S8" s="771">
        <f t="shared" si="0"/>
        <v>0</v>
      </c>
      <c r="T8" s="770" t="s">
        <v>17</v>
      </c>
      <c r="U8" s="771">
        <f t="shared" si="1"/>
        <v>0</v>
      </c>
      <c r="V8" s="770" t="s">
        <v>17</v>
      </c>
      <c r="W8" s="771">
        <f t="shared" si="2"/>
        <v>0</v>
      </c>
      <c r="X8" s="772"/>
      <c r="Y8" s="3177" t="s">
        <v>2552</v>
      </c>
      <c r="Z8" s="3178"/>
      <c r="AA8" s="773" t="e">
        <f t="shared" ref="AA8:AA46" si="3">D8/F8</f>
        <v>#DIV/0!</v>
      </c>
      <c r="AB8" s="773" t="e">
        <f t="shared" ref="AB8:AB46" si="4">D8/H8</f>
        <v>#DIV/0!</v>
      </c>
      <c r="AC8" s="773" t="e">
        <f t="shared" ref="AC8:AC46" si="5">D8/J8</f>
        <v>#DIV/0!</v>
      </c>
    </row>
    <row r="9" spans="1:29" s="117" customFormat="1" ht="14.4">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1" t="s">
        <v>2555</v>
      </c>
      <c r="Q9" s="1798" t="str">
        <f t="shared" ref="Q9:Q15" si="6">B9</f>
        <v>用途</v>
      </c>
      <c r="R9" s="770" t="s">
        <v>17</v>
      </c>
      <c r="S9" s="771">
        <f t="shared" si="0"/>
        <v>100</v>
      </c>
      <c r="T9" s="770" t="s">
        <v>17</v>
      </c>
      <c r="U9" s="771">
        <f t="shared" si="1"/>
        <v>100</v>
      </c>
      <c r="V9" s="770" t="s">
        <v>17</v>
      </c>
      <c r="W9" s="771">
        <f t="shared" si="2"/>
        <v>100</v>
      </c>
      <c r="X9" s="772"/>
      <c r="Y9" s="3024"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1"/>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1"/>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1"/>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1"/>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6"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1"/>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69">
      <c r="A15" s="440" t="s">
        <v>2559</v>
      </c>
      <c r="B15" s="69" t="s">
        <v>2653</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8" t="s">
        <v>2560</v>
      </c>
      <c r="Q15" s="1813" t="str">
        <f t="shared" si="6"/>
        <v>商业繁华度</v>
      </c>
      <c r="R15" s="774" t="s">
        <v>17</v>
      </c>
      <c r="S15" s="775">
        <f t="shared" si="0"/>
        <v>100</v>
      </c>
      <c r="T15" s="774" t="s">
        <v>17</v>
      </c>
      <c r="U15" s="775">
        <f t="shared" si="1"/>
        <v>100</v>
      </c>
      <c r="V15" s="774" t="s">
        <v>17</v>
      </c>
      <c r="W15" s="775">
        <f t="shared" si="2"/>
        <v>100</v>
      </c>
      <c r="X15" s="1816"/>
      <c r="Y15" s="3211" t="s">
        <v>2560</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9"/>
      <c r="Q16" s="1813"/>
      <c r="R16" s="774"/>
      <c r="S16" s="775"/>
      <c r="T16" s="774"/>
      <c r="U16" s="775"/>
      <c r="V16" s="774"/>
      <c r="W16" s="775"/>
      <c r="X16" s="1816"/>
      <c r="Y16" s="3212"/>
      <c r="Z16" s="1817"/>
      <c r="AA16" s="1814">
        <v>1</v>
      </c>
      <c r="AB16" s="1814">
        <v>1</v>
      </c>
      <c r="AC16" s="1814">
        <v>1</v>
      </c>
    </row>
    <row r="17" spans="1:29" ht="82.8">
      <c r="A17" s="428"/>
      <c r="B17" s="451" t="s">
        <v>2096</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9"/>
      <c r="Q17" s="1813" t="str">
        <f>B17</f>
        <v>交通便捷度</v>
      </c>
      <c r="R17" s="774" t="s">
        <v>17</v>
      </c>
      <c r="S17" s="775">
        <f>F17</f>
        <v>100</v>
      </c>
      <c r="T17" s="774" t="s">
        <v>17</v>
      </c>
      <c r="U17" s="775">
        <f>H17</f>
        <v>100</v>
      </c>
      <c r="V17" s="774" t="s">
        <v>17</v>
      </c>
      <c r="W17" s="775">
        <f>J17</f>
        <v>100</v>
      </c>
      <c r="X17" s="1816"/>
      <c r="Y17" s="3212"/>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19"/>
      <c r="Q18" s="1813"/>
      <c r="R18" s="774"/>
      <c r="S18" s="775"/>
      <c r="T18" s="774"/>
      <c r="U18" s="775"/>
      <c r="V18" s="774"/>
      <c r="W18" s="775"/>
      <c r="X18" s="1816"/>
      <c r="Y18" s="3212"/>
      <c r="Z18" s="1817"/>
      <c r="AA18" s="1814">
        <v>1</v>
      </c>
      <c r="AB18" s="1814">
        <v>1</v>
      </c>
      <c r="AC18" s="1814">
        <v>1</v>
      </c>
    </row>
    <row r="19" spans="1:29" ht="41.4">
      <c r="A19" s="428"/>
      <c r="B19" s="451" t="s">
        <v>2654</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9"/>
      <c r="Q19" s="1813" t="str">
        <f>B19</f>
        <v>公共配套设施</v>
      </c>
      <c r="R19" s="774" t="s">
        <v>17</v>
      </c>
      <c r="S19" s="775">
        <f>F19</f>
        <v>100</v>
      </c>
      <c r="T19" s="774" t="s">
        <v>17</v>
      </c>
      <c r="U19" s="775">
        <f>H19</f>
        <v>100</v>
      </c>
      <c r="V19" s="774" t="s">
        <v>17</v>
      </c>
      <c r="W19" s="775">
        <f>J19</f>
        <v>100</v>
      </c>
      <c r="X19" s="1816"/>
      <c r="Y19" s="3212"/>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19"/>
      <c r="Q20" s="1813"/>
      <c r="R20" s="774"/>
      <c r="S20" s="775"/>
      <c r="T20" s="774"/>
      <c r="U20" s="775"/>
      <c r="V20" s="774"/>
      <c r="W20" s="775"/>
      <c r="X20" s="1816"/>
      <c r="Y20" s="3212"/>
      <c r="Z20" s="1817"/>
      <c r="AA20" s="1814">
        <v>1</v>
      </c>
      <c r="AB20" s="1814">
        <v>1</v>
      </c>
      <c r="AC20" s="1814">
        <v>1</v>
      </c>
    </row>
    <row r="21" spans="1:29" ht="27.6">
      <c r="A21" s="428"/>
      <c r="B21" s="1387" t="s">
        <v>2655</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9"/>
      <c r="Q21" s="1813" t="str">
        <f>B21</f>
        <v>基础设施水平</v>
      </c>
      <c r="R21" s="774" t="s">
        <v>17</v>
      </c>
      <c r="S21" s="775">
        <f>F21</f>
        <v>100</v>
      </c>
      <c r="T21" s="774" t="s">
        <v>17</v>
      </c>
      <c r="U21" s="775">
        <f>H21</f>
        <v>100</v>
      </c>
      <c r="V21" s="774" t="s">
        <v>17</v>
      </c>
      <c r="W21" s="775">
        <f>J21</f>
        <v>100</v>
      </c>
      <c r="X21" s="1816"/>
      <c r="Y21" s="3212"/>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19"/>
      <c r="Q22" s="1813"/>
      <c r="R22" s="774"/>
      <c r="S22" s="775"/>
      <c r="T22" s="774"/>
      <c r="U22" s="775"/>
      <c r="V22" s="774"/>
      <c r="W22" s="775"/>
      <c r="X22" s="1816"/>
      <c r="Y22" s="3212"/>
      <c r="Z22" s="1817"/>
      <c r="AA22" s="1814">
        <v>1</v>
      </c>
      <c r="AB22" s="1814">
        <v>1</v>
      </c>
      <c r="AC22" s="1814">
        <v>1</v>
      </c>
    </row>
    <row r="23" spans="1:29" ht="55.2">
      <c r="A23" s="428"/>
      <c r="B23" s="451" t="s">
        <v>2101</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9"/>
      <c r="Q23" s="1813" t="str">
        <f>B23</f>
        <v>自然及人文环境</v>
      </c>
      <c r="R23" s="774" t="s">
        <v>17</v>
      </c>
      <c r="S23" s="775">
        <f>F23</f>
        <v>100</v>
      </c>
      <c r="T23" s="774" t="s">
        <v>17</v>
      </c>
      <c r="U23" s="775">
        <f>H23</f>
        <v>100</v>
      </c>
      <c r="V23" s="774" t="s">
        <v>17</v>
      </c>
      <c r="W23" s="775">
        <f>J23</f>
        <v>100</v>
      </c>
      <c r="X23" s="1816"/>
      <c r="Y23" s="3212"/>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19"/>
      <c r="Q24" s="1813"/>
      <c r="R24" s="774"/>
      <c r="S24" s="775"/>
      <c r="T24" s="774"/>
      <c r="U24" s="775"/>
      <c r="V24" s="774"/>
      <c r="W24" s="775"/>
      <c r="X24" s="1816"/>
      <c r="Y24" s="3212"/>
      <c r="Z24" s="1817"/>
      <c r="AA24" s="1814">
        <v>1</v>
      </c>
      <c r="AB24" s="1814">
        <v>1</v>
      </c>
      <c r="AC24" s="1814">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9"/>
      <c r="Q25" s="1813" t="str">
        <f t="shared" ref="Q25:Q46" si="11">B25</f>
        <v>临街状况</v>
      </c>
      <c r="R25" s="774" t="s">
        <v>17</v>
      </c>
      <c r="S25" s="775">
        <f>F25</f>
        <v>100</v>
      </c>
      <c r="T25" s="774" t="s">
        <v>17</v>
      </c>
      <c r="U25" s="775">
        <f>H25</f>
        <v>100</v>
      </c>
      <c r="V25" s="774" t="s">
        <v>17</v>
      </c>
      <c r="W25" s="775">
        <f>J25</f>
        <v>100</v>
      </c>
      <c r="X25" s="1816"/>
      <c r="Y25" s="3212"/>
      <c r="Z25" s="1817" t="str">
        <f>Q25</f>
        <v>临街状况</v>
      </c>
      <c r="AA25" s="1814">
        <f t="shared" si="3"/>
        <v>1</v>
      </c>
      <c r="AB25" s="1814">
        <f t="shared" si="4"/>
        <v>1</v>
      </c>
      <c r="AC25" s="1814">
        <f t="shared" si="5"/>
        <v>1</v>
      </c>
    </row>
    <row r="26" spans="1:29" ht="15">
      <c r="A26" s="428"/>
      <c r="B26" s="1389"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9"/>
      <c r="Q26" s="1813" t="str">
        <f t="shared" si="11"/>
        <v>平面位置/可视性</v>
      </c>
      <c r="R26" s="774" t="s">
        <v>17</v>
      </c>
      <c r="S26" s="775">
        <f>F26</f>
        <v>100</v>
      </c>
      <c r="T26" s="774" t="s">
        <v>17</v>
      </c>
      <c r="U26" s="775">
        <f>H26</f>
        <v>100</v>
      </c>
      <c r="V26" s="774" t="s">
        <v>17</v>
      </c>
      <c r="W26" s="775">
        <f>J26</f>
        <v>100</v>
      </c>
      <c r="X26" s="1816"/>
      <c r="Y26" s="3212"/>
      <c r="Z26" s="1817" t="str">
        <f>Q26</f>
        <v>平面位置/可视性</v>
      </c>
      <c r="AA26" s="1814">
        <f t="shared" si="3"/>
        <v>1</v>
      </c>
      <c r="AB26" s="1814">
        <f t="shared" si="4"/>
        <v>1</v>
      </c>
      <c r="AC26" s="1814">
        <f t="shared" si="5"/>
        <v>1</v>
      </c>
    </row>
    <row r="27" spans="1:29" s="117" customFormat="1" ht="15">
      <c r="A27" s="431"/>
      <c r="B27" s="451" t="s">
        <v>2658</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19"/>
      <c r="Q27" s="1798" t="str">
        <f t="shared" si="11"/>
        <v>人流量</v>
      </c>
      <c r="R27" s="770" t="s">
        <v>17</v>
      </c>
      <c r="S27" s="771">
        <f>F27</f>
        <v>100</v>
      </c>
      <c r="T27" s="770" t="s">
        <v>17</v>
      </c>
      <c r="U27" s="771">
        <f>H27</f>
        <v>100</v>
      </c>
      <c r="V27" s="770" t="s">
        <v>17</v>
      </c>
      <c r="W27" s="771">
        <f>J27</f>
        <v>100</v>
      </c>
      <c r="X27" s="772"/>
      <c r="Y27" s="3212"/>
      <c r="Z27" s="55" t="str">
        <f>Q27</f>
        <v>人流量</v>
      </c>
      <c r="AA27" s="1814">
        <f>D27/F27</f>
        <v>1</v>
      </c>
      <c r="AB27" s="1814">
        <f>D27/H27</f>
        <v>1</v>
      </c>
      <c r="AC27" s="1814">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9"/>
      <c r="Q29" s="1813">
        <f t="shared" si="11"/>
        <v>111</v>
      </c>
      <c r="R29" s="774" t="s">
        <v>17</v>
      </c>
      <c r="S29" s="775">
        <f t="shared" si="12"/>
        <v>100</v>
      </c>
      <c r="T29" s="774" t="s">
        <v>17</v>
      </c>
      <c r="U29" s="775">
        <f t="shared" si="13"/>
        <v>100</v>
      </c>
      <c r="V29" s="774" t="s">
        <v>17</v>
      </c>
      <c r="W29" s="775">
        <f t="shared" si="14"/>
        <v>100</v>
      </c>
      <c r="X29" s="1816"/>
      <c r="Y29" s="321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9"/>
      <c r="Q30" s="1813">
        <f t="shared" si="11"/>
        <v>111</v>
      </c>
      <c r="R30" s="774" t="s">
        <v>17</v>
      </c>
      <c r="S30" s="775">
        <f t="shared" si="12"/>
        <v>100</v>
      </c>
      <c r="T30" s="774" t="s">
        <v>17</v>
      </c>
      <c r="U30" s="775">
        <f t="shared" si="13"/>
        <v>100</v>
      </c>
      <c r="V30" s="774" t="s">
        <v>17</v>
      </c>
      <c r="W30" s="775">
        <f t="shared" si="14"/>
        <v>100</v>
      </c>
      <c r="X30" s="1816"/>
      <c r="Y30" s="3212"/>
      <c r="Z30" s="1817">
        <f t="shared" si="15"/>
        <v>111</v>
      </c>
      <c r="AA30" s="1814">
        <f t="shared" si="3"/>
        <v>1</v>
      </c>
      <c r="AB30" s="1814">
        <f t="shared" si="4"/>
        <v>1</v>
      </c>
      <c r="AC30" s="1814">
        <f t="shared" si="5"/>
        <v>1</v>
      </c>
    </row>
    <row r="31" spans="1:29" ht="15.6"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9"/>
      <c r="Q31" s="1813">
        <f t="shared" si="11"/>
        <v>111</v>
      </c>
      <c r="R31" s="774" t="s">
        <v>17</v>
      </c>
      <c r="S31" s="775">
        <f t="shared" si="12"/>
        <v>100</v>
      </c>
      <c r="T31" s="774" t="s">
        <v>17</v>
      </c>
      <c r="U31" s="775">
        <f t="shared" si="13"/>
        <v>100</v>
      </c>
      <c r="V31" s="774" t="s">
        <v>17</v>
      </c>
      <c r="W31" s="775">
        <f t="shared" si="14"/>
        <v>100</v>
      </c>
      <c r="X31" s="1816"/>
      <c r="Y31" s="3212"/>
      <c r="Z31" s="1817">
        <f t="shared" si="15"/>
        <v>111</v>
      </c>
      <c r="AA31" s="1814">
        <f t="shared" si="3"/>
        <v>1</v>
      </c>
      <c r="AB31" s="1814">
        <f t="shared" si="4"/>
        <v>1</v>
      </c>
      <c r="AC31" s="1814">
        <f t="shared" si="5"/>
        <v>1</v>
      </c>
    </row>
    <row r="32" spans="1:29" ht="15">
      <c r="A32" s="440" t="s">
        <v>2563</v>
      </c>
      <c r="B32" s="71" t="s">
        <v>2660</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13" t="s">
        <v>2565</v>
      </c>
      <c r="Q32" s="1813" t="str">
        <f t="shared" si="11"/>
        <v>商业类型</v>
      </c>
      <c r="R32" s="774" t="s">
        <v>17</v>
      </c>
      <c r="S32" s="775">
        <f t="shared" si="12"/>
        <v>100</v>
      </c>
      <c r="T32" s="774" t="s">
        <v>17</v>
      </c>
      <c r="U32" s="775">
        <f t="shared" si="13"/>
        <v>100</v>
      </c>
      <c r="V32" s="774" t="s">
        <v>17</v>
      </c>
      <c r="W32" s="775">
        <f t="shared" si="14"/>
        <v>100</v>
      </c>
      <c r="X32" s="1816"/>
      <c r="Y32" s="3216" t="s">
        <v>2565</v>
      </c>
      <c r="Z32" s="1817" t="str">
        <f t="shared" si="15"/>
        <v>商业类型</v>
      </c>
      <c r="AA32" s="1814">
        <f t="shared" si="3"/>
        <v>1</v>
      </c>
      <c r="AB32" s="1814">
        <f t="shared" si="4"/>
        <v>1</v>
      </c>
      <c r="AC32" s="1814">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14"/>
      <c r="Q33" s="776" t="str">
        <f t="shared" si="11"/>
        <v>项目建筑规模</v>
      </c>
      <c r="R33" s="777" t="s">
        <v>17</v>
      </c>
      <c r="S33" s="778" t="e">
        <f t="shared" si="12"/>
        <v>#N/A</v>
      </c>
      <c r="T33" s="777" t="s">
        <v>17</v>
      </c>
      <c r="U33" s="778" t="e">
        <f t="shared" si="13"/>
        <v>#N/A</v>
      </c>
      <c r="V33" s="777" t="s">
        <v>17</v>
      </c>
      <c r="W33" s="778" t="e">
        <f t="shared" si="14"/>
        <v>#N/A</v>
      </c>
      <c r="X33" s="779"/>
      <c r="Y33" s="3216"/>
      <c r="Z33" s="780" t="str">
        <f t="shared" si="15"/>
        <v>项目建筑规模</v>
      </c>
      <c r="AA33" s="1814" t="e">
        <f t="shared" si="3"/>
        <v>#N/A</v>
      </c>
      <c r="AB33" s="1814" t="e">
        <f t="shared" si="4"/>
        <v>#N/A</v>
      </c>
      <c r="AC33" s="1814" t="e">
        <f t="shared" si="5"/>
        <v>#N/A</v>
      </c>
    </row>
    <row r="34" spans="1:29" ht="15">
      <c r="A34" s="472"/>
      <c r="B34" s="422" t="s">
        <v>2567</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14"/>
      <c r="Q34" s="1813" t="str">
        <f t="shared" si="11"/>
        <v>建筑结构</v>
      </c>
      <c r="R34" s="774" t="s">
        <v>17</v>
      </c>
      <c r="S34" s="775">
        <f t="shared" si="12"/>
        <v>100</v>
      </c>
      <c r="T34" s="774" t="s">
        <v>17</v>
      </c>
      <c r="U34" s="775">
        <f t="shared" si="13"/>
        <v>100</v>
      </c>
      <c r="V34" s="774" t="s">
        <v>17</v>
      </c>
      <c r="W34" s="775">
        <f t="shared" si="14"/>
        <v>100</v>
      </c>
      <c r="X34" s="1816"/>
      <c r="Y34" s="3216"/>
      <c r="Z34" s="1817" t="str">
        <f t="shared" si="15"/>
        <v>建筑结构</v>
      </c>
      <c r="AA34" s="1814">
        <f t="shared" si="3"/>
        <v>1</v>
      </c>
      <c r="AB34" s="1814">
        <f t="shared" si="4"/>
        <v>1</v>
      </c>
      <c r="AC34" s="1814">
        <f t="shared" si="5"/>
        <v>1</v>
      </c>
    </row>
    <row r="35" spans="1:29" ht="15">
      <c r="A35" s="472"/>
      <c r="B35" s="422" t="s">
        <v>2661</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14"/>
      <c r="Q35" s="1813" t="str">
        <f t="shared" si="11"/>
        <v>公共部分装修</v>
      </c>
      <c r="R35" s="774" t="s">
        <v>17</v>
      </c>
      <c r="S35" s="775">
        <f t="shared" si="12"/>
        <v>100</v>
      </c>
      <c r="T35" s="774" t="s">
        <v>17</v>
      </c>
      <c r="U35" s="775">
        <f t="shared" si="13"/>
        <v>100</v>
      </c>
      <c r="V35" s="774" t="s">
        <v>17</v>
      </c>
      <c r="W35" s="775">
        <f t="shared" si="14"/>
        <v>100</v>
      </c>
      <c r="X35" s="1816"/>
      <c r="Y35" s="3216"/>
      <c r="Z35" s="1817" t="str">
        <f t="shared" si="15"/>
        <v>公共部分装修</v>
      </c>
      <c r="AA35" s="1814">
        <f t="shared" si="3"/>
        <v>1</v>
      </c>
      <c r="AB35" s="1814">
        <f t="shared" si="4"/>
        <v>1</v>
      </c>
      <c r="AC35" s="1814">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14"/>
      <c r="Q36" s="1813" t="str">
        <f t="shared" si="11"/>
        <v>成新度</v>
      </c>
      <c r="R36" s="774" t="s">
        <v>17</v>
      </c>
      <c r="S36" s="775" t="e">
        <f t="shared" si="12"/>
        <v>#N/A</v>
      </c>
      <c r="T36" s="774" t="s">
        <v>17</v>
      </c>
      <c r="U36" s="775" t="e">
        <f t="shared" si="13"/>
        <v>#N/A</v>
      </c>
      <c r="V36" s="774" t="s">
        <v>17</v>
      </c>
      <c r="W36" s="775" t="e">
        <f t="shared" si="14"/>
        <v>#N/A</v>
      </c>
      <c r="X36" s="1816"/>
      <c r="Y36" s="3216"/>
      <c r="Z36" s="1817" t="str">
        <f t="shared" si="15"/>
        <v>成新度</v>
      </c>
      <c r="AA36" s="1814" t="e">
        <f t="shared" si="3"/>
        <v>#N/A</v>
      </c>
      <c r="AB36" s="1814" t="e">
        <f t="shared" si="4"/>
        <v>#N/A</v>
      </c>
      <c r="AC36" s="1814" t="e">
        <f t="shared" si="5"/>
        <v>#N/A</v>
      </c>
    </row>
    <row r="37" spans="1:29" s="117" customFormat="1" ht="15">
      <c r="A37" s="473"/>
      <c r="B37" s="422" t="s">
        <v>2663</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14"/>
      <c r="Q37" s="1798" t="str">
        <f t="shared" si="11"/>
        <v>市政基础设施</v>
      </c>
      <c r="R37" s="770" t="s">
        <v>17</v>
      </c>
      <c r="S37" s="771">
        <f t="shared" si="12"/>
        <v>100</v>
      </c>
      <c r="T37" s="770" t="s">
        <v>17</v>
      </c>
      <c r="U37" s="771">
        <f t="shared" si="13"/>
        <v>100</v>
      </c>
      <c r="V37" s="770" t="s">
        <v>17</v>
      </c>
      <c r="W37" s="771">
        <f t="shared" si="14"/>
        <v>100</v>
      </c>
      <c r="X37" s="772"/>
      <c r="Y37" s="3216"/>
      <c r="Z37" s="55" t="str">
        <f t="shared" si="15"/>
        <v>市政基础设施</v>
      </c>
      <c r="AA37" s="773">
        <f t="shared" si="3"/>
        <v>1</v>
      </c>
      <c r="AB37" s="773">
        <f t="shared" si="4"/>
        <v>1</v>
      </c>
      <c r="AC37" s="773">
        <f t="shared" si="5"/>
        <v>1</v>
      </c>
    </row>
    <row r="38" spans="1:29" ht="15">
      <c r="A38" s="472"/>
      <c r="B38" s="422" t="s">
        <v>2664</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14" t="s">
        <v>2565</v>
      </c>
      <c r="Q38" s="1813" t="str">
        <f t="shared" si="11"/>
        <v>业态</v>
      </c>
      <c r="R38" s="774" t="s">
        <v>17</v>
      </c>
      <c r="S38" s="775">
        <f t="shared" si="12"/>
        <v>100</v>
      </c>
      <c r="T38" s="774" t="s">
        <v>17</v>
      </c>
      <c r="U38" s="775">
        <f t="shared" si="13"/>
        <v>100</v>
      </c>
      <c r="V38" s="774" t="s">
        <v>17</v>
      </c>
      <c r="W38" s="775">
        <f t="shared" si="14"/>
        <v>100</v>
      </c>
      <c r="X38" s="1816"/>
      <c r="Y38" s="3216" t="s">
        <v>2565</v>
      </c>
      <c r="Z38" s="1817" t="str">
        <f t="shared" si="15"/>
        <v>业态</v>
      </c>
      <c r="AA38" s="1814">
        <f t="shared" si="3"/>
        <v>1</v>
      </c>
      <c r="AB38" s="1814">
        <f t="shared" si="4"/>
        <v>1</v>
      </c>
      <c r="AC38" s="1814">
        <f t="shared" si="5"/>
        <v>1</v>
      </c>
    </row>
    <row r="39" spans="1:29" ht="15">
      <c r="A39" s="472"/>
      <c r="B39" s="422" t="s">
        <v>2665</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14"/>
      <c r="Q39" s="1813" t="str">
        <f t="shared" si="11"/>
        <v>层高</v>
      </c>
      <c r="R39" s="774" t="s">
        <v>17</v>
      </c>
      <c r="S39" s="775">
        <f t="shared" si="12"/>
        <v>100</v>
      </c>
      <c r="T39" s="774" t="s">
        <v>17</v>
      </c>
      <c r="U39" s="775">
        <f t="shared" si="13"/>
        <v>100</v>
      </c>
      <c r="V39" s="774" t="s">
        <v>17</v>
      </c>
      <c r="W39" s="775">
        <f t="shared" si="14"/>
        <v>100</v>
      </c>
      <c r="X39" s="1816"/>
      <c r="Y39" s="3216"/>
      <c r="Z39" s="1817" t="str">
        <f t="shared" si="15"/>
        <v>层高</v>
      </c>
      <c r="AA39" s="1814">
        <f t="shared" si="3"/>
        <v>1</v>
      </c>
      <c r="AB39" s="1814">
        <f t="shared" si="4"/>
        <v>1</v>
      </c>
      <c r="AC39" s="1814">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14"/>
      <c r="Q40" s="1813" t="str">
        <f t="shared" si="11"/>
        <v>单套建筑面积</v>
      </c>
      <c r="R40" s="774" t="s">
        <v>17</v>
      </c>
      <c r="S40" s="775">
        <f t="shared" si="12"/>
        <v>100</v>
      </c>
      <c r="T40" s="774" t="s">
        <v>17</v>
      </c>
      <c r="U40" s="775">
        <f t="shared" si="13"/>
        <v>100</v>
      </c>
      <c r="V40" s="774" t="s">
        <v>17</v>
      </c>
      <c r="W40" s="775">
        <f t="shared" si="14"/>
        <v>100</v>
      </c>
      <c r="X40" s="1816"/>
      <c r="Y40" s="3216"/>
      <c r="Z40" s="1817" t="str">
        <f t="shared" si="15"/>
        <v>单套建筑面积</v>
      </c>
      <c r="AA40" s="1814">
        <f t="shared" si="3"/>
        <v>1</v>
      </c>
      <c r="AB40" s="1814">
        <f t="shared" si="4"/>
        <v>1</v>
      </c>
      <c r="AC40" s="1814">
        <f t="shared" si="5"/>
        <v>1</v>
      </c>
    </row>
    <row r="41" spans="1:29" s="471" customFormat="1" ht="15">
      <c r="A41" s="468"/>
      <c r="B41" s="1815"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14"/>
      <c r="Q41" s="776" t="str">
        <f t="shared" si="11"/>
        <v>进深比</v>
      </c>
      <c r="R41" s="777" t="s">
        <v>17</v>
      </c>
      <c r="S41" s="778">
        <f t="shared" si="12"/>
        <v>100</v>
      </c>
      <c r="T41" s="777" t="s">
        <v>17</v>
      </c>
      <c r="U41" s="778">
        <f t="shared" si="13"/>
        <v>100</v>
      </c>
      <c r="V41" s="777" t="s">
        <v>17</v>
      </c>
      <c r="W41" s="778">
        <f t="shared" si="14"/>
        <v>100</v>
      </c>
      <c r="X41" s="779"/>
      <c r="Y41" s="3216"/>
      <c r="Z41" s="780" t="str">
        <f t="shared" si="15"/>
        <v>进深比</v>
      </c>
      <c r="AA41" s="1814">
        <f t="shared" si="3"/>
        <v>1</v>
      </c>
      <c r="AB41" s="1814">
        <f t="shared" si="4"/>
        <v>1</v>
      </c>
      <c r="AC41" s="1814">
        <f t="shared" si="5"/>
        <v>1</v>
      </c>
    </row>
    <row r="42" spans="1:29" ht="15">
      <c r="A42" s="472"/>
      <c r="B42" s="422" t="s">
        <v>2668</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14"/>
      <c r="Q42" s="1813" t="str">
        <f t="shared" si="11"/>
        <v>内部装修</v>
      </c>
      <c r="R42" s="774" t="s">
        <v>17</v>
      </c>
      <c r="S42" s="775">
        <f t="shared" si="12"/>
        <v>100</v>
      </c>
      <c r="T42" s="774" t="s">
        <v>17</v>
      </c>
      <c r="U42" s="775">
        <f t="shared" si="13"/>
        <v>100</v>
      </c>
      <c r="V42" s="774" t="s">
        <v>17</v>
      </c>
      <c r="W42" s="775">
        <f t="shared" si="14"/>
        <v>100</v>
      </c>
      <c r="X42" s="1816"/>
      <c r="Y42" s="3216"/>
      <c r="Z42" s="1817" t="str">
        <f t="shared" si="15"/>
        <v>内部装修</v>
      </c>
      <c r="AA42" s="1814">
        <f t="shared" si="3"/>
        <v>1</v>
      </c>
      <c r="AB42" s="1814">
        <f t="shared" si="4"/>
        <v>1</v>
      </c>
      <c r="AC42" s="1814">
        <f t="shared" si="5"/>
        <v>1</v>
      </c>
    </row>
    <row r="43" spans="1:29" ht="28.8">
      <c r="A43" s="472"/>
      <c r="B43" s="422" t="s">
        <v>2576</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14"/>
      <c r="Q43" s="1813" t="str">
        <f t="shared" si="11"/>
        <v>内部装修维护情况</v>
      </c>
      <c r="R43" s="774" t="s">
        <v>17</v>
      </c>
      <c r="S43" s="775">
        <f t="shared" si="12"/>
        <v>100</v>
      </c>
      <c r="T43" s="774" t="s">
        <v>17</v>
      </c>
      <c r="U43" s="775">
        <f t="shared" si="13"/>
        <v>100</v>
      </c>
      <c r="V43" s="774" t="s">
        <v>17</v>
      </c>
      <c r="W43" s="775">
        <f t="shared" si="14"/>
        <v>100</v>
      </c>
      <c r="X43" s="1816"/>
      <c r="Y43" s="321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14"/>
      <c r="Q44" s="1798">
        <f t="shared" si="11"/>
        <v>111</v>
      </c>
      <c r="R44" s="770" t="s">
        <v>17</v>
      </c>
      <c r="S44" s="771">
        <f t="shared" si="12"/>
        <v>100</v>
      </c>
      <c r="T44" s="770" t="s">
        <v>17</v>
      </c>
      <c r="U44" s="771">
        <f t="shared" si="13"/>
        <v>100</v>
      </c>
      <c r="V44" s="770" t="s">
        <v>17</v>
      </c>
      <c r="W44" s="771">
        <f t="shared" si="14"/>
        <v>100</v>
      </c>
      <c r="X44" s="772"/>
      <c r="Y44" s="321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14"/>
      <c r="Q45" s="1813">
        <f t="shared" si="11"/>
        <v>111</v>
      </c>
      <c r="R45" s="774" t="s">
        <v>17</v>
      </c>
      <c r="S45" s="775">
        <f t="shared" si="12"/>
        <v>100</v>
      </c>
      <c r="T45" s="774" t="s">
        <v>17</v>
      </c>
      <c r="U45" s="775">
        <f t="shared" si="13"/>
        <v>100</v>
      </c>
      <c r="V45" s="774" t="s">
        <v>17</v>
      </c>
      <c r="W45" s="775">
        <f t="shared" si="14"/>
        <v>100</v>
      </c>
      <c r="X45" s="1816"/>
      <c r="Y45" s="3216"/>
      <c r="Z45" s="1817">
        <f t="shared" si="15"/>
        <v>111</v>
      </c>
      <c r="AA45" s="1814">
        <f t="shared" si="3"/>
        <v>1</v>
      </c>
      <c r="AB45" s="1814">
        <f t="shared" si="4"/>
        <v>1</v>
      </c>
      <c r="AC45" s="1814">
        <f t="shared" si="5"/>
        <v>1</v>
      </c>
    </row>
    <row r="46" spans="1:29" ht="15.6"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15"/>
      <c r="Q46" s="1813">
        <f t="shared" si="11"/>
        <v>111</v>
      </c>
      <c r="R46" s="774" t="s">
        <v>17</v>
      </c>
      <c r="S46" s="775">
        <f t="shared" si="12"/>
        <v>100</v>
      </c>
      <c r="T46" s="774" t="s">
        <v>17</v>
      </c>
      <c r="U46" s="775">
        <f t="shared" si="13"/>
        <v>100</v>
      </c>
      <c r="V46" s="774" t="s">
        <v>17</v>
      </c>
      <c r="W46" s="775">
        <f t="shared" si="14"/>
        <v>100</v>
      </c>
      <c r="X46" s="1816"/>
      <c r="Y46" s="3217"/>
      <c r="Z46" s="1817">
        <f t="shared" si="15"/>
        <v>111</v>
      </c>
      <c r="AA46" s="1814">
        <f t="shared" si="3"/>
        <v>1</v>
      </c>
      <c r="AB46" s="1814">
        <f t="shared" si="4"/>
        <v>1</v>
      </c>
      <c r="AC46" s="1814">
        <f t="shared" si="5"/>
        <v>1</v>
      </c>
    </row>
    <row r="47" spans="1:29" ht="14.4">
      <c r="A47" s="479" t="s">
        <v>2577</v>
      </c>
      <c r="B47" s="480"/>
      <c r="C47" s="1410" t="s">
        <v>1</v>
      </c>
      <c r="D47" s="1411"/>
      <c r="E47" s="1412"/>
      <c r="F47" s="1413"/>
      <c r="G47" s="1414"/>
      <c r="H47" s="1415"/>
      <c r="I47" s="1412"/>
      <c r="J47" s="1415"/>
      <c r="K47" s="783"/>
      <c r="L47" s="1146"/>
      <c r="M47" s="1147"/>
      <c r="N47" s="1134"/>
      <c r="O47" s="1147"/>
      <c r="P47" s="3209" t="str">
        <f>A47</f>
        <v>成交单价（元/平方米）</v>
      </c>
      <c r="Q47" s="3209"/>
      <c r="R47" s="3204">
        <f>E47</f>
        <v>0</v>
      </c>
      <c r="S47" s="3204"/>
      <c r="T47" s="3204">
        <f>G47</f>
        <v>0</v>
      </c>
      <c r="U47" s="3204"/>
      <c r="V47" s="3204">
        <f>I47</f>
        <v>0</v>
      </c>
      <c r="W47" s="3204"/>
      <c r="X47" s="759"/>
      <c r="Y47" s="781"/>
      <c r="Z47" s="759"/>
      <c r="AA47" s="759"/>
      <c r="AB47" s="759"/>
      <c r="AC47" s="759"/>
    </row>
    <row r="48" spans="1:29" ht="15" thickBot="1">
      <c r="A48" s="486" t="s">
        <v>2669</v>
      </c>
      <c r="B48" s="487"/>
      <c r="C48" s="1416" t="e">
        <f>R49</f>
        <v>#DIV/0!</v>
      </c>
      <c r="D48" s="1417"/>
      <c r="E48" s="1418" t="e">
        <f>R48</f>
        <v>#DIV/0!</v>
      </c>
      <c r="F48" s="1418"/>
      <c r="G48" s="1416" t="e">
        <f>T48</f>
        <v>#DIV/0!</v>
      </c>
      <c r="H48" s="1417"/>
      <c r="I48" s="1418" t="e">
        <f>V48</f>
        <v>#DIV/0!</v>
      </c>
      <c r="J48" s="1417"/>
      <c r="K48" s="784"/>
      <c r="L48" s="1146"/>
      <c r="M48" s="1147"/>
      <c r="N48" s="1134"/>
      <c r="O48" s="1147"/>
      <c r="P48" s="3209" t="str">
        <f>A48</f>
        <v>比较价值（元/平方米）</v>
      </c>
      <c r="Q48" s="3209"/>
      <c r="R48" s="3210" t="e">
        <f>IF(F1="售价",ROUND(PRODUCT(R47,AA7:AA46),0),ROUND(PRODUCT(R47,AA7:AA46),1))</f>
        <v>#DIV/0!</v>
      </c>
      <c r="S48" s="3210"/>
      <c r="T48" s="3210" t="e">
        <f>IF(F1="售价",ROUND(PRODUCT(T47,AB7:AB46),0),ROUND(PRODUCT(T47,AB7:AB46),1))</f>
        <v>#DIV/0!</v>
      </c>
      <c r="U48" s="3210"/>
      <c r="V48" s="3210" t="e">
        <f>IF(F1="售价",ROUND(PRODUCT(V47,AC7:AC46),0),ROUND(PRODUCT(V47,AC7:AC46),1))</f>
        <v>#DIV/0!</v>
      </c>
      <c r="W48" s="3210"/>
      <c r="X48" s="759"/>
      <c r="Y48" s="759"/>
      <c r="Z48" s="759"/>
      <c r="AA48" s="759"/>
      <c r="AB48" s="759"/>
      <c r="AC48" s="759"/>
    </row>
    <row r="49" spans="1:29" ht="15" thickBot="1">
      <c r="A49" s="492" t="s">
        <v>2670</v>
      </c>
      <c r="B49" s="493"/>
      <c r="C49" s="1420" t="e">
        <f>R49</f>
        <v>#DIV/0!</v>
      </c>
      <c r="D49" s="1420"/>
      <c r="E49" s="1420"/>
      <c r="F49" s="1420"/>
      <c r="G49" s="1420"/>
      <c r="H49" s="1420"/>
      <c r="I49" s="1420"/>
      <c r="J49" s="1420"/>
      <c r="K49" s="785"/>
      <c r="L49" s="1146"/>
      <c r="M49" s="1147"/>
      <c r="N49" s="1134"/>
      <c r="O49" s="1147"/>
      <c r="P49" s="3206" t="str">
        <f>A49</f>
        <v>估价对象XX用房的比较价值（楼面单价，元/平方米）</v>
      </c>
      <c r="Q49" s="3207"/>
      <c r="R49" s="3208" t="e">
        <f>IF(F1="售价",ROUND(AVERAGE(R48:V48),0),ROUND(AVERAGE(R48:V48),1))</f>
        <v>#DIV/0!</v>
      </c>
      <c r="S49" s="3208"/>
      <c r="T49" s="3208"/>
      <c r="U49" s="3208"/>
      <c r="V49" s="3208"/>
      <c r="W49" s="320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2.2" thickBot="1">
      <c r="A57" s="763" t="s">
        <v>2674</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4.4">
      <c r="A58" s="505" t="s">
        <v>2548</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c r="A59" s="509"/>
      <c r="B59" s="510"/>
      <c r="C59" s="1576">
        <v>100</v>
      </c>
      <c r="D59" s="512"/>
      <c r="E59" s="512"/>
      <c r="F59" s="512"/>
      <c r="G59" s="512"/>
      <c r="H59" s="512"/>
      <c r="I59" s="512"/>
      <c r="J59" s="512"/>
      <c r="K59" s="512"/>
      <c r="L59" s="512"/>
      <c r="M59" s="513"/>
      <c r="N59" s="512"/>
      <c r="O59" s="513"/>
      <c r="P59" s="2632"/>
    </row>
    <row r="60" spans="1:29" s="117" customFormat="1" ht="15" thickBot="1">
      <c r="A60" s="515" t="s">
        <v>2585</v>
      </c>
      <c r="B60" s="516"/>
      <c r="C60" s="517"/>
      <c r="D60" s="518"/>
      <c r="E60" s="518"/>
      <c r="F60" s="518"/>
      <c r="G60" s="518"/>
      <c r="H60" s="518"/>
      <c r="I60" s="518"/>
      <c r="J60" s="518"/>
      <c r="K60" s="518"/>
      <c r="L60" s="518"/>
      <c r="M60" s="519"/>
      <c r="N60" s="518"/>
      <c r="O60" s="519"/>
      <c r="P60" s="2632"/>
      <c r="Q60" s="504"/>
    </row>
    <row r="61" spans="1:29" s="117" customFormat="1" ht="14.4">
      <c r="A61" s="521" t="s">
        <v>2550</v>
      </c>
      <c r="B61" s="510"/>
      <c r="C61" s="522" t="s">
        <v>2652</v>
      </c>
      <c r="D61" s="523"/>
      <c r="E61" s="523"/>
      <c r="F61" s="523"/>
      <c r="G61" s="523"/>
      <c r="H61" s="523"/>
      <c r="I61" s="523"/>
      <c r="J61" s="523"/>
      <c r="K61" s="523"/>
      <c r="L61" s="524"/>
      <c r="M61" s="525"/>
      <c r="N61" s="1154"/>
      <c r="O61" s="1154"/>
      <c r="P61" s="2633"/>
      <c r="Q61" s="504"/>
    </row>
    <row r="62" spans="1:29" s="117" customFormat="1" ht="14.4" thickBot="1">
      <c r="A62" s="521"/>
      <c r="B62" s="510"/>
      <c r="C62" s="511">
        <v>100</v>
      </c>
      <c r="D62" s="512"/>
      <c r="E62" s="512"/>
      <c r="F62" s="512"/>
      <c r="G62" s="512"/>
      <c r="H62" s="512"/>
      <c r="I62" s="512"/>
      <c r="J62" s="512"/>
      <c r="K62" s="512"/>
      <c r="L62" s="512"/>
      <c r="M62" s="514"/>
      <c r="N62" s="1154"/>
      <c r="O62" s="1154"/>
      <c r="P62" s="2632"/>
      <c r="Q62" s="504"/>
    </row>
    <row r="63" spans="1:29" ht="14.4">
      <c r="A63" s="527" t="s">
        <v>2588</v>
      </c>
      <c r="B63" s="528" t="s">
        <v>2554</v>
      </c>
      <c r="C63" s="529">
        <f>C9</f>
        <v>0</v>
      </c>
      <c r="D63" s="530"/>
      <c r="E63" s="530"/>
      <c r="F63" s="530"/>
      <c r="G63" s="530"/>
      <c r="H63" s="530"/>
      <c r="I63" s="530"/>
      <c r="J63" s="530"/>
      <c r="K63" s="531"/>
      <c r="L63" s="532"/>
      <c r="M63" s="533"/>
      <c r="N63" s="1155"/>
      <c r="O63" s="1155"/>
      <c r="P63" s="2634"/>
      <c r="Q63" s="504"/>
    </row>
    <row r="64" spans="1:29" ht="14.4" thickBot="1">
      <c r="A64" s="534"/>
      <c r="B64" s="535"/>
      <c r="C64" s="536">
        <v>100</v>
      </c>
      <c r="D64" s="536"/>
      <c r="E64" s="536"/>
      <c r="F64" s="536"/>
      <c r="G64" s="536"/>
      <c r="H64" s="536"/>
      <c r="I64" s="536"/>
      <c r="J64" s="536"/>
      <c r="K64" s="536"/>
      <c r="L64" s="536"/>
      <c r="M64" s="537"/>
      <c r="N64" s="1156"/>
      <c r="O64" s="1156"/>
      <c r="P64" s="2634"/>
      <c r="Q64" s="504"/>
    </row>
    <row r="65" spans="1:17" ht="29.4"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4"/>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c r="A68" s="534"/>
      <c r="B68" s="548"/>
      <c r="C68" s="549"/>
      <c r="D68" s="549"/>
      <c r="E68" s="549"/>
      <c r="F68" s="549"/>
      <c r="G68" s="549"/>
      <c r="H68" s="549"/>
      <c r="I68" s="549"/>
      <c r="J68" s="549"/>
      <c r="K68" s="550"/>
      <c r="L68" s="551"/>
      <c r="M68" s="552"/>
      <c r="N68" s="1155"/>
      <c r="O68" s="1155"/>
      <c r="P68" s="2634"/>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4.4" thickTop="1">
      <c r="A70" s="553"/>
      <c r="B70" s="538">
        <f>B12</f>
        <v>111</v>
      </c>
      <c r="C70" s="554"/>
      <c r="D70" s="554"/>
      <c r="E70" s="554"/>
      <c r="F70" s="554"/>
      <c r="G70" s="554"/>
      <c r="H70" s="555"/>
      <c r="I70" s="555"/>
      <c r="J70" s="555"/>
      <c r="K70" s="555"/>
      <c r="L70" s="556"/>
      <c r="M70" s="557"/>
      <c r="N70" s="1157"/>
      <c r="O70" s="1157"/>
      <c r="P70" s="2635"/>
      <c r="Q70" s="559"/>
    </row>
    <row r="71" spans="1:17" s="471" customFormat="1" ht="14.4" thickBot="1">
      <c r="A71" s="553"/>
      <c r="B71" s="543"/>
      <c r="C71" s="560"/>
      <c r="D71" s="536"/>
      <c r="E71" s="536"/>
      <c r="F71" s="536"/>
      <c r="G71" s="536"/>
      <c r="H71" s="536"/>
      <c r="I71" s="536"/>
      <c r="J71" s="536"/>
      <c r="K71" s="536"/>
      <c r="L71" s="536"/>
      <c r="M71" s="537"/>
      <c r="N71" s="1156"/>
      <c r="O71" s="1156"/>
      <c r="P71" s="2635"/>
      <c r="Q71" s="559"/>
    </row>
    <row r="72" spans="1:17" s="471" customFormat="1" ht="14.4" thickTop="1">
      <c r="A72" s="553"/>
      <c r="B72" s="538">
        <f>B13</f>
        <v>111</v>
      </c>
      <c r="C72" s="554"/>
      <c r="D72" s="554"/>
      <c r="E72" s="554"/>
      <c r="F72" s="554"/>
      <c r="G72" s="554"/>
      <c r="H72" s="555"/>
      <c r="I72" s="555"/>
      <c r="J72" s="555"/>
      <c r="K72" s="555"/>
      <c r="L72" s="556"/>
      <c r="M72" s="557"/>
      <c r="N72" s="1157"/>
      <c r="O72" s="1157"/>
      <c r="P72" s="2636"/>
      <c r="Q72" s="561"/>
    </row>
    <row r="73" spans="1:17" s="471" customFormat="1" ht="14.4" thickBot="1">
      <c r="A73" s="553"/>
      <c r="B73" s="543"/>
      <c r="C73" s="560"/>
      <c r="D73" s="536"/>
      <c r="E73" s="536"/>
      <c r="F73" s="536"/>
      <c r="G73" s="560"/>
      <c r="H73" s="562"/>
      <c r="I73" s="562"/>
      <c r="J73" s="562"/>
      <c r="K73" s="562"/>
      <c r="L73" s="562"/>
      <c r="M73" s="563"/>
      <c r="N73" s="1157"/>
      <c r="O73" s="1157"/>
      <c r="P73" s="2635"/>
      <c r="Q73" s="559"/>
    </row>
    <row r="74" spans="1:17" s="471" customFormat="1" ht="14.4" thickTop="1">
      <c r="A74" s="553"/>
      <c r="B74" s="546">
        <f>B14</f>
        <v>111</v>
      </c>
      <c r="C74" s="554"/>
      <c r="D74" s="554"/>
      <c r="E74" s="554"/>
      <c r="F74" s="554"/>
      <c r="G74" s="523"/>
      <c r="H74" s="564"/>
      <c r="I74" s="564"/>
      <c r="J74" s="564"/>
      <c r="K74" s="564"/>
      <c r="L74" s="565"/>
      <c r="M74" s="566"/>
      <c r="N74" s="1157"/>
      <c r="O74" s="1157"/>
      <c r="P74" s="2637"/>
      <c r="Q74" s="559"/>
    </row>
    <row r="75" spans="1:17" s="471" customFormat="1" ht="14.4" thickBot="1">
      <c r="A75" s="568"/>
      <c r="B75" s="569"/>
      <c r="C75" s="570"/>
      <c r="D75" s="570"/>
      <c r="E75" s="570"/>
      <c r="F75" s="570"/>
      <c r="G75" s="570"/>
      <c r="H75" s="571"/>
      <c r="I75" s="571"/>
      <c r="J75" s="571"/>
      <c r="K75" s="571"/>
      <c r="L75" s="571"/>
      <c r="M75" s="572"/>
      <c r="N75" s="1157"/>
      <c r="O75" s="1157"/>
      <c r="P75" s="2635"/>
      <c r="Q75" s="559"/>
    </row>
    <row r="76" spans="1:17" ht="14.4">
      <c r="A76" s="527" t="s">
        <v>2559</v>
      </c>
      <c r="B76" s="528" t="s">
        <v>2596</v>
      </c>
      <c r="C76" s="573" t="s">
        <v>2597</v>
      </c>
      <c r="D76" s="573" t="s">
        <v>2598</v>
      </c>
      <c r="E76" s="573" t="s">
        <v>2599</v>
      </c>
      <c r="F76" s="573" t="s">
        <v>2600</v>
      </c>
      <c r="G76" s="573" t="s">
        <v>2601</v>
      </c>
      <c r="H76" s="529"/>
      <c r="I76" s="529"/>
      <c r="J76" s="529"/>
      <c r="K76" s="574"/>
      <c r="L76" s="575"/>
      <c r="M76" s="576"/>
      <c r="N76" s="1155"/>
      <c r="O76" s="1155"/>
      <c r="P76" s="2638"/>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 thickTop="1">
      <c r="A78" s="534"/>
      <c r="B78" s="538" t="s">
        <v>2602</v>
      </c>
      <c r="C78" s="578" t="s">
        <v>2597</v>
      </c>
      <c r="D78" s="578" t="s">
        <v>2598</v>
      </c>
      <c r="E78" s="578" t="s">
        <v>2599</v>
      </c>
      <c r="F78" s="578" t="s">
        <v>2600</v>
      </c>
      <c r="G78" s="578" t="s">
        <v>2601</v>
      </c>
      <c r="H78" s="539"/>
      <c r="I78" s="539"/>
      <c r="J78" s="539"/>
      <c r="K78" s="540"/>
      <c r="L78" s="541"/>
      <c r="M78" s="542"/>
      <c r="N78" s="1155"/>
      <c r="O78" s="1155"/>
      <c r="P78" s="2634"/>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 thickTop="1">
      <c r="A80" s="534"/>
      <c r="B80" s="538" t="s">
        <v>2603</v>
      </c>
      <c r="C80" s="578" t="s">
        <v>2597</v>
      </c>
      <c r="D80" s="578" t="s">
        <v>2598</v>
      </c>
      <c r="E80" s="578" t="s">
        <v>2599</v>
      </c>
      <c r="F80" s="578" t="s">
        <v>2600</v>
      </c>
      <c r="G80" s="578" t="s">
        <v>2601</v>
      </c>
      <c r="H80" s="539"/>
      <c r="I80" s="539"/>
      <c r="J80" s="539"/>
      <c r="K80" s="540"/>
      <c r="L80" s="541"/>
      <c r="M80" s="542"/>
      <c r="N80" s="1155"/>
      <c r="O80" s="1155"/>
      <c r="P80" s="2634"/>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 thickTop="1">
      <c r="A82" s="534"/>
      <c r="B82" s="546" t="s">
        <v>2655</v>
      </c>
      <c r="C82" s="660" t="s">
        <v>2675</v>
      </c>
      <c r="D82" s="660" t="s">
        <v>2676</v>
      </c>
      <c r="E82" s="660" t="s">
        <v>2677</v>
      </c>
      <c r="F82" s="660" t="s">
        <v>2678</v>
      </c>
      <c r="G82" s="660" t="s">
        <v>2679</v>
      </c>
      <c r="H82" s="539"/>
      <c r="I82" s="539"/>
      <c r="J82" s="539"/>
      <c r="K82" s="539"/>
      <c r="L82" s="539"/>
      <c r="M82" s="1385"/>
      <c r="N82" s="1156"/>
      <c r="O82" s="1156"/>
      <c r="P82" s="2634"/>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 thickTop="1">
      <c r="A84" s="534"/>
      <c r="B84" s="538" t="s">
        <v>2609</v>
      </c>
      <c r="C84" s="578" t="s">
        <v>2597</v>
      </c>
      <c r="D84" s="578" t="s">
        <v>2598</v>
      </c>
      <c r="E84" s="578" t="s">
        <v>2599</v>
      </c>
      <c r="F84" s="578" t="s">
        <v>2600</v>
      </c>
      <c r="G84" s="578" t="s">
        <v>2601</v>
      </c>
      <c r="H84" s="539"/>
      <c r="I84" s="539"/>
      <c r="J84" s="539"/>
      <c r="K84" s="540"/>
      <c r="L84" s="541"/>
      <c r="M84" s="542"/>
      <c r="N84" s="1155"/>
      <c r="O84" s="1155"/>
      <c r="P84" s="2634"/>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 thickTop="1">
      <c r="A86" s="579"/>
      <c r="B86" s="538" t="s">
        <v>2680</v>
      </c>
      <c r="C86" s="554"/>
      <c r="D86" s="554"/>
      <c r="E86" s="554"/>
      <c r="F86" s="554"/>
      <c r="G86" s="554"/>
      <c r="H86" s="554"/>
      <c r="I86" s="554"/>
      <c r="J86" s="554"/>
      <c r="K86" s="554"/>
      <c r="L86" s="580"/>
      <c r="M86" s="581"/>
      <c r="N86" s="1154"/>
      <c r="O86" s="1154"/>
      <c r="P86" s="2634"/>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4.4"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4.4" thickBot="1">
      <c r="A89" s="579"/>
      <c r="B89" s="543"/>
      <c r="C89" s="560"/>
      <c r="D89" s="536"/>
      <c r="E89" s="536"/>
      <c r="F89" s="536"/>
      <c r="G89" s="536"/>
      <c r="H89" s="536"/>
      <c r="I89" s="536"/>
      <c r="J89" s="536"/>
      <c r="K89" s="536"/>
      <c r="L89" s="536"/>
      <c r="M89" s="536"/>
      <c r="N89" s="1156"/>
      <c r="O89" s="1156"/>
      <c r="P89" s="2634"/>
      <c r="Q89" s="504"/>
    </row>
    <row r="90" spans="1:17" s="471" customFormat="1" ht="14.4"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4.4" thickTop="1">
      <c r="A92" s="534"/>
      <c r="B92" s="538" t="str">
        <f>B28</f>
        <v>楼层</v>
      </c>
      <c r="C92" s="554"/>
      <c r="D92" s="554"/>
      <c r="E92" s="554"/>
      <c r="F92" s="554"/>
      <c r="G92" s="554"/>
      <c r="H92" s="554"/>
      <c r="I92" s="554"/>
      <c r="J92" s="554"/>
      <c r="K92" s="554"/>
      <c r="L92" s="580"/>
      <c r="M92" s="581"/>
      <c r="N92" s="1155"/>
      <c r="O92" s="1155"/>
      <c r="P92" s="2634"/>
      <c r="Q92" s="504"/>
    </row>
    <row r="93" spans="1:17" ht="14.4" thickBot="1">
      <c r="A93" s="534"/>
      <c r="B93" s="543"/>
      <c r="C93" s="536"/>
      <c r="D93" s="536"/>
      <c r="E93" s="536"/>
      <c r="F93" s="536"/>
      <c r="G93" s="536"/>
      <c r="H93" s="536"/>
      <c r="I93" s="536"/>
      <c r="J93" s="536"/>
      <c r="K93" s="536"/>
      <c r="L93" s="536"/>
      <c r="M93" s="537"/>
      <c r="N93" s="1156"/>
      <c r="O93" s="1156"/>
      <c r="P93" s="2634"/>
      <c r="Q93" s="504"/>
    </row>
    <row r="94" spans="1:17" ht="14.4" thickTop="1">
      <c r="A94" s="534"/>
      <c r="B94" s="538">
        <f>B29</f>
        <v>111</v>
      </c>
      <c r="C94" s="554"/>
      <c r="D94" s="554"/>
      <c r="E94" s="554"/>
      <c r="F94" s="554"/>
      <c r="G94" s="583"/>
      <c r="H94" s="583"/>
      <c r="I94" s="583"/>
      <c r="J94" s="583"/>
      <c r="K94" s="584"/>
      <c r="L94" s="585"/>
      <c r="M94" s="586"/>
      <c r="N94" s="1155"/>
      <c r="O94" s="1155"/>
      <c r="P94" s="2634"/>
      <c r="Q94" s="504"/>
    </row>
    <row r="95" spans="1:17" ht="14.4" thickBot="1">
      <c r="A95" s="534"/>
      <c r="B95" s="543"/>
      <c r="C95" s="560"/>
      <c r="D95" s="536"/>
      <c r="E95" s="536"/>
      <c r="F95" s="536"/>
      <c r="G95" s="536"/>
      <c r="H95" s="536"/>
      <c r="I95" s="536"/>
      <c r="J95" s="536"/>
      <c r="K95" s="536"/>
      <c r="L95" s="536"/>
      <c r="M95" s="537"/>
      <c r="N95" s="1156"/>
      <c r="O95" s="1156"/>
      <c r="P95" s="2634"/>
      <c r="Q95" s="504"/>
    </row>
    <row r="96" spans="1:17" ht="14.4" thickTop="1">
      <c r="A96" s="534"/>
      <c r="B96" s="538">
        <f>B30</f>
        <v>111</v>
      </c>
      <c r="C96" s="554"/>
      <c r="D96" s="554"/>
      <c r="E96" s="554"/>
      <c r="F96" s="554"/>
      <c r="G96" s="583"/>
      <c r="H96" s="583"/>
      <c r="I96" s="583"/>
      <c r="J96" s="583"/>
      <c r="K96" s="584"/>
      <c r="L96" s="585"/>
      <c r="M96" s="586"/>
      <c r="N96" s="1155"/>
      <c r="O96" s="1155"/>
      <c r="P96" s="2634"/>
      <c r="Q96" s="504"/>
    </row>
    <row r="97" spans="1:17" ht="14.4" thickBot="1">
      <c r="A97" s="534"/>
      <c r="B97" s="543"/>
      <c r="C97" s="560"/>
      <c r="D97" s="536"/>
      <c r="E97" s="536"/>
      <c r="F97" s="536"/>
      <c r="G97" s="536"/>
      <c r="H97" s="536"/>
      <c r="I97" s="536"/>
      <c r="J97" s="536"/>
      <c r="K97" s="536"/>
      <c r="L97" s="536"/>
      <c r="M97" s="537"/>
      <c r="N97" s="1156"/>
      <c r="O97" s="1156"/>
      <c r="P97" s="2634"/>
      <c r="Q97" s="504"/>
    </row>
    <row r="98" spans="1:17" ht="14.4" thickTop="1">
      <c r="A98" s="534"/>
      <c r="B98" s="546">
        <f>B31</f>
        <v>111</v>
      </c>
      <c r="C98" s="554"/>
      <c r="D98" s="554"/>
      <c r="E98" s="554"/>
      <c r="F98" s="554"/>
      <c r="G98" s="587"/>
      <c r="H98" s="587"/>
      <c r="I98" s="587"/>
      <c r="J98" s="587"/>
      <c r="K98" s="588"/>
      <c r="L98" s="589"/>
      <c r="M98" s="590"/>
      <c r="N98" s="1155"/>
      <c r="O98" s="1155"/>
      <c r="P98" s="2634"/>
      <c r="Q98" s="504"/>
    </row>
    <row r="99" spans="1:17" ht="14.4" thickBot="1">
      <c r="A99" s="2640"/>
      <c r="B99" s="569"/>
      <c r="C99" s="570"/>
      <c r="D99" s="570"/>
      <c r="E99" s="570"/>
      <c r="F99" s="570"/>
      <c r="G99" s="591"/>
      <c r="H99" s="591"/>
      <c r="I99" s="591"/>
      <c r="J99" s="591"/>
      <c r="K99" s="591"/>
      <c r="L99" s="591"/>
      <c r="M99" s="592"/>
      <c r="N99" s="1156"/>
      <c r="O99" s="1156"/>
      <c r="P99" s="2634"/>
      <c r="Q99" s="504"/>
    </row>
    <row r="100" spans="1:17" ht="14.4">
      <c r="A100" s="527" t="s">
        <v>2563</v>
      </c>
      <c r="B100" s="528" t="s">
        <v>2681</v>
      </c>
      <c r="C100" s="530"/>
      <c r="D100" s="530"/>
      <c r="E100" s="530"/>
      <c r="F100" s="530"/>
      <c r="G100" s="530"/>
      <c r="H100" s="530"/>
      <c r="I100" s="530"/>
      <c r="J100" s="530"/>
      <c r="K100" s="531"/>
      <c r="L100" s="532"/>
      <c r="M100" s="533"/>
      <c r="N100" s="1155"/>
      <c r="O100" s="1155"/>
      <c r="P100" s="2634"/>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4.4"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2614</v>
      </c>
      <c r="C105" s="554"/>
      <c r="D105" s="554"/>
      <c r="E105" s="583"/>
      <c r="F105" s="583"/>
      <c r="G105" s="583"/>
      <c r="H105" s="583"/>
      <c r="I105" s="583"/>
      <c r="J105" s="583"/>
      <c r="K105" s="584"/>
      <c r="L105" s="585"/>
      <c r="M105" s="586"/>
      <c r="N105" s="1155"/>
      <c r="O105" s="1155"/>
      <c r="P105" s="2634"/>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2616</v>
      </c>
      <c r="C107" s="554"/>
      <c r="D107" s="554"/>
      <c r="E107" s="554"/>
      <c r="F107" s="583"/>
      <c r="G107" s="583"/>
      <c r="H107" s="583"/>
      <c r="I107" s="583"/>
      <c r="J107" s="583"/>
      <c r="K107" s="584"/>
      <c r="L107" s="585"/>
      <c r="M107" s="586"/>
      <c r="N107" s="1155"/>
      <c r="O107" s="1155"/>
      <c r="P107" s="2634"/>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35"/>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2682</v>
      </c>
      <c r="C114" s="554"/>
      <c r="D114" s="554"/>
      <c r="E114" s="583"/>
      <c r="F114" s="583"/>
      <c r="G114" s="583"/>
      <c r="H114" s="583"/>
      <c r="I114" s="583"/>
      <c r="J114" s="583"/>
      <c r="K114" s="584"/>
      <c r="L114" s="585"/>
      <c r="M114" s="586"/>
      <c r="N114" s="1155"/>
      <c r="O114" s="1155"/>
      <c r="P114" s="2634"/>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2683</v>
      </c>
      <c r="C116" s="554"/>
      <c r="D116" s="554"/>
      <c r="E116" s="554"/>
      <c r="F116" s="554"/>
      <c r="G116" s="554"/>
      <c r="H116" s="583"/>
      <c r="I116" s="583"/>
      <c r="J116" s="583"/>
      <c r="K116" s="584"/>
      <c r="L116" s="585"/>
      <c r="M116" s="586"/>
      <c r="N116" s="1155"/>
      <c r="O116" s="1155"/>
      <c r="P116" s="2634"/>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2684</v>
      </c>
      <c r="C118" s="627"/>
      <c r="D118" s="627"/>
      <c r="E118" s="627"/>
      <c r="F118" s="627"/>
      <c r="G118" s="627"/>
      <c r="H118" s="555"/>
      <c r="I118" s="555"/>
      <c r="J118" s="555"/>
      <c r="K118" s="555"/>
      <c r="L118" s="556"/>
      <c r="M118" s="557"/>
      <c r="N118" s="1155"/>
      <c r="O118" s="1155"/>
      <c r="P118" s="2634"/>
      <c r="Q118" s="504"/>
    </row>
    <row r="119" spans="1:17" ht="14.4"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35"/>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2620</v>
      </c>
      <c r="C122" s="554"/>
      <c r="D122" s="554"/>
      <c r="E122" s="554"/>
      <c r="F122" s="583"/>
      <c r="G122" s="583"/>
      <c r="H122" s="583"/>
      <c r="I122" s="583"/>
      <c r="J122" s="583"/>
      <c r="K122" s="584"/>
      <c r="L122" s="585"/>
      <c r="M122" s="586"/>
      <c r="N122" s="1155"/>
      <c r="O122" s="1155"/>
      <c r="P122" s="2634"/>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29.4"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5"/>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4.4"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4.4" thickBot="1">
      <c r="A127" s="553"/>
      <c r="B127" s="543"/>
      <c r="C127" s="560"/>
      <c r="D127" s="536"/>
      <c r="E127" s="536"/>
      <c r="F127" s="536"/>
      <c r="G127" s="560"/>
      <c r="H127" s="562"/>
      <c r="I127" s="562"/>
      <c r="J127" s="562"/>
      <c r="K127" s="562"/>
      <c r="L127" s="562"/>
      <c r="M127" s="563"/>
      <c r="N127" s="1157"/>
      <c r="O127" s="1157"/>
      <c r="P127" s="2635"/>
      <c r="Q127" s="559"/>
    </row>
    <row r="128" spans="1:17" ht="14.4" thickTop="1">
      <c r="A128" s="599"/>
      <c r="B128" s="538">
        <f>B45</f>
        <v>111</v>
      </c>
      <c r="C128" s="554"/>
      <c r="D128" s="554"/>
      <c r="E128" s="554"/>
      <c r="F128" s="554"/>
      <c r="G128" s="583"/>
      <c r="H128" s="583"/>
      <c r="I128" s="583"/>
      <c r="J128" s="583"/>
      <c r="K128" s="584"/>
      <c r="L128" s="585"/>
      <c r="M128" s="586"/>
      <c r="N128" s="1155"/>
      <c r="O128" s="1155"/>
      <c r="P128" s="2634"/>
      <c r="Q128" s="504"/>
    </row>
    <row r="129" spans="1:17" ht="14.4" thickBot="1">
      <c r="A129" s="534"/>
      <c r="B129" s="543"/>
      <c r="C129" s="560"/>
      <c r="D129" s="536"/>
      <c r="E129" s="536"/>
      <c r="F129" s="536"/>
      <c r="G129" s="536"/>
      <c r="H129" s="536"/>
      <c r="I129" s="536"/>
      <c r="J129" s="536"/>
      <c r="K129" s="536"/>
      <c r="L129" s="536"/>
      <c r="M129" s="537"/>
      <c r="N129" s="1156"/>
      <c r="O129" s="1156"/>
      <c r="P129" s="2634"/>
      <c r="Q129" s="504"/>
    </row>
    <row r="130" spans="1:17" ht="14.4" thickTop="1">
      <c r="A130" s="599"/>
      <c r="B130" s="546">
        <f>B46</f>
        <v>111</v>
      </c>
      <c r="C130" s="554"/>
      <c r="D130" s="554"/>
      <c r="E130" s="554"/>
      <c r="F130" s="554"/>
      <c r="G130" s="587"/>
      <c r="H130" s="587"/>
      <c r="I130" s="587"/>
      <c r="J130" s="587"/>
      <c r="K130" s="523"/>
      <c r="L130" s="524"/>
      <c r="M130" s="590"/>
      <c r="N130" s="1155"/>
      <c r="O130" s="1155"/>
      <c r="P130" s="2634"/>
      <c r="Q130" s="504"/>
    </row>
    <row r="131" spans="1:17" ht="14.4"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6" sqref="F36"/>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2528</v>
      </c>
      <c r="B1" s="2673" t="s">
        <v>2686</v>
      </c>
      <c r="C1" s="1623" t="s">
        <v>2530</v>
      </c>
      <c r="D1" s="1624"/>
      <c r="E1" s="1633"/>
      <c r="F1" s="2588"/>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IF(C2="——",ROUND(C50*D3/10000,0),ROUND(C50*D3/10000,0)-D2)</f>
        <v>#DIV/0!</v>
      </c>
      <c r="C2" s="2590"/>
      <c r="D2" s="1368" t="e">
        <f ca="1">SUMIF(INDIRECT("'"&amp;F2&amp;"'"&amp;"!A:A"),"承租人权益价值",INDIRECT("'"&amp;F2&amp;"'"&amp;"!c:c"))</f>
        <v>#REF!</v>
      </c>
      <c r="E2" s="2591" t="s">
        <v>2328</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IF(C2="——",C50,ROUND(B2*10000/D3,0))</f>
        <v>#DIV/0!</v>
      </c>
      <c r="C3" s="400" t="s">
        <v>2644</v>
      </c>
      <c r="D3" s="399">
        <f>IF(D1="",'数据-汇总表'!E3,SUMIF('数据-汇总表'!$C19:$C33,D1,'数据-汇总表'!$E19:$E33))</f>
        <v>36762</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4.4">
      <c r="A4" s="401" t="s">
        <v>2645</v>
      </c>
      <c r="B4" s="402"/>
      <c r="C4" s="3192" t="s">
        <v>2646</v>
      </c>
      <c r="D4" s="3193"/>
      <c r="E4" s="3194" t="s">
        <v>2647</v>
      </c>
      <c r="F4" s="3195"/>
      <c r="G4" s="3192" t="s">
        <v>2648</v>
      </c>
      <c r="H4" s="3193"/>
      <c r="I4" s="3192" t="s">
        <v>2649</v>
      </c>
      <c r="J4" s="3193"/>
      <c r="K4" s="610" t="s">
        <v>2650</v>
      </c>
      <c r="L4" s="1133"/>
      <c r="M4" s="1134"/>
      <c r="N4" s="1134"/>
      <c r="O4" s="1134"/>
      <c r="P4" s="3226" t="s">
        <v>2651</v>
      </c>
      <c r="Q4" s="3227"/>
      <c r="R4" s="3221" t="s">
        <v>2647</v>
      </c>
      <c r="S4" s="3222"/>
      <c r="T4" s="3221" t="s">
        <v>2648</v>
      </c>
      <c r="U4" s="3222"/>
      <c r="V4" s="3230" t="s">
        <v>2649</v>
      </c>
      <c r="W4" s="3230"/>
      <c r="X4" s="2674"/>
      <c r="Y4" s="3221" t="s">
        <v>2651</v>
      </c>
      <c r="Z4" s="3222"/>
      <c r="AA4" s="3220" t="s">
        <v>2647</v>
      </c>
      <c r="AB4" s="3220" t="s">
        <v>2648</v>
      </c>
      <c r="AC4" s="3223" t="s">
        <v>2649</v>
      </c>
    </row>
    <row r="5" spans="1:29">
      <c r="A5" s="404"/>
      <c r="B5" s="405"/>
      <c r="C5" s="3185" t="s">
        <v>2542</v>
      </c>
      <c r="D5" s="3186"/>
      <c r="E5" s="3183" t="s">
        <v>2543</v>
      </c>
      <c r="F5" s="3184"/>
      <c r="G5" s="3185" t="s">
        <v>2544</v>
      </c>
      <c r="H5" s="3186"/>
      <c r="I5" s="3185" t="s">
        <v>2545</v>
      </c>
      <c r="J5" s="3186"/>
      <c r="K5" s="610"/>
      <c r="L5" s="1133"/>
      <c r="M5" s="1134"/>
      <c r="N5" s="1134"/>
      <c r="O5" s="1134"/>
      <c r="P5" s="3228"/>
      <c r="Q5" s="3199"/>
      <c r="R5" s="3181"/>
      <c r="S5" s="3182"/>
      <c r="T5" s="3181"/>
      <c r="U5" s="3182"/>
      <c r="V5" s="3204"/>
      <c r="W5" s="3204"/>
      <c r="X5" s="1816"/>
      <c r="Y5" s="3181"/>
      <c r="Z5" s="3182"/>
      <c r="AA5" s="3175"/>
      <c r="AB5" s="3175"/>
      <c r="AC5" s="3224"/>
    </row>
    <row r="6" spans="1:29" ht="15" thickBot="1">
      <c r="A6" s="406"/>
      <c r="B6" s="407"/>
      <c r="C6" s="3187" t="s">
        <v>2546</v>
      </c>
      <c r="D6" s="3188"/>
      <c r="E6" s="3189" t="s">
        <v>2546</v>
      </c>
      <c r="F6" s="3190"/>
      <c r="G6" s="3187" t="s">
        <v>2546</v>
      </c>
      <c r="H6" s="3188"/>
      <c r="I6" s="3187" t="s">
        <v>2546</v>
      </c>
      <c r="J6" s="3188"/>
      <c r="K6" s="610" t="s">
        <v>2547</v>
      </c>
      <c r="L6" s="1133"/>
      <c r="M6" s="1134"/>
      <c r="N6" s="1134"/>
      <c r="O6" s="1134"/>
      <c r="P6" s="3229"/>
      <c r="Q6" s="3201"/>
      <c r="R6" s="3181"/>
      <c r="S6" s="3182"/>
      <c r="T6" s="3202"/>
      <c r="U6" s="3203"/>
      <c r="V6" s="3204"/>
      <c r="W6" s="3204"/>
      <c r="X6" s="1816"/>
      <c r="Y6" s="3202"/>
      <c r="Z6" s="3203"/>
      <c r="AA6" s="3176"/>
      <c r="AB6" s="3176"/>
      <c r="AC6" s="3225"/>
    </row>
    <row r="7" spans="1:29" s="117" customFormat="1" ht="15" thickBot="1">
      <c r="A7" s="408" t="s">
        <v>2548</v>
      </c>
      <c r="B7" s="409"/>
      <c r="C7" s="410">
        <f>'数据-取费表'!B2</f>
        <v>43339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1" t="s">
        <v>2549</v>
      </c>
      <c r="Q7" s="3205"/>
      <c r="R7" s="770" t="s">
        <v>17</v>
      </c>
      <c r="S7" s="771">
        <f t="shared" ref="S7:S15" si="0">F7</f>
        <v>0</v>
      </c>
      <c r="T7" s="770" t="s">
        <v>17</v>
      </c>
      <c r="U7" s="771">
        <f t="shared" ref="U7:U15" si="1">H7</f>
        <v>0</v>
      </c>
      <c r="V7" s="770" t="s">
        <v>17</v>
      </c>
      <c r="W7" s="771">
        <f t="shared" ref="W7:W15" si="2">J7</f>
        <v>0</v>
      </c>
      <c r="X7" s="772"/>
      <c r="Y7" s="3177" t="s">
        <v>2549</v>
      </c>
      <c r="Z7" s="3178"/>
      <c r="AA7" s="773" t="e">
        <f>D7/F7</f>
        <v>#DIV/0!</v>
      </c>
      <c r="AB7" s="773" t="e">
        <f>D7/H7</f>
        <v>#DIV/0!</v>
      </c>
      <c r="AC7" s="2675" t="e">
        <f>D7/J7</f>
        <v>#DIV/0!</v>
      </c>
    </row>
    <row r="8" spans="1:29" s="117" customFormat="1" ht="1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1" t="s">
        <v>2552</v>
      </c>
      <c r="Q8" s="3178"/>
      <c r="R8" s="770" t="s">
        <v>17</v>
      </c>
      <c r="S8" s="771">
        <f t="shared" si="0"/>
        <v>0</v>
      </c>
      <c r="T8" s="770" t="s">
        <v>17</v>
      </c>
      <c r="U8" s="771">
        <f t="shared" si="1"/>
        <v>0</v>
      </c>
      <c r="V8" s="770" t="s">
        <v>17</v>
      </c>
      <c r="W8" s="771">
        <f t="shared" si="2"/>
        <v>0</v>
      </c>
      <c r="X8" s="772"/>
      <c r="Y8" s="3177" t="s">
        <v>2552</v>
      </c>
      <c r="Z8" s="3178"/>
      <c r="AA8" s="773" t="e">
        <f t="shared" ref="AA8:AA47" si="3">D8/F8</f>
        <v>#DIV/0!</v>
      </c>
      <c r="AB8" s="773" t="e">
        <f t="shared" ref="AB8:AB47" si="4">D8/H8</f>
        <v>#DIV/0!</v>
      </c>
      <c r="AC8" s="2675" t="e">
        <f t="shared" ref="AC8:AC47" si="5">D8/J8</f>
        <v>#DIV/0!</v>
      </c>
    </row>
    <row r="9" spans="1:29" s="117" customFormat="1" ht="14.4">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1" t="s">
        <v>2555</v>
      </c>
      <c r="Q9" s="1798" t="str">
        <f t="shared" ref="Q9:Q15" si="6">B9</f>
        <v>用途</v>
      </c>
      <c r="R9" s="770" t="s">
        <v>17</v>
      </c>
      <c r="S9" s="771">
        <f t="shared" si="0"/>
        <v>100</v>
      </c>
      <c r="T9" s="770" t="s">
        <v>17</v>
      </c>
      <c r="U9" s="771">
        <f t="shared" si="1"/>
        <v>100</v>
      </c>
      <c r="V9" s="770" t="s">
        <v>17</v>
      </c>
      <c r="W9" s="771">
        <f t="shared" si="2"/>
        <v>100</v>
      </c>
      <c r="X9" s="772"/>
      <c r="Y9" s="3024" t="s">
        <v>2556</v>
      </c>
      <c r="Z9" s="55" t="str">
        <f t="shared" ref="Z9:Z15" si="7">Q9</f>
        <v>用途</v>
      </c>
      <c r="AA9" s="773">
        <f t="shared" si="3"/>
        <v>1</v>
      </c>
      <c r="AB9" s="773">
        <f t="shared" si="4"/>
        <v>1</v>
      </c>
      <c r="AC9" s="2675">
        <f t="shared" si="5"/>
        <v>1</v>
      </c>
    </row>
    <row r="10" spans="1:29" s="427" customFormat="1" ht="28.8">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1"/>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2675">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1"/>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191"/>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191"/>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2675">
        <f t="shared" si="5"/>
        <v>1</v>
      </c>
    </row>
    <row r="14" spans="1:29" ht="15.6"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191"/>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2675">
        <f t="shared" si="5"/>
        <v>1</v>
      </c>
    </row>
    <row r="15" spans="1:29" ht="69">
      <c r="A15" s="440" t="s">
        <v>2559</v>
      </c>
      <c r="B15" s="629" t="s">
        <v>2687</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8" t="s">
        <v>2560</v>
      </c>
      <c r="Q15" s="1813" t="str">
        <f t="shared" si="6"/>
        <v>办公集聚程度</v>
      </c>
      <c r="R15" s="774" t="s">
        <v>17</v>
      </c>
      <c r="S15" s="775">
        <f t="shared" si="0"/>
        <v>100</v>
      </c>
      <c r="T15" s="774" t="s">
        <v>17</v>
      </c>
      <c r="U15" s="775">
        <f t="shared" si="1"/>
        <v>100</v>
      </c>
      <c r="V15" s="774" t="s">
        <v>17</v>
      </c>
      <c r="W15" s="775">
        <f t="shared" si="2"/>
        <v>100</v>
      </c>
      <c r="X15" s="1816"/>
      <c r="Y15" s="3211" t="s">
        <v>2560</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219"/>
      <c r="Q16" s="1813"/>
      <c r="R16" s="774"/>
      <c r="S16" s="775"/>
      <c r="T16" s="774"/>
      <c r="U16" s="775"/>
      <c r="V16" s="774"/>
      <c r="W16" s="775"/>
      <c r="X16" s="1816"/>
      <c r="Y16" s="3212"/>
      <c r="Z16" s="1817"/>
      <c r="AA16" s="1814">
        <v>1</v>
      </c>
      <c r="AB16" s="1814">
        <v>1</v>
      </c>
      <c r="AC16" s="2678">
        <v>1</v>
      </c>
    </row>
    <row r="17" spans="1:29" ht="82.8">
      <c r="A17" s="428"/>
      <c r="B17" s="631" t="s">
        <v>2096</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9"/>
      <c r="Q17" s="1813" t="str">
        <f>B17</f>
        <v>交通便捷度</v>
      </c>
      <c r="R17" s="774" t="s">
        <v>17</v>
      </c>
      <c r="S17" s="775">
        <f>F17</f>
        <v>100</v>
      </c>
      <c r="T17" s="774" t="s">
        <v>17</v>
      </c>
      <c r="U17" s="775">
        <f>H17</f>
        <v>100</v>
      </c>
      <c r="V17" s="774" t="s">
        <v>17</v>
      </c>
      <c r="W17" s="775">
        <f>J17</f>
        <v>100</v>
      </c>
      <c r="X17" s="1816"/>
      <c r="Y17" s="3212"/>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219"/>
      <c r="Q18" s="1813"/>
      <c r="R18" s="774"/>
      <c r="S18" s="775"/>
      <c r="T18" s="774"/>
      <c r="U18" s="775"/>
      <c r="V18" s="774"/>
      <c r="W18" s="775"/>
      <c r="X18" s="1816"/>
      <c r="Y18" s="3212"/>
      <c r="Z18" s="1817"/>
      <c r="AA18" s="1814">
        <v>1</v>
      </c>
      <c r="AB18" s="1814">
        <v>1</v>
      </c>
      <c r="AC18" s="2678">
        <v>1</v>
      </c>
    </row>
    <row r="19" spans="1:29" ht="41.4">
      <c r="A19" s="428"/>
      <c r="B19" s="631" t="s">
        <v>2688</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9"/>
      <c r="Q19" s="1813" t="str">
        <f>B19</f>
        <v>公共配套设施</v>
      </c>
      <c r="R19" s="774" t="s">
        <v>17</v>
      </c>
      <c r="S19" s="775">
        <f>F19</f>
        <v>100</v>
      </c>
      <c r="T19" s="774" t="s">
        <v>17</v>
      </c>
      <c r="U19" s="775">
        <f>H19</f>
        <v>100</v>
      </c>
      <c r="V19" s="774" t="s">
        <v>17</v>
      </c>
      <c r="W19" s="775">
        <f>J19</f>
        <v>100</v>
      </c>
      <c r="X19" s="1816"/>
      <c r="Y19" s="3212"/>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219"/>
      <c r="Q20" s="1813"/>
      <c r="R20" s="774"/>
      <c r="S20" s="775"/>
      <c r="T20" s="774"/>
      <c r="U20" s="775"/>
      <c r="V20" s="774"/>
      <c r="W20" s="775"/>
      <c r="X20" s="1816"/>
      <c r="Y20" s="3212"/>
      <c r="Z20" s="1817"/>
      <c r="AA20" s="1814">
        <v>1</v>
      </c>
      <c r="AB20" s="1814">
        <v>1</v>
      </c>
      <c r="AC20" s="2678">
        <v>1</v>
      </c>
    </row>
    <row r="21" spans="1:29" ht="27.6">
      <c r="A21" s="428"/>
      <c r="B21" s="633" t="s">
        <v>2689</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9"/>
      <c r="Q21" s="1813" t="str">
        <f>B21</f>
        <v>基础设施水平</v>
      </c>
      <c r="R21" s="774" t="s">
        <v>17</v>
      </c>
      <c r="S21" s="775">
        <f>F21</f>
        <v>100</v>
      </c>
      <c r="T21" s="774" t="s">
        <v>17</v>
      </c>
      <c r="U21" s="775">
        <f>H21</f>
        <v>100</v>
      </c>
      <c r="V21" s="774" t="s">
        <v>17</v>
      </c>
      <c r="W21" s="775">
        <f>J21</f>
        <v>100</v>
      </c>
      <c r="X21" s="1816"/>
      <c r="Y21" s="3212"/>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19"/>
      <c r="Q22" s="1813"/>
      <c r="R22" s="774"/>
      <c r="S22" s="775"/>
      <c r="T22" s="774"/>
      <c r="U22" s="775"/>
      <c r="V22" s="774"/>
      <c r="W22" s="775"/>
      <c r="X22" s="1816"/>
      <c r="Y22" s="3212"/>
      <c r="Z22" s="1817"/>
      <c r="AA22" s="1814">
        <v>1</v>
      </c>
      <c r="AB22" s="1814">
        <v>1</v>
      </c>
      <c r="AC22" s="2678">
        <v>1</v>
      </c>
    </row>
    <row r="23" spans="1:29" ht="55.2">
      <c r="A23" s="428"/>
      <c r="B23" s="631" t="s">
        <v>2690</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9"/>
      <c r="Q23" s="1813" t="str">
        <f>B23</f>
        <v>环境质量</v>
      </c>
      <c r="R23" s="774" t="s">
        <v>17</v>
      </c>
      <c r="S23" s="775">
        <f>F23</f>
        <v>100</v>
      </c>
      <c r="T23" s="774" t="s">
        <v>17</v>
      </c>
      <c r="U23" s="775">
        <f>H23</f>
        <v>100</v>
      </c>
      <c r="V23" s="774" t="s">
        <v>17</v>
      </c>
      <c r="W23" s="775">
        <f>J23</f>
        <v>100</v>
      </c>
      <c r="X23" s="1816"/>
      <c r="Y23" s="3212"/>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219"/>
      <c r="Q24" s="1813"/>
      <c r="R24" s="774"/>
      <c r="S24" s="775"/>
      <c r="T24" s="774"/>
      <c r="U24" s="775"/>
      <c r="V24" s="774"/>
      <c r="W24" s="775"/>
      <c r="X24" s="1816"/>
      <c r="Y24" s="3212"/>
      <c r="Z24" s="1817"/>
      <c r="AA24" s="1814">
        <v>1</v>
      </c>
      <c r="AB24" s="1814">
        <v>1</v>
      </c>
      <c r="AC24" s="2678">
        <v>1</v>
      </c>
    </row>
    <row r="25" spans="1:29" ht="28.8">
      <c r="A25" s="404"/>
      <c r="B25" s="631" t="s">
        <v>2691</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19"/>
      <c r="Q25" s="1813" t="str">
        <f>B25</f>
        <v>毗邻道路的类型与等级</v>
      </c>
      <c r="R25" s="774" t="s">
        <v>17</v>
      </c>
      <c r="S25" s="775">
        <f>F25</f>
        <v>100</v>
      </c>
      <c r="T25" s="774" t="s">
        <v>17</v>
      </c>
      <c r="U25" s="775">
        <f>H25</f>
        <v>100</v>
      </c>
      <c r="V25" s="774" t="s">
        <v>17</v>
      </c>
      <c r="W25" s="775">
        <f>J25</f>
        <v>100</v>
      </c>
      <c r="X25" s="1816"/>
      <c r="Y25" s="3212"/>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219"/>
      <c r="Q26" s="1813"/>
      <c r="R26" s="774"/>
      <c r="S26" s="775"/>
      <c r="T26" s="774"/>
      <c r="U26" s="775"/>
      <c r="V26" s="774"/>
      <c r="W26" s="775"/>
      <c r="X26" s="1816"/>
      <c r="Y26" s="3212"/>
      <c r="Z26" s="1817"/>
      <c r="AA26" s="1814">
        <v>1</v>
      </c>
      <c r="AB26" s="1814">
        <v>1</v>
      </c>
      <c r="AC26" s="2678">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9"/>
      <c r="Q27" s="1813" t="str">
        <f t="shared" ref="Q27:Q47" si="11">B27</f>
        <v>楼层</v>
      </c>
      <c r="R27" s="774" t="s">
        <v>17</v>
      </c>
      <c r="S27" s="775">
        <f>F27</f>
        <v>100</v>
      </c>
      <c r="T27" s="774" t="s">
        <v>17</v>
      </c>
      <c r="U27" s="775">
        <f>H27</f>
        <v>100</v>
      </c>
      <c r="V27" s="774" t="s">
        <v>17</v>
      </c>
      <c r="W27" s="775">
        <f>J27</f>
        <v>100</v>
      </c>
      <c r="X27" s="1816"/>
      <c r="Y27" s="3212"/>
      <c r="Z27" s="1817" t="str">
        <f>Q27</f>
        <v>楼层</v>
      </c>
      <c r="AA27" s="1814">
        <f t="shared" si="3"/>
        <v>1</v>
      </c>
      <c r="AB27" s="1814">
        <f t="shared" si="4"/>
        <v>1</v>
      </c>
      <c r="AC27" s="2678">
        <f t="shared" si="5"/>
        <v>1</v>
      </c>
    </row>
    <row r="28" spans="1:29" s="117" customFormat="1" ht="15">
      <c r="A28" s="431"/>
      <c r="B28" s="631" t="s">
        <v>2692</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19"/>
      <c r="Q28" s="1798" t="str">
        <f t="shared" si="11"/>
        <v>朝向</v>
      </c>
      <c r="R28" s="770" t="s">
        <v>17</v>
      </c>
      <c r="S28" s="771">
        <f>F28</f>
        <v>100</v>
      </c>
      <c r="T28" s="770" t="s">
        <v>17</v>
      </c>
      <c r="U28" s="771">
        <f>H28</f>
        <v>100</v>
      </c>
      <c r="V28" s="770" t="s">
        <v>17</v>
      </c>
      <c r="W28" s="771">
        <f>J28</f>
        <v>100</v>
      </c>
      <c r="X28" s="772"/>
      <c r="Y28" s="3212"/>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19"/>
      <c r="Q29" s="1813">
        <f t="shared" si="11"/>
        <v>111</v>
      </c>
      <c r="R29" s="774" t="s">
        <v>17</v>
      </c>
      <c r="S29" s="775">
        <f t="shared" ref="S29:S47" si="12">F29</f>
        <v>100</v>
      </c>
      <c r="T29" s="774" t="s">
        <v>17</v>
      </c>
      <c r="U29" s="775">
        <f t="shared" ref="U29:U47" si="13">H29</f>
        <v>100</v>
      </c>
      <c r="V29" s="774" t="s">
        <v>17</v>
      </c>
      <c r="W29" s="775">
        <f t="shared" ref="W29:W47" si="14">J29</f>
        <v>100</v>
      </c>
      <c r="X29" s="1816"/>
      <c r="Y29" s="3212"/>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19"/>
      <c r="Q30" s="1813">
        <f t="shared" si="11"/>
        <v>111</v>
      </c>
      <c r="R30" s="774" t="s">
        <v>17</v>
      </c>
      <c r="S30" s="775">
        <f t="shared" si="12"/>
        <v>100</v>
      </c>
      <c r="T30" s="774" t="s">
        <v>17</v>
      </c>
      <c r="U30" s="775">
        <f t="shared" si="13"/>
        <v>100</v>
      </c>
      <c r="V30" s="774" t="s">
        <v>17</v>
      </c>
      <c r="W30" s="775">
        <f t="shared" si="14"/>
        <v>100</v>
      </c>
      <c r="X30" s="1816"/>
      <c r="Y30" s="3212"/>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19"/>
      <c r="Q31" s="1813">
        <f t="shared" si="11"/>
        <v>111</v>
      </c>
      <c r="R31" s="774" t="s">
        <v>17</v>
      </c>
      <c r="S31" s="775">
        <f t="shared" si="12"/>
        <v>100</v>
      </c>
      <c r="T31" s="774" t="s">
        <v>17</v>
      </c>
      <c r="U31" s="775">
        <f t="shared" si="13"/>
        <v>100</v>
      </c>
      <c r="V31" s="774" t="s">
        <v>17</v>
      </c>
      <c r="W31" s="775">
        <f t="shared" si="14"/>
        <v>100</v>
      </c>
      <c r="X31" s="1816"/>
      <c r="Y31" s="3212"/>
      <c r="Z31" s="1817">
        <f t="shared" si="15"/>
        <v>111</v>
      </c>
      <c r="AA31" s="1814">
        <f t="shared" si="3"/>
        <v>1</v>
      </c>
      <c r="AB31" s="1814">
        <f t="shared" si="4"/>
        <v>1</v>
      </c>
      <c r="AC31" s="2678">
        <f t="shared" si="5"/>
        <v>1</v>
      </c>
    </row>
    <row r="32" spans="1:29" ht="15.6"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19"/>
      <c r="Q32" s="1813">
        <f t="shared" si="11"/>
        <v>111</v>
      </c>
      <c r="R32" s="774" t="s">
        <v>17</v>
      </c>
      <c r="S32" s="775">
        <f t="shared" si="12"/>
        <v>100</v>
      </c>
      <c r="T32" s="774" t="s">
        <v>17</v>
      </c>
      <c r="U32" s="775">
        <f t="shared" si="13"/>
        <v>100</v>
      </c>
      <c r="V32" s="774" t="s">
        <v>17</v>
      </c>
      <c r="W32" s="775">
        <f t="shared" si="14"/>
        <v>100</v>
      </c>
      <c r="X32" s="1816"/>
      <c r="Y32" s="3212"/>
      <c r="Z32" s="1817">
        <f t="shared" si="15"/>
        <v>111</v>
      </c>
      <c r="AA32" s="1814">
        <f t="shared" si="3"/>
        <v>1</v>
      </c>
      <c r="AB32" s="1814">
        <f t="shared" si="4"/>
        <v>1</v>
      </c>
      <c r="AC32" s="2678">
        <f t="shared" si="5"/>
        <v>1</v>
      </c>
    </row>
    <row r="33" spans="1:29" ht="15">
      <c r="A33" s="440" t="s">
        <v>2563</v>
      </c>
      <c r="B33" s="71" t="s">
        <v>2693</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13" t="s">
        <v>2565</v>
      </c>
      <c r="Q33" s="1813" t="str">
        <f t="shared" si="11"/>
        <v>建筑类型</v>
      </c>
      <c r="R33" s="774" t="s">
        <v>17</v>
      </c>
      <c r="S33" s="775">
        <f t="shared" si="12"/>
        <v>100</v>
      </c>
      <c r="T33" s="774" t="s">
        <v>17</v>
      </c>
      <c r="U33" s="775">
        <f t="shared" si="13"/>
        <v>100</v>
      </c>
      <c r="V33" s="774" t="s">
        <v>17</v>
      </c>
      <c r="W33" s="775">
        <f t="shared" si="14"/>
        <v>100</v>
      </c>
      <c r="X33" s="1816"/>
      <c r="Y33" s="3216" t="s">
        <v>2565</v>
      </c>
      <c r="Z33" s="1817" t="str">
        <f t="shared" si="15"/>
        <v>建筑类型</v>
      </c>
      <c r="AA33" s="1814">
        <f t="shared" si="3"/>
        <v>1</v>
      </c>
      <c r="AB33" s="1814">
        <f t="shared" si="4"/>
        <v>1</v>
      </c>
      <c r="AC33" s="2678">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14"/>
      <c r="Q34" s="776" t="str">
        <f t="shared" si="11"/>
        <v>项目建筑规模</v>
      </c>
      <c r="R34" s="777" t="s">
        <v>17</v>
      </c>
      <c r="S34" s="778" t="e">
        <f t="shared" si="12"/>
        <v>#N/A</v>
      </c>
      <c r="T34" s="777" t="s">
        <v>17</v>
      </c>
      <c r="U34" s="778" t="e">
        <f t="shared" si="13"/>
        <v>#N/A</v>
      </c>
      <c r="V34" s="777" t="s">
        <v>17</v>
      </c>
      <c r="W34" s="778" t="e">
        <f t="shared" si="14"/>
        <v>#N/A</v>
      </c>
      <c r="X34" s="779"/>
      <c r="Y34" s="3216"/>
      <c r="Z34" s="780" t="str">
        <f t="shared" si="15"/>
        <v>项目建筑规模</v>
      </c>
      <c r="AA34" s="1814" t="e">
        <f t="shared" si="3"/>
        <v>#N/A</v>
      </c>
      <c r="AB34" s="1814" t="e">
        <f t="shared" si="4"/>
        <v>#N/A</v>
      </c>
      <c r="AC34" s="2678"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14"/>
      <c r="Q35" s="1813" t="str">
        <f t="shared" si="11"/>
        <v>建筑结构</v>
      </c>
      <c r="R35" s="774" t="s">
        <v>17</v>
      </c>
      <c r="S35" s="775">
        <f t="shared" si="12"/>
        <v>100</v>
      </c>
      <c r="T35" s="774" t="s">
        <v>17</v>
      </c>
      <c r="U35" s="775">
        <f t="shared" si="13"/>
        <v>100</v>
      </c>
      <c r="V35" s="774" t="s">
        <v>17</v>
      </c>
      <c r="W35" s="775">
        <f t="shared" si="14"/>
        <v>100</v>
      </c>
      <c r="X35" s="1816"/>
      <c r="Y35" s="3216"/>
      <c r="Z35" s="1817" t="str">
        <f t="shared" si="15"/>
        <v>建筑结构</v>
      </c>
      <c r="AA35" s="1814">
        <f t="shared" si="3"/>
        <v>1</v>
      </c>
      <c r="AB35" s="1814">
        <f t="shared" si="4"/>
        <v>1</v>
      </c>
      <c r="AC35" s="2678">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14"/>
      <c r="Q36" s="1813" t="str">
        <f t="shared" si="11"/>
        <v>公共部分装修</v>
      </c>
      <c r="R36" s="774" t="s">
        <v>17</v>
      </c>
      <c r="S36" s="775">
        <f t="shared" si="12"/>
        <v>100</v>
      </c>
      <c r="T36" s="774" t="s">
        <v>17</v>
      </c>
      <c r="U36" s="775">
        <f t="shared" si="13"/>
        <v>100</v>
      </c>
      <c r="V36" s="774" t="s">
        <v>17</v>
      </c>
      <c r="W36" s="775">
        <f t="shared" si="14"/>
        <v>100</v>
      </c>
      <c r="X36" s="1816"/>
      <c r="Y36" s="3216"/>
      <c r="Z36" s="1817" t="str">
        <f t="shared" si="15"/>
        <v>公共部分装修</v>
      </c>
      <c r="AA36" s="1814">
        <f t="shared" si="3"/>
        <v>1</v>
      </c>
      <c r="AB36" s="1814">
        <f t="shared" si="4"/>
        <v>1</v>
      </c>
      <c r="AC36" s="2678">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14"/>
      <c r="Q37" s="1813" t="str">
        <f t="shared" si="11"/>
        <v>成新度</v>
      </c>
      <c r="R37" s="774" t="s">
        <v>17</v>
      </c>
      <c r="S37" s="775" t="e">
        <f t="shared" si="12"/>
        <v>#N/A</v>
      </c>
      <c r="T37" s="774" t="s">
        <v>17</v>
      </c>
      <c r="U37" s="775" t="e">
        <f t="shared" si="13"/>
        <v>#N/A</v>
      </c>
      <c r="V37" s="774" t="s">
        <v>17</v>
      </c>
      <c r="W37" s="775" t="e">
        <f t="shared" si="14"/>
        <v>#N/A</v>
      </c>
      <c r="X37" s="1816"/>
      <c r="Y37" s="3216"/>
      <c r="Z37" s="1817" t="str">
        <f t="shared" si="15"/>
        <v>成新度</v>
      </c>
      <c r="AA37" s="1814" t="e">
        <f t="shared" si="3"/>
        <v>#N/A</v>
      </c>
      <c r="AB37" s="1814" t="e">
        <f t="shared" si="4"/>
        <v>#N/A</v>
      </c>
      <c r="AC37" s="2678"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14"/>
      <c r="Q38" s="1798" t="str">
        <f t="shared" si="11"/>
        <v>写字楼等级</v>
      </c>
      <c r="R38" s="770" t="s">
        <v>17</v>
      </c>
      <c r="S38" s="771">
        <f t="shared" si="12"/>
        <v>100</v>
      </c>
      <c r="T38" s="770" t="s">
        <v>17</v>
      </c>
      <c r="U38" s="771">
        <f t="shared" si="13"/>
        <v>100</v>
      </c>
      <c r="V38" s="770" t="s">
        <v>17</v>
      </c>
      <c r="W38" s="771">
        <f t="shared" si="14"/>
        <v>100</v>
      </c>
      <c r="X38" s="772"/>
      <c r="Y38" s="3216"/>
      <c r="Z38" s="55" t="str">
        <f t="shared" si="15"/>
        <v>写字楼等级</v>
      </c>
      <c r="AA38" s="773">
        <f t="shared" si="3"/>
        <v>1</v>
      </c>
      <c r="AB38" s="773">
        <f t="shared" si="4"/>
        <v>1</v>
      </c>
      <c r="AC38" s="2675">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14" t="s">
        <v>2565</v>
      </c>
      <c r="Q39" s="1813" t="str">
        <f t="shared" si="11"/>
        <v>物业管理</v>
      </c>
      <c r="R39" s="774" t="s">
        <v>17</v>
      </c>
      <c r="S39" s="775">
        <f t="shared" si="12"/>
        <v>100</v>
      </c>
      <c r="T39" s="774" t="s">
        <v>17</v>
      </c>
      <c r="U39" s="775">
        <f t="shared" si="13"/>
        <v>100</v>
      </c>
      <c r="V39" s="774" t="s">
        <v>17</v>
      </c>
      <c r="W39" s="775">
        <f t="shared" si="14"/>
        <v>100</v>
      </c>
      <c r="X39" s="1816"/>
      <c r="Y39" s="3216" t="s">
        <v>2565</v>
      </c>
      <c r="Z39" s="1817" t="str">
        <f t="shared" si="15"/>
        <v>物业管理</v>
      </c>
      <c r="AA39" s="1814">
        <f t="shared" si="3"/>
        <v>1</v>
      </c>
      <c r="AB39" s="1814">
        <f t="shared" si="4"/>
        <v>1</v>
      </c>
      <c r="AC39" s="2678">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14"/>
      <c r="Q40" s="1813" t="str">
        <f t="shared" si="11"/>
        <v>市政基础设施</v>
      </c>
      <c r="R40" s="774" t="s">
        <v>17</v>
      </c>
      <c r="S40" s="775">
        <f t="shared" si="12"/>
        <v>100</v>
      </c>
      <c r="T40" s="774" t="s">
        <v>17</v>
      </c>
      <c r="U40" s="775">
        <f t="shared" si="13"/>
        <v>100</v>
      </c>
      <c r="V40" s="774" t="s">
        <v>17</v>
      </c>
      <c r="W40" s="775">
        <f t="shared" si="14"/>
        <v>100</v>
      </c>
      <c r="X40" s="1816"/>
      <c r="Y40" s="3216"/>
      <c r="Z40" s="1817" t="str">
        <f t="shared" si="15"/>
        <v>市政基础设施</v>
      </c>
      <c r="AA40" s="1814">
        <f t="shared" si="3"/>
        <v>1</v>
      </c>
      <c r="AB40" s="1814">
        <f t="shared" si="4"/>
        <v>1</v>
      </c>
      <c r="AC40" s="2678">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14"/>
      <c r="Q41" s="1813" t="str">
        <f t="shared" si="11"/>
        <v>层高</v>
      </c>
      <c r="R41" s="774" t="s">
        <v>17</v>
      </c>
      <c r="S41" s="775">
        <f t="shared" si="12"/>
        <v>100</v>
      </c>
      <c r="T41" s="774" t="s">
        <v>17</v>
      </c>
      <c r="U41" s="775">
        <f t="shared" si="13"/>
        <v>100</v>
      </c>
      <c r="V41" s="774" t="s">
        <v>17</v>
      </c>
      <c r="W41" s="775">
        <f t="shared" si="14"/>
        <v>100</v>
      </c>
      <c r="X41" s="1816"/>
      <c r="Y41" s="3216"/>
      <c r="Z41" s="1817" t="str">
        <f t="shared" si="15"/>
        <v>层高</v>
      </c>
      <c r="AA41" s="1814">
        <f t="shared" si="3"/>
        <v>1</v>
      </c>
      <c r="AB41" s="1814">
        <f t="shared" si="4"/>
        <v>1</v>
      </c>
      <c r="AC41" s="2678">
        <f t="shared" si="5"/>
        <v>1</v>
      </c>
    </row>
    <row r="42" spans="1:29" s="471" customFormat="1" ht="15">
      <c r="A42" s="468"/>
      <c r="B42" s="1815"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14"/>
      <c r="Q42" s="776" t="str">
        <f t="shared" si="11"/>
        <v>单套建筑面积</v>
      </c>
      <c r="R42" s="777" t="s">
        <v>17</v>
      </c>
      <c r="S42" s="778">
        <f t="shared" si="12"/>
        <v>100</v>
      </c>
      <c r="T42" s="777" t="s">
        <v>17</v>
      </c>
      <c r="U42" s="778">
        <f t="shared" si="13"/>
        <v>100</v>
      </c>
      <c r="V42" s="777" t="s">
        <v>17</v>
      </c>
      <c r="W42" s="778">
        <f t="shared" si="14"/>
        <v>100</v>
      </c>
      <c r="X42" s="779"/>
      <c r="Y42" s="3216"/>
      <c r="Z42" s="780" t="str">
        <f t="shared" si="15"/>
        <v>单套建筑面积</v>
      </c>
      <c r="AA42" s="1814">
        <f t="shared" si="3"/>
        <v>1</v>
      </c>
      <c r="AB42" s="1814">
        <f t="shared" si="4"/>
        <v>1</v>
      </c>
      <c r="AC42" s="2678">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14"/>
      <c r="Q43" s="1813" t="str">
        <f t="shared" si="11"/>
        <v>内部装修</v>
      </c>
      <c r="R43" s="774" t="s">
        <v>17</v>
      </c>
      <c r="S43" s="775">
        <f t="shared" si="12"/>
        <v>100</v>
      </c>
      <c r="T43" s="774" t="s">
        <v>17</v>
      </c>
      <c r="U43" s="775">
        <f t="shared" si="13"/>
        <v>100</v>
      </c>
      <c r="V43" s="774" t="s">
        <v>17</v>
      </c>
      <c r="W43" s="775">
        <f t="shared" si="14"/>
        <v>100</v>
      </c>
      <c r="X43" s="1816"/>
      <c r="Y43" s="3216"/>
      <c r="Z43" s="1817" t="str">
        <f t="shared" si="15"/>
        <v>内部装修</v>
      </c>
      <c r="AA43" s="1814">
        <f t="shared" si="3"/>
        <v>1</v>
      </c>
      <c r="AB43" s="1814">
        <f t="shared" si="4"/>
        <v>1</v>
      </c>
      <c r="AC43" s="2678">
        <f t="shared" si="5"/>
        <v>1</v>
      </c>
    </row>
    <row r="44" spans="1:29" ht="28.8">
      <c r="A44" s="472"/>
      <c r="B44" s="422" t="s">
        <v>2576</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14"/>
      <c r="Q44" s="1813" t="str">
        <f t="shared" si="11"/>
        <v>内部装修维护情况</v>
      </c>
      <c r="R44" s="774" t="s">
        <v>17</v>
      </c>
      <c r="S44" s="775">
        <f t="shared" si="12"/>
        <v>100</v>
      </c>
      <c r="T44" s="774" t="s">
        <v>17</v>
      </c>
      <c r="U44" s="775">
        <f t="shared" si="13"/>
        <v>100</v>
      </c>
      <c r="V44" s="774" t="s">
        <v>17</v>
      </c>
      <c r="W44" s="775">
        <f t="shared" si="14"/>
        <v>100</v>
      </c>
      <c r="X44" s="1816"/>
      <c r="Y44" s="3216"/>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14"/>
      <c r="Q45" s="1798">
        <f t="shared" si="11"/>
        <v>111</v>
      </c>
      <c r="R45" s="770" t="s">
        <v>17</v>
      </c>
      <c r="S45" s="771">
        <f t="shared" si="12"/>
        <v>100</v>
      </c>
      <c r="T45" s="770" t="s">
        <v>17</v>
      </c>
      <c r="U45" s="771">
        <f t="shared" si="13"/>
        <v>100</v>
      </c>
      <c r="V45" s="770" t="s">
        <v>17</v>
      </c>
      <c r="W45" s="771">
        <f t="shared" si="14"/>
        <v>100</v>
      </c>
      <c r="X45" s="772"/>
      <c r="Y45" s="3216"/>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14"/>
      <c r="Q46" s="1813">
        <f t="shared" si="11"/>
        <v>111</v>
      </c>
      <c r="R46" s="774" t="s">
        <v>17</v>
      </c>
      <c r="S46" s="775">
        <f t="shared" si="12"/>
        <v>100</v>
      </c>
      <c r="T46" s="774" t="s">
        <v>17</v>
      </c>
      <c r="U46" s="775">
        <f t="shared" si="13"/>
        <v>100</v>
      </c>
      <c r="V46" s="774" t="s">
        <v>17</v>
      </c>
      <c r="W46" s="775">
        <f t="shared" si="14"/>
        <v>100</v>
      </c>
      <c r="X46" s="1816"/>
      <c r="Y46" s="3216"/>
      <c r="Z46" s="1817">
        <f t="shared" si="15"/>
        <v>111</v>
      </c>
      <c r="AA46" s="1814">
        <f t="shared" si="3"/>
        <v>1</v>
      </c>
      <c r="AB46" s="1814">
        <f t="shared" si="4"/>
        <v>1</v>
      </c>
      <c r="AC46" s="2678">
        <f t="shared" si="5"/>
        <v>1</v>
      </c>
    </row>
    <row r="47" spans="1:29" ht="15.6"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15"/>
      <c r="Q47" s="1813">
        <f t="shared" si="11"/>
        <v>111</v>
      </c>
      <c r="R47" s="774" t="s">
        <v>17</v>
      </c>
      <c r="S47" s="775">
        <f t="shared" si="12"/>
        <v>100</v>
      </c>
      <c r="T47" s="774" t="s">
        <v>17</v>
      </c>
      <c r="U47" s="775">
        <f t="shared" si="13"/>
        <v>100</v>
      </c>
      <c r="V47" s="774" t="s">
        <v>17</v>
      </c>
      <c r="W47" s="775">
        <f t="shared" si="14"/>
        <v>100</v>
      </c>
      <c r="X47" s="1816"/>
      <c r="Y47" s="3217"/>
      <c r="Z47" s="1817">
        <f t="shared" si="15"/>
        <v>111</v>
      </c>
      <c r="AA47" s="1814">
        <f t="shared" si="3"/>
        <v>1</v>
      </c>
      <c r="AB47" s="1814">
        <f t="shared" si="4"/>
        <v>1</v>
      </c>
      <c r="AC47" s="2678">
        <f t="shared" si="5"/>
        <v>1</v>
      </c>
    </row>
    <row r="48" spans="1:29" ht="14.4">
      <c r="A48" s="479" t="s">
        <v>2577</v>
      </c>
      <c r="B48" s="480"/>
      <c r="C48" s="1410" t="s">
        <v>1</v>
      </c>
      <c r="D48" s="1411"/>
      <c r="E48" s="1412"/>
      <c r="F48" s="1413"/>
      <c r="G48" s="1414"/>
      <c r="H48" s="1415"/>
      <c r="I48" s="1412"/>
      <c r="J48" s="485"/>
      <c r="K48" s="783"/>
      <c r="L48" s="1146"/>
      <c r="M48" s="1134"/>
      <c r="N48" s="1134"/>
      <c r="O48" s="1134"/>
      <c r="P48" s="3191" t="str">
        <f>A48</f>
        <v>成交单价（元/平方米）</v>
      </c>
      <c r="Q48" s="3209"/>
      <c r="R48" s="3210">
        <f>E48</f>
        <v>0</v>
      </c>
      <c r="S48" s="3210"/>
      <c r="T48" s="3210">
        <f>G48</f>
        <v>0</v>
      </c>
      <c r="U48" s="3210"/>
      <c r="V48" s="3210">
        <f>I48</f>
        <v>0</v>
      </c>
      <c r="W48" s="3210"/>
      <c r="X48" s="446"/>
      <c r="Y48" s="781"/>
      <c r="Z48" s="446"/>
      <c r="AA48" s="446"/>
      <c r="AB48" s="446"/>
      <c r="AC48" s="630"/>
    </row>
    <row r="49" spans="1:29" ht="15" thickBot="1">
      <c r="A49" s="486" t="s">
        <v>2669</v>
      </c>
      <c r="B49" s="487"/>
      <c r="C49" s="1416" t="e">
        <f>R50</f>
        <v>#DIV/0!</v>
      </c>
      <c r="D49" s="1417"/>
      <c r="E49" s="1418" t="e">
        <f>R49</f>
        <v>#DIV/0!</v>
      </c>
      <c r="F49" s="1418"/>
      <c r="G49" s="1416" t="e">
        <f>T49</f>
        <v>#DIV/0!</v>
      </c>
      <c r="H49" s="1417"/>
      <c r="I49" s="1418" t="e">
        <f>V49</f>
        <v>#DIV/0!</v>
      </c>
      <c r="J49" s="489"/>
      <c r="K49" s="784"/>
      <c r="L49" s="1146"/>
      <c r="M49" s="1134"/>
      <c r="N49" s="1134"/>
      <c r="O49" s="1134"/>
      <c r="P49" s="3191" t="str">
        <f>A49</f>
        <v>比较价值（元/平方米）</v>
      </c>
      <c r="Q49" s="3209"/>
      <c r="R49" s="3210" t="e">
        <f>IF(F1="售价",ROUND(PRODUCT(R48,AA7:AA47),0),ROUND(PRODUCT(R48,AA7:AA47),1))</f>
        <v>#DIV/0!</v>
      </c>
      <c r="S49" s="3210"/>
      <c r="T49" s="3210" t="e">
        <f>IF(F1="售价",ROUND(PRODUCT(T48,AB7:AB47),0),ROUND(PRODUCT(T48,AB7:AB47),1))</f>
        <v>#DIV/0!</v>
      </c>
      <c r="U49" s="3210"/>
      <c r="V49" s="3210" t="e">
        <f>IF(F1="售价",ROUND(PRODUCT(V48,AC7:AC47),0),ROUND(PRODUCT(V48,AC7:AC47),1))</f>
        <v>#DIV/0!</v>
      </c>
      <c r="W49" s="3210"/>
      <c r="X49" s="446"/>
      <c r="Y49" s="446"/>
      <c r="Z49" s="446"/>
      <c r="AA49" s="446"/>
      <c r="AB49" s="446"/>
      <c r="AC49" s="630"/>
    </row>
    <row r="50" spans="1:29" ht="15" thickBot="1">
      <c r="A50" s="492" t="s">
        <v>2670</v>
      </c>
      <c r="B50" s="493"/>
      <c r="C50" s="1420" t="e">
        <f>R50</f>
        <v>#DIV/0!</v>
      </c>
      <c r="D50" s="1420"/>
      <c r="E50" s="1420"/>
      <c r="F50" s="1420"/>
      <c r="G50" s="1420"/>
      <c r="H50" s="1420"/>
      <c r="I50" s="1420"/>
      <c r="J50" s="494"/>
      <c r="K50" s="785"/>
      <c r="L50" s="1146"/>
      <c r="M50" s="1134"/>
      <c r="N50" s="1134"/>
      <c r="O50" s="1134"/>
      <c r="P50" s="3232" t="str">
        <f>A50</f>
        <v>估价对象XX用房的比较价值（楼面单价，元/平方米）</v>
      </c>
      <c r="Q50" s="3233"/>
      <c r="R50" s="3234" t="e">
        <f>IF(F1="售价",ROUND(AVERAGE(R49:V49),0),ROUND(AVERAGE(R49:V49),1))</f>
        <v>#DIV/0!</v>
      </c>
      <c r="S50" s="3234"/>
      <c r="T50" s="3234"/>
      <c r="U50" s="3234"/>
      <c r="V50" s="3234"/>
      <c r="W50" s="3234"/>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2.2" thickBot="1">
      <c r="A58" s="763" t="s">
        <v>2674</v>
      </c>
      <c r="B58" s="759"/>
      <c r="C58" s="764"/>
      <c r="D58" s="764"/>
      <c r="E58" s="764"/>
      <c r="F58" s="765"/>
      <c r="G58" s="765"/>
      <c r="H58" s="764"/>
      <c r="I58" s="764"/>
      <c r="J58" s="764"/>
      <c r="K58" s="766"/>
      <c r="L58" s="1164"/>
      <c r="M58" s="1162"/>
      <c r="N58" s="1162"/>
      <c r="O58" s="1162"/>
      <c r="P58" s="2685"/>
      <c r="Q58" s="504"/>
    </row>
    <row r="59" spans="1:29" s="508" customFormat="1" ht="14.4">
      <c r="A59" s="505" t="s">
        <v>2548</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c r="A60" s="509"/>
      <c r="B60" s="510"/>
      <c r="C60" s="1576">
        <v>100</v>
      </c>
      <c r="D60" s="512"/>
      <c r="E60" s="512"/>
      <c r="F60" s="512"/>
      <c r="G60" s="512"/>
      <c r="H60" s="512"/>
      <c r="I60" s="512"/>
      <c r="J60" s="512"/>
      <c r="K60" s="512"/>
      <c r="L60" s="512"/>
      <c r="M60" s="513"/>
      <c r="N60" s="512"/>
      <c r="O60" s="513"/>
      <c r="P60" s="2686"/>
    </row>
    <row r="61" spans="1:29" s="117" customFormat="1" ht="15" thickBot="1">
      <c r="A61" s="515" t="s">
        <v>2585</v>
      </c>
      <c r="B61" s="516"/>
      <c r="C61" s="517"/>
      <c r="D61" s="518"/>
      <c r="E61" s="518"/>
      <c r="F61" s="518"/>
      <c r="G61" s="518"/>
      <c r="H61" s="518"/>
      <c r="I61" s="518"/>
      <c r="J61" s="518"/>
      <c r="K61" s="518"/>
      <c r="L61" s="518"/>
      <c r="M61" s="519"/>
      <c r="N61" s="518"/>
      <c r="O61" s="519"/>
      <c r="P61" s="2686"/>
      <c r="Q61" s="504"/>
    </row>
    <row r="62" spans="1:29" s="117" customFormat="1" ht="14.4">
      <c r="A62" s="521" t="s">
        <v>2550</v>
      </c>
      <c r="B62" s="510"/>
      <c r="C62" s="522" t="s">
        <v>2652</v>
      </c>
      <c r="D62" s="523"/>
      <c r="E62" s="523"/>
      <c r="F62" s="523"/>
      <c r="G62" s="523"/>
      <c r="H62" s="523"/>
      <c r="I62" s="523"/>
      <c r="J62" s="523"/>
      <c r="K62" s="523"/>
      <c r="L62" s="524"/>
      <c r="M62" s="525"/>
      <c r="N62" s="1154"/>
      <c r="O62" s="1154"/>
      <c r="P62" s="2687"/>
      <c r="Q62" s="504"/>
    </row>
    <row r="63" spans="1:29" s="117" customFormat="1" ht="14.4" thickBot="1">
      <c r="A63" s="521"/>
      <c r="B63" s="510"/>
      <c r="C63" s="511">
        <v>100</v>
      </c>
      <c r="D63" s="512"/>
      <c r="E63" s="512"/>
      <c r="F63" s="512"/>
      <c r="G63" s="512"/>
      <c r="H63" s="512"/>
      <c r="I63" s="512"/>
      <c r="J63" s="512"/>
      <c r="K63" s="512"/>
      <c r="L63" s="512"/>
      <c r="M63" s="514"/>
      <c r="N63" s="1154"/>
      <c r="O63" s="1154"/>
      <c r="P63" s="2686"/>
      <c r="Q63" s="504"/>
    </row>
    <row r="64" spans="1:29" ht="14.4">
      <c r="A64" s="527" t="s">
        <v>2588</v>
      </c>
      <c r="B64" s="528" t="s">
        <v>2554</v>
      </c>
      <c r="C64" s="529">
        <f>C9</f>
        <v>0</v>
      </c>
      <c r="D64" s="530"/>
      <c r="E64" s="530"/>
      <c r="F64" s="530"/>
      <c r="G64" s="530"/>
      <c r="H64" s="530"/>
      <c r="I64" s="530"/>
      <c r="J64" s="530"/>
      <c r="K64" s="531"/>
      <c r="L64" s="532"/>
      <c r="M64" s="533"/>
      <c r="N64" s="1155"/>
      <c r="O64" s="1155"/>
      <c r="P64" s="2688"/>
      <c r="Q64" s="504"/>
    </row>
    <row r="65" spans="1:17" ht="14.4" thickBot="1">
      <c r="A65" s="534"/>
      <c r="B65" s="535"/>
      <c r="C65" s="536">
        <v>100</v>
      </c>
      <c r="D65" s="536"/>
      <c r="E65" s="536"/>
      <c r="F65" s="536"/>
      <c r="G65" s="536"/>
      <c r="H65" s="536"/>
      <c r="I65" s="536"/>
      <c r="J65" s="536"/>
      <c r="K65" s="536"/>
      <c r="L65" s="536"/>
      <c r="M65" s="537"/>
      <c r="N65" s="1156"/>
      <c r="O65" s="1156"/>
      <c r="P65" s="2688"/>
      <c r="Q65" s="504"/>
    </row>
    <row r="66" spans="1:17" ht="29.4"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88"/>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c r="A69" s="534"/>
      <c r="B69" s="548"/>
      <c r="C69" s="549"/>
      <c r="D69" s="549"/>
      <c r="E69" s="549"/>
      <c r="F69" s="549"/>
      <c r="G69" s="549"/>
      <c r="H69" s="549"/>
      <c r="I69" s="549"/>
      <c r="J69" s="549"/>
      <c r="K69" s="550"/>
      <c r="L69" s="551"/>
      <c r="M69" s="552"/>
      <c r="N69" s="1155"/>
      <c r="O69" s="1155"/>
      <c r="P69" s="2688"/>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4.4" thickTop="1">
      <c r="A71" s="553"/>
      <c r="B71" s="538">
        <f>B12</f>
        <v>111</v>
      </c>
      <c r="C71" s="554"/>
      <c r="D71" s="554"/>
      <c r="E71" s="554"/>
      <c r="F71" s="554"/>
      <c r="G71" s="554"/>
      <c r="H71" s="555"/>
      <c r="I71" s="555"/>
      <c r="J71" s="555"/>
      <c r="K71" s="555"/>
      <c r="L71" s="556"/>
      <c r="M71" s="557"/>
      <c r="N71" s="1157"/>
      <c r="O71" s="1157"/>
      <c r="P71" s="2689"/>
      <c r="Q71" s="559"/>
    </row>
    <row r="72" spans="1:17" s="471" customFormat="1" ht="14.4" thickBot="1">
      <c r="A72" s="553"/>
      <c r="B72" s="543"/>
      <c r="C72" s="560"/>
      <c r="D72" s="536"/>
      <c r="E72" s="536"/>
      <c r="F72" s="536"/>
      <c r="G72" s="536"/>
      <c r="H72" s="536"/>
      <c r="I72" s="536"/>
      <c r="J72" s="536"/>
      <c r="K72" s="536"/>
      <c r="L72" s="536"/>
      <c r="M72" s="537"/>
      <c r="N72" s="1156"/>
      <c r="O72" s="1156"/>
      <c r="P72" s="2689"/>
      <c r="Q72" s="559"/>
    </row>
    <row r="73" spans="1:17" s="471" customFormat="1" ht="14.4" thickTop="1">
      <c r="A73" s="553"/>
      <c r="B73" s="538">
        <f>B13</f>
        <v>111</v>
      </c>
      <c r="C73" s="554"/>
      <c r="D73" s="554"/>
      <c r="E73" s="554"/>
      <c r="F73" s="554"/>
      <c r="G73" s="554"/>
      <c r="H73" s="555"/>
      <c r="I73" s="555"/>
      <c r="J73" s="555"/>
      <c r="K73" s="555"/>
      <c r="L73" s="556"/>
      <c r="M73" s="557"/>
      <c r="N73" s="1157"/>
      <c r="O73" s="1157"/>
      <c r="P73" s="2690"/>
      <c r="Q73" s="561"/>
    </row>
    <row r="74" spans="1:17" s="471" customFormat="1" ht="14.4" thickBot="1">
      <c r="A74" s="553"/>
      <c r="B74" s="543"/>
      <c r="C74" s="560"/>
      <c r="D74" s="560"/>
      <c r="E74" s="560"/>
      <c r="F74" s="560"/>
      <c r="G74" s="560"/>
      <c r="H74" s="562"/>
      <c r="I74" s="562"/>
      <c r="J74" s="562"/>
      <c r="K74" s="562"/>
      <c r="L74" s="562"/>
      <c r="M74" s="563"/>
      <c r="N74" s="1157"/>
      <c r="O74" s="1157"/>
      <c r="P74" s="2689"/>
      <c r="Q74" s="559"/>
    </row>
    <row r="75" spans="1:17" s="471" customFormat="1" ht="14.4" thickTop="1">
      <c r="A75" s="553"/>
      <c r="B75" s="546">
        <f>B14</f>
        <v>111</v>
      </c>
      <c r="C75" s="523"/>
      <c r="D75" s="523"/>
      <c r="E75" s="523"/>
      <c r="F75" s="523"/>
      <c r="G75" s="523"/>
      <c r="H75" s="564"/>
      <c r="I75" s="564"/>
      <c r="J75" s="564"/>
      <c r="K75" s="564"/>
      <c r="L75" s="565"/>
      <c r="M75" s="566"/>
      <c r="N75" s="1157"/>
      <c r="O75" s="1157"/>
      <c r="P75" s="2691"/>
      <c r="Q75" s="559"/>
    </row>
    <row r="76" spans="1:17" s="471" customFormat="1" ht="14.4" thickBot="1">
      <c r="A76" s="568"/>
      <c r="B76" s="569"/>
      <c r="C76" s="570"/>
      <c r="D76" s="570"/>
      <c r="E76" s="570"/>
      <c r="F76" s="570"/>
      <c r="G76" s="570"/>
      <c r="H76" s="571"/>
      <c r="I76" s="571"/>
      <c r="J76" s="571"/>
      <c r="K76" s="571"/>
      <c r="L76" s="571"/>
      <c r="M76" s="572"/>
      <c r="N76" s="1157"/>
      <c r="O76" s="1157"/>
      <c r="P76" s="2689"/>
      <c r="Q76" s="559"/>
    </row>
    <row r="77" spans="1:17" ht="14.4">
      <c r="A77" s="527" t="s">
        <v>2559</v>
      </c>
      <c r="B77" s="528" t="s">
        <v>2697</v>
      </c>
      <c r="C77" s="573" t="s">
        <v>2597</v>
      </c>
      <c r="D77" s="573" t="s">
        <v>2598</v>
      </c>
      <c r="E77" s="573" t="s">
        <v>2599</v>
      </c>
      <c r="F77" s="573" t="s">
        <v>2600</v>
      </c>
      <c r="G77" s="573" t="s">
        <v>2601</v>
      </c>
      <c r="H77" s="529"/>
      <c r="I77" s="529"/>
      <c r="J77" s="529"/>
      <c r="K77" s="574"/>
      <c r="L77" s="575"/>
      <c r="M77" s="576"/>
      <c r="N77" s="1155"/>
      <c r="O77" s="1155"/>
      <c r="P77" s="2692"/>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 thickTop="1">
      <c r="A79" s="534"/>
      <c r="B79" s="538" t="s">
        <v>2602</v>
      </c>
      <c r="C79" s="578" t="s">
        <v>2597</v>
      </c>
      <c r="D79" s="578" t="s">
        <v>2598</v>
      </c>
      <c r="E79" s="578" t="s">
        <v>2599</v>
      </c>
      <c r="F79" s="578" t="s">
        <v>2600</v>
      </c>
      <c r="G79" s="578" t="s">
        <v>2601</v>
      </c>
      <c r="H79" s="539"/>
      <c r="I79" s="539"/>
      <c r="J79" s="539"/>
      <c r="K79" s="540"/>
      <c r="L79" s="541"/>
      <c r="M79" s="542"/>
      <c r="N79" s="1155"/>
      <c r="O79" s="1155"/>
      <c r="P79" s="2688"/>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 thickTop="1">
      <c r="A81" s="534"/>
      <c r="B81" s="538" t="s">
        <v>2603</v>
      </c>
      <c r="C81" s="578" t="s">
        <v>2597</v>
      </c>
      <c r="D81" s="578" t="s">
        <v>2598</v>
      </c>
      <c r="E81" s="578" t="s">
        <v>2599</v>
      </c>
      <c r="F81" s="578" t="s">
        <v>2600</v>
      </c>
      <c r="G81" s="578" t="s">
        <v>2601</v>
      </c>
      <c r="H81" s="539"/>
      <c r="I81" s="539"/>
      <c r="J81" s="539"/>
      <c r="K81" s="540"/>
      <c r="L81" s="541"/>
      <c r="M81" s="542"/>
      <c r="N81" s="1155"/>
      <c r="O81" s="1155"/>
      <c r="P81" s="2688"/>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 thickTop="1">
      <c r="A83" s="534"/>
      <c r="B83" s="546" t="s">
        <v>2689</v>
      </c>
      <c r="C83" s="660" t="s">
        <v>2675</v>
      </c>
      <c r="D83" s="660" t="s">
        <v>2676</v>
      </c>
      <c r="E83" s="660" t="s">
        <v>2677</v>
      </c>
      <c r="F83" s="660" t="s">
        <v>2678</v>
      </c>
      <c r="G83" s="660" t="s">
        <v>2679</v>
      </c>
      <c r="H83" s="539"/>
      <c r="I83" s="539"/>
      <c r="J83" s="539"/>
      <c r="K83" s="539"/>
      <c r="L83" s="539"/>
      <c r="M83" s="1385"/>
      <c r="N83" s="1156"/>
      <c r="O83" s="1156"/>
      <c r="P83" s="2688"/>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 thickTop="1">
      <c r="A85" s="534"/>
      <c r="B85" s="538" t="s">
        <v>2698</v>
      </c>
      <c r="C85" s="578" t="s">
        <v>2597</v>
      </c>
      <c r="D85" s="578" t="s">
        <v>2598</v>
      </c>
      <c r="E85" s="578" t="s">
        <v>2599</v>
      </c>
      <c r="F85" s="578" t="s">
        <v>2600</v>
      </c>
      <c r="G85" s="578" t="s">
        <v>2601</v>
      </c>
      <c r="H85" s="539"/>
      <c r="I85" s="539"/>
      <c r="J85" s="539"/>
      <c r="K85" s="540"/>
      <c r="L85" s="541"/>
      <c r="M85" s="542"/>
      <c r="N85" s="1155"/>
      <c r="O85" s="1155"/>
      <c r="P85" s="2688"/>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9.4" thickTop="1">
      <c r="A87" s="579"/>
      <c r="B87" s="538" t="s">
        <v>2699</v>
      </c>
      <c r="C87" s="554"/>
      <c r="D87" s="554"/>
      <c r="E87" s="554"/>
      <c r="F87" s="554"/>
      <c r="G87" s="554"/>
      <c r="H87" s="554"/>
      <c r="I87" s="554"/>
      <c r="J87" s="554"/>
      <c r="K87" s="554"/>
      <c r="L87" s="580"/>
      <c r="M87" s="581"/>
      <c r="N87" s="1154"/>
      <c r="O87" s="1154"/>
      <c r="P87" s="2688"/>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4.4"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4.4"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4.4" thickTop="1">
      <c r="A93" s="534"/>
      <c r="B93" s="538">
        <f>B29</f>
        <v>111</v>
      </c>
      <c r="C93" s="554"/>
      <c r="D93" s="554"/>
      <c r="E93" s="554"/>
      <c r="F93" s="554"/>
      <c r="G93" s="554"/>
      <c r="H93" s="554"/>
      <c r="I93" s="554"/>
      <c r="J93" s="554"/>
      <c r="K93" s="554"/>
      <c r="L93" s="580"/>
      <c r="M93" s="581"/>
      <c r="N93" s="1155"/>
      <c r="O93" s="1155"/>
      <c r="P93" s="2688"/>
      <c r="Q93" s="504"/>
    </row>
    <row r="94" spans="1:17" ht="14.4" thickBot="1">
      <c r="A94" s="534"/>
      <c r="B94" s="543"/>
      <c r="C94" s="560"/>
      <c r="D94" s="536"/>
      <c r="E94" s="536"/>
      <c r="F94" s="536"/>
      <c r="G94" s="536"/>
      <c r="H94" s="536"/>
      <c r="I94" s="536"/>
      <c r="J94" s="536"/>
      <c r="K94" s="536"/>
      <c r="L94" s="536"/>
      <c r="M94" s="537"/>
      <c r="N94" s="1156"/>
      <c r="O94" s="1156"/>
      <c r="P94" s="2688"/>
      <c r="Q94" s="504"/>
    </row>
    <row r="95" spans="1:17" ht="14.4" thickTop="1">
      <c r="A95" s="534"/>
      <c r="B95" s="538">
        <f>B30</f>
        <v>111</v>
      </c>
      <c r="C95" s="554"/>
      <c r="D95" s="554"/>
      <c r="E95" s="554"/>
      <c r="F95" s="554"/>
      <c r="G95" s="583"/>
      <c r="H95" s="583"/>
      <c r="I95" s="583"/>
      <c r="J95" s="583"/>
      <c r="K95" s="584"/>
      <c r="L95" s="585"/>
      <c r="M95" s="586"/>
      <c r="N95" s="1155"/>
      <c r="O95" s="1155"/>
      <c r="P95" s="2688"/>
      <c r="Q95" s="504"/>
    </row>
    <row r="96" spans="1:17" ht="14.4" thickBot="1">
      <c r="A96" s="534"/>
      <c r="B96" s="543"/>
      <c r="C96" s="560"/>
      <c r="D96" s="560"/>
      <c r="E96" s="560"/>
      <c r="F96" s="560"/>
      <c r="G96" s="536"/>
      <c r="H96" s="536"/>
      <c r="I96" s="536"/>
      <c r="J96" s="536"/>
      <c r="K96" s="536"/>
      <c r="L96" s="536"/>
      <c r="M96" s="537"/>
      <c r="N96" s="1156"/>
      <c r="O96" s="1156"/>
      <c r="P96" s="2688"/>
      <c r="Q96" s="504"/>
    </row>
    <row r="97" spans="1:17" ht="14.4" thickTop="1">
      <c r="A97" s="534"/>
      <c r="B97" s="538">
        <f>B31</f>
        <v>111</v>
      </c>
      <c r="C97" s="554"/>
      <c r="D97" s="554"/>
      <c r="E97" s="554"/>
      <c r="F97" s="554"/>
      <c r="G97" s="583"/>
      <c r="H97" s="583"/>
      <c r="I97" s="583"/>
      <c r="J97" s="583"/>
      <c r="K97" s="584"/>
      <c r="L97" s="585"/>
      <c r="M97" s="586"/>
      <c r="N97" s="1155"/>
      <c r="O97" s="1155"/>
      <c r="P97" s="2688"/>
      <c r="Q97" s="504"/>
    </row>
    <row r="98" spans="1:17" ht="14.4" thickBot="1">
      <c r="A98" s="534"/>
      <c r="B98" s="543"/>
      <c r="C98" s="560"/>
      <c r="D98" s="536"/>
      <c r="E98" s="536"/>
      <c r="F98" s="536"/>
      <c r="G98" s="536"/>
      <c r="H98" s="536"/>
      <c r="I98" s="536"/>
      <c r="J98" s="536"/>
      <c r="K98" s="536"/>
      <c r="L98" s="536"/>
      <c r="M98" s="537"/>
      <c r="N98" s="1156"/>
      <c r="O98" s="1156"/>
      <c r="P98" s="2688"/>
      <c r="Q98" s="504"/>
    </row>
    <row r="99" spans="1:17" ht="14.4" thickTop="1">
      <c r="A99" s="534"/>
      <c r="B99" s="546">
        <f>B32</f>
        <v>111</v>
      </c>
      <c r="C99" s="523"/>
      <c r="D99" s="523"/>
      <c r="E99" s="523"/>
      <c r="F99" s="523"/>
      <c r="G99" s="587"/>
      <c r="H99" s="587"/>
      <c r="I99" s="587"/>
      <c r="J99" s="587"/>
      <c r="K99" s="588"/>
      <c r="L99" s="589"/>
      <c r="M99" s="590"/>
      <c r="N99" s="1155"/>
      <c r="O99" s="1155"/>
      <c r="P99" s="2688"/>
      <c r="Q99" s="504"/>
    </row>
    <row r="100" spans="1:17" ht="14.4" thickBot="1">
      <c r="A100" s="2640"/>
      <c r="B100" s="569"/>
      <c r="C100" s="570"/>
      <c r="D100" s="570"/>
      <c r="E100" s="570"/>
      <c r="F100" s="570"/>
      <c r="G100" s="591"/>
      <c r="H100" s="591"/>
      <c r="I100" s="591"/>
      <c r="J100" s="591"/>
      <c r="K100" s="591"/>
      <c r="L100" s="591"/>
      <c r="M100" s="592"/>
      <c r="N100" s="1156"/>
      <c r="O100" s="1156"/>
      <c r="P100" s="2688"/>
      <c r="Q100" s="504"/>
    </row>
    <row r="101" spans="1:17" ht="14.4">
      <c r="A101" s="527" t="s">
        <v>2563</v>
      </c>
      <c r="B101" s="528" t="s">
        <v>2612</v>
      </c>
      <c r="C101" s="530"/>
      <c r="D101" s="530"/>
      <c r="E101" s="530"/>
      <c r="F101" s="530"/>
      <c r="G101" s="530"/>
      <c r="H101" s="530"/>
      <c r="I101" s="530"/>
      <c r="J101" s="530"/>
      <c r="K101" s="531"/>
      <c r="L101" s="532"/>
      <c r="M101" s="533"/>
      <c r="N101" s="1155"/>
      <c r="O101" s="1155"/>
      <c r="P101" s="2688"/>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4.4"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2614</v>
      </c>
      <c r="C106" s="554"/>
      <c r="D106" s="554"/>
      <c r="E106" s="583"/>
      <c r="F106" s="583"/>
      <c r="G106" s="583"/>
      <c r="H106" s="583"/>
      <c r="I106" s="583"/>
      <c r="J106" s="583"/>
      <c r="K106" s="584"/>
      <c r="L106" s="585"/>
      <c r="M106" s="586"/>
      <c r="N106" s="1155"/>
      <c r="O106" s="1155"/>
      <c r="P106" s="2688"/>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2616</v>
      </c>
      <c r="C108" s="554"/>
      <c r="D108" s="554"/>
      <c r="E108" s="554"/>
      <c r="F108" s="583"/>
      <c r="G108" s="583"/>
      <c r="H108" s="583"/>
      <c r="I108" s="583"/>
      <c r="J108" s="583"/>
      <c r="K108" s="584"/>
      <c r="L108" s="585"/>
      <c r="M108" s="586"/>
      <c r="N108" s="1155"/>
      <c r="O108" s="1155"/>
      <c r="P108" s="2688"/>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89"/>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2617</v>
      </c>
      <c r="C115" s="554"/>
      <c r="D115" s="554"/>
      <c r="E115" s="583"/>
      <c r="F115" s="583"/>
      <c r="G115" s="583"/>
      <c r="H115" s="583"/>
      <c r="I115" s="583"/>
      <c r="J115" s="583"/>
      <c r="K115" s="584"/>
      <c r="L115" s="585"/>
      <c r="M115" s="586"/>
      <c r="N115" s="1155"/>
      <c r="O115" s="1155"/>
      <c r="P115" s="2688"/>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2618</v>
      </c>
      <c r="C117" s="554"/>
      <c r="D117" s="554"/>
      <c r="E117" s="554"/>
      <c r="F117" s="554"/>
      <c r="G117" s="554"/>
      <c r="H117" s="583"/>
      <c r="I117" s="583"/>
      <c r="J117" s="583"/>
      <c r="K117" s="584"/>
      <c r="L117" s="585"/>
      <c r="M117" s="586"/>
      <c r="N117" s="1155"/>
      <c r="O117" s="1155"/>
      <c r="P117" s="2688"/>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2701</v>
      </c>
      <c r="C119" s="583"/>
      <c r="D119" s="583"/>
      <c r="E119" s="583"/>
      <c r="F119" s="583"/>
      <c r="G119" s="583"/>
      <c r="H119" s="583"/>
      <c r="I119" s="583"/>
      <c r="J119" s="583"/>
      <c r="K119" s="583"/>
      <c r="L119" s="2693"/>
      <c r="M119" s="2694"/>
      <c r="N119" s="1156"/>
      <c r="O119" s="1156"/>
      <c r="P119" s="2695"/>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89"/>
      <c r="Q121" s="559"/>
    </row>
    <row r="122" spans="1:17" s="471" customFormat="1" ht="14.4"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2620</v>
      </c>
      <c r="C123" s="554"/>
      <c r="D123" s="554"/>
      <c r="E123" s="554"/>
      <c r="F123" s="583"/>
      <c r="G123" s="583"/>
      <c r="H123" s="583"/>
      <c r="I123" s="583"/>
      <c r="J123" s="583"/>
      <c r="K123" s="584"/>
      <c r="L123" s="585"/>
      <c r="M123" s="586"/>
      <c r="N123" s="1155"/>
      <c r="O123" s="1155"/>
      <c r="P123" s="2688"/>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29.4"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89"/>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4.4"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4.4" thickBot="1">
      <c r="A128" s="553"/>
      <c r="B128" s="543"/>
      <c r="C128" s="560"/>
      <c r="D128" s="536"/>
      <c r="E128" s="536"/>
      <c r="F128" s="536"/>
      <c r="G128" s="560"/>
      <c r="H128" s="562"/>
      <c r="I128" s="562"/>
      <c r="J128" s="562"/>
      <c r="K128" s="562"/>
      <c r="L128" s="562"/>
      <c r="M128" s="563"/>
      <c r="N128" s="1157"/>
      <c r="O128" s="1157"/>
      <c r="P128" s="2689"/>
      <c r="Q128" s="559"/>
    </row>
    <row r="129" spans="1:17" ht="14.4" thickTop="1">
      <c r="A129" s="599"/>
      <c r="B129" s="538">
        <f>B46</f>
        <v>111</v>
      </c>
      <c r="C129" s="554"/>
      <c r="D129" s="554"/>
      <c r="E129" s="554"/>
      <c r="F129" s="554"/>
      <c r="G129" s="583"/>
      <c r="H129" s="583"/>
      <c r="I129" s="583"/>
      <c r="J129" s="583"/>
      <c r="K129" s="584"/>
      <c r="L129" s="585"/>
      <c r="M129" s="586"/>
      <c r="N129" s="1155"/>
      <c r="O129" s="1155"/>
      <c r="P129" s="2688"/>
      <c r="Q129" s="504"/>
    </row>
    <row r="130" spans="1:17" ht="14.4" thickBot="1">
      <c r="A130" s="534"/>
      <c r="B130" s="543"/>
      <c r="C130" s="560"/>
      <c r="D130" s="560"/>
      <c r="E130" s="560"/>
      <c r="F130" s="560"/>
      <c r="G130" s="536"/>
      <c r="H130" s="536"/>
      <c r="I130" s="536"/>
      <c r="J130" s="536"/>
      <c r="K130" s="536"/>
      <c r="L130" s="536"/>
      <c r="M130" s="537"/>
      <c r="N130" s="1156"/>
      <c r="O130" s="1156"/>
      <c r="P130" s="2688"/>
      <c r="Q130" s="504"/>
    </row>
    <row r="131" spans="1:17" ht="14.4" thickTop="1">
      <c r="A131" s="599"/>
      <c r="B131" s="546">
        <f>B47</f>
        <v>111</v>
      </c>
      <c r="C131" s="523"/>
      <c r="D131" s="523"/>
      <c r="E131" s="523"/>
      <c r="F131" s="523"/>
      <c r="G131" s="587"/>
      <c r="H131" s="587"/>
      <c r="I131" s="587"/>
      <c r="J131" s="587"/>
      <c r="K131" s="523"/>
      <c r="L131" s="524"/>
      <c r="M131" s="590"/>
      <c r="N131" s="1155"/>
      <c r="O131" s="1155"/>
      <c r="P131" s="2688"/>
      <c r="Q131" s="504"/>
    </row>
    <row r="132" spans="1:17" ht="14.4"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6" sqref="F3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2528</v>
      </c>
      <c r="B1" s="2673" t="s">
        <v>2702</v>
      </c>
      <c r="C1" s="1623" t="s">
        <v>2530</v>
      </c>
      <c r="D1" s="1624"/>
      <c r="E1" s="1633"/>
      <c r="F1" s="2588"/>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IF(C2="——",ROUND(C43*D3/10000,0),ROUND(C43*D3/10000,0)-D2)</f>
        <v>#DIV/0!</v>
      </c>
      <c r="C2" s="2590"/>
      <c r="D2" s="1127" t="e">
        <f ca="1">SUMIF(INDIRECT("'"&amp;F2&amp;"'"&amp;"!A:A"),"承租人权益价值",INDIRECT("'"&amp;F2&amp;"'"&amp;"!c:c"))</f>
        <v>#REF!</v>
      </c>
      <c r="E2" s="2591" t="s">
        <v>2328</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2329</v>
      </c>
      <c r="B3" s="609" t="e">
        <f ca="1">IF(C2="——",C43,ROUND(B2*10000/D3,0))</f>
        <v>#DIV/0!</v>
      </c>
      <c r="C3" s="400" t="s">
        <v>2644</v>
      </c>
      <c r="D3" s="399">
        <f>IF(D1="",'数据-汇总表'!E3,SUMIF('数据-汇总表'!$C19:$C33,D1,'数据-汇总表'!$E19:$E33))</f>
        <v>36762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192" t="s">
        <v>2646</v>
      </c>
      <c r="D4" s="3193"/>
      <c r="E4" s="3194" t="s">
        <v>2647</v>
      </c>
      <c r="F4" s="3195"/>
      <c r="G4" s="3192" t="s">
        <v>2648</v>
      </c>
      <c r="H4" s="3193"/>
      <c r="I4" s="3192" t="s">
        <v>2649</v>
      </c>
      <c r="J4" s="3193"/>
      <c r="K4" s="610" t="s">
        <v>2650</v>
      </c>
      <c r="L4" s="1133"/>
      <c r="M4" s="1134"/>
      <c r="N4" s="1134"/>
      <c r="O4" s="1134"/>
      <c r="P4" s="3196" t="s">
        <v>2651</v>
      </c>
      <c r="Q4" s="3197"/>
      <c r="R4" s="3179" t="s">
        <v>2647</v>
      </c>
      <c r="S4" s="3180"/>
      <c r="T4" s="3179" t="s">
        <v>2648</v>
      </c>
      <c r="U4" s="3180"/>
      <c r="V4" s="3204" t="s">
        <v>2649</v>
      </c>
      <c r="W4" s="3204"/>
      <c r="X4" s="1816"/>
      <c r="Y4" s="3179" t="s">
        <v>2651</v>
      </c>
      <c r="Z4" s="3180"/>
      <c r="AA4" s="3174" t="s">
        <v>2647</v>
      </c>
      <c r="AB4" s="3175" t="s">
        <v>2648</v>
      </c>
      <c r="AC4" s="3174" t="s">
        <v>2649</v>
      </c>
    </row>
    <row r="5" spans="1:29">
      <c r="A5" s="404"/>
      <c r="B5" s="405"/>
      <c r="C5" s="3185" t="s">
        <v>2542</v>
      </c>
      <c r="D5" s="3186"/>
      <c r="E5" s="3183" t="s">
        <v>2543</v>
      </c>
      <c r="F5" s="3184"/>
      <c r="G5" s="3185" t="s">
        <v>2544</v>
      </c>
      <c r="H5" s="3186"/>
      <c r="I5" s="3185" t="s">
        <v>2545</v>
      </c>
      <c r="J5" s="3186"/>
      <c r="K5" s="610"/>
      <c r="L5" s="1133"/>
      <c r="M5" s="1134"/>
      <c r="N5" s="1134"/>
      <c r="O5" s="1134"/>
      <c r="P5" s="3198"/>
      <c r="Q5" s="3199"/>
      <c r="R5" s="3181"/>
      <c r="S5" s="3182"/>
      <c r="T5" s="3181"/>
      <c r="U5" s="3182"/>
      <c r="V5" s="3204"/>
      <c r="W5" s="3204"/>
      <c r="X5" s="1816"/>
      <c r="Y5" s="3181"/>
      <c r="Z5" s="3182"/>
      <c r="AA5" s="3175"/>
      <c r="AB5" s="3175"/>
      <c r="AC5" s="3175"/>
    </row>
    <row r="6" spans="1:29" ht="15" thickBot="1">
      <c r="A6" s="406"/>
      <c r="B6" s="407"/>
      <c r="C6" s="3187" t="s">
        <v>2546</v>
      </c>
      <c r="D6" s="3188"/>
      <c r="E6" s="3189" t="s">
        <v>2546</v>
      </c>
      <c r="F6" s="3190"/>
      <c r="G6" s="3187" t="s">
        <v>2546</v>
      </c>
      <c r="H6" s="3188"/>
      <c r="I6" s="3187" t="s">
        <v>2546</v>
      </c>
      <c r="J6" s="3188"/>
      <c r="K6" s="610" t="s">
        <v>2547</v>
      </c>
      <c r="L6" s="1133"/>
      <c r="M6" s="1134"/>
      <c r="N6" s="1134"/>
      <c r="O6" s="1134"/>
      <c r="P6" s="3200"/>
      <c r="Q6" s="3201"/>
      <c r="R6" s="3181"/>
      <c r="S6" s="3182"/>
      <c r="T6" s="3202"/>
      <c r="U6" s="3203"/>
      <c r="V6" s="3204"/>
      <c r="W6" s="3204"/>
      <c r="X6" s="1816"/>
      <c r="Y6" s="3202"/>
      <c r="Z6" s="3203"/>
      <c r="AA6" s="3176"/>
      <c r="AB6" s="3176"/>
      <c r="AC6" s="3176"/>
    </row>
    <row r="7" spans="1:29" s="117" customFormat="1" ht="15" thickBot="1">
      <c r="A7" s="408" t="s">
        <v>2548</v>
      </c>
      <c r="B7" s="409"/>
      <c r="C7" s="410">
        <f>'数据-取费表'!B2</f>
        <v>43339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77" t="s">
        <v>2549</v>
      </c>
      <c r="Q7" s="3205"/>
      <c r="R7" s="770" t="s">
        <v>17</v>
      </c>
      <c r="S7" s="771">
        <f t="shared" ref="S7:S15" si="0">F7</f>
        <v>0</v>
      </c>
      <c r="T7" s="770" t="s">
        <v>17</v>
      </c>
      <c r="U7" s="771">
        <f t="shared" ref="U7:U15" si="1">H7</f>
        <v>0</v>
      </c>
      <c r="V7" s="770" t="s">
        <v>17</v>
      </c>
      <c r="W7" s="771">
        <f t="shared" ref="W7:W15" si="2">J7</f>
        <v>0</v>
      </c>
      <c r="X7" s="772"/>
      <c r="Y7" s="3177" t="s">
        <v>2549</v>
      </c>
      <c r="Z7" s="3178"/>
      <c r="AA7" s="773" t="e">
        <f>D7/F7</f>
        <v>#DIV/0!</v>
      </c>
      <c r="AB7" s="773" t="e">
        <f>D7/H7</f>
        <v>#DIV/0!</v>
      </c>
      <c r="AC7" s="773" t="e">
        <f>D7/J7</f>
        <v>#DIV/0!</v>
      </c>
    </row>
    <row r="8" spans="1:29" s="117" customFormat="1" ht="1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77" t="s">
        <v>2552</v>
      </c>
      <c r="Q8" s="3178"/>
      <c r="R8" s="770" t="s">
        <v>17</v>
      </c>
      <c r="S8" s="771">
        <f t="shared" si="0"/>
        <v>0</v>
      </c>
      <c r="T8" s="770" t="s">
        <v>17</v>
      </c>
      <c r="U8" s="771">
        <f t="shared" si="1"/>
        <v>0</v>
      </c>
      <c r="V8" s="770" t="s">
        <v>17</v>
      </c>
      <c r="W8" s="771">
        <f t="shared" si="2"/>
        <v>0</v>
      </c>
      <c r="X8" s="772"/>
      <c r="Y8" s="3177" t="s">
        <v>2552</v>
      </c>
      <c r="Z8" s="3178"/>
      <c r="AA8" s="773" t="e">
        <f t="shared" ref="AA8:AA40" si="3">D8/F8</f>
        <v>#DIV/0!</v>
      </c>
      <c r="AB8" s="773" t="e">
        <f t="shared" ref="AB8:AB40" si="4">D8/H8</f>
        <v>#DIV/0!</v>
      </c>
      <c r="AC8" s="773" t="e">
        <f t="shared" ref="AC8:AC40" si="5">D8/J8</f>
        <v>#DIV/0!</v>
      </c>
    </row>
    <row r="9" spans="1:29" s="117" customFormat="1" ht="14.4">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9" t="s">
        <v>2555</v>
      </c>
      <c r="Q9" s="1798" t="str">
        <f t="shared" ref="Q9:Q15" si="6">B9</f>
        <v>用途</v>
      </c>
      <c r="R9" s="770" t="s">
        <v>17</v>
      </c>
      <c r="S9" s="771">
        <f t="shared" si="0"/>
        <v>100</v>
      </c>
      <c r="T9" s="770" t="s">
        <v>17</v>
      </c>
      <c r="U9" s="771">
        <f t="shared" si="1"/>
        <v>100</v>
      </c>
      <c r="V9" s="770" t="s">
        <v>17</v>
      </c>
      <c r="W9" s="771">
        <f t="shared" si="2"/>
        <v>100</v>
      </c>
      <c r="X9" s="772"/>
      <c r="Y9" s="3024" t="s">
        <v>2556</v>
      </c>
      <c r="Z9" s="55" t="str">
        <f t="shared" ref="Z9:Z15" si="7">Q9</f>
        <v>用途</v>
      </c>
      <c r="AA9" s="773">
        <f t="shared" si="3"/>
        <v>1</v>
      </c>
      <c r="AB9" s="773">
        <f t="shared" si="4"/>
        <v>1</v>
      </c>
      <c r="AC9" s="773">
        <f t="shared" si="5"/>
        <v>1</v>
      </c>
    </row>
    <row r="10" spans="1:29" s="427" customFormat="1" ht="28.8">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9"/>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9"/>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20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20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6"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209"/>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69">
      <c r="A15" s="440" t="s">
        <v>2559</v>
      </c>
      <c r="B15" s="69" t="s">
        <v>2703</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1" t="s">
        <v>2560</v>
      </c>
      <c r="Q15" s="1813" t="str">
        <f t="shared" si="6"/>
        <v>产业集聚程度</v>
      </c>
      <c r="R15" s="774" t="s">
        <v>17</v>
      </c>
      <c r="S15" s="775">
        <f t="shared" si="0"/>
        <v>100</v>
      </c>
      <c r="T15" s="774" t="s">
        <v>17</v>
      </c>
      <c r="U15" s="775">
        <f t="shared" si="1"/>
        <v>100</v>
      </c>
      <c r="V15" s="774" t="s">
        <v>17</v>
      </c>
      <c r="W15" s="775">
        <f t="shared" si="2"/>
        <v>100</v>
      </c>
      <c r="X15" s="1816"/>
      <c r="Y15" s="3211" t="s">
        <v>2560</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2"/>
      <c r="Q16" s="1813"/>
      <c r="R16" s="774"/>
      <c r="S16" s="775"/>
      <c r="T16" s="774"/>
      <c r="U16" s="775"/>
      <c r="V16" s="774"/>
      <c r="W16" s="775"/>
      <c r="X16" s="1816"/>
      <c r="Y16" s="3212"/>
      <c r="Z16" s="1817"/>
      <c r="AA16" s="1814">
        <v>1</v>
      </c>
      <c r="AB16" s="1814">
        <v>1</v>
      </c>
      <c r="AC16" s="1814">
        <v>1</v>
      </c>
    </row>
    <row r="17" spans="1:29" ht="96.6">
      <c r="A17" s="428"/>
      <c r="B17" s="451" t="s">
        <v>2096</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2"/>
      <c r="Q17" s="1813" t="str">
        <f>B17</f>
        <v>交通便捷度</v>
      </c>
      <c r="R17" s="774" t="s">
        <v>17</v>
      </c>
      <c r="S17" s="775">
        <f>F17</f>
        <v>100</v>
      </c>
      <c r="T17" s="774" t="s">
        <v>17</v>
      </c>
      <c r="U17" s="775">
        <f>H17</f>
        <v>100</v>
      </c>
      <c r="V17" s="774" t="s">
        <v>17</v>
      </c>
      <c r="W17" s="775">
        <f>J17</f>
        <v>100</v>
      </c>
      <c r="X17" s="1816"/>
      <c r="Y17" s="3212"/>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212"/>
      <c r="Q18" s="1813"/>
      <c r="R18" s="774"/>
      <c r="S18" s="775"/>
      <c r="T18" s="774"/>
      <c r="U18" s="775"/>
      <c r="V18" s="774"/>
      <c r="W18" s="775"/>
      <c r="X18" s="1816"/>
      <c r="Y18" s="3212"/>
      <c r="Z18" s="1817"/>
      <c r="AA18" s="1814">
        <v>1</v>
      </c>
      <c r="AB18" s="1814">
        <v>1</v>
      </c>
      <c r="AC18" s="1814">
        <v>1</v>
      </c>
    </row>
    <row r="19" spans="1:29" ht="41.4">
      <c r="A19" s="428"/>
      <c r="B19" s="451" t="s">
        <v>2688</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2"/>
      <c r="Q19" s="1813" t="str">
        <f>B19</f>
        <v>公共配套设施</v>
      </c>
      <c r="R19" s="774" t="s">
        <v>17</v>
      </c>
      <c r="S19" s="775">
        <f>F19</f>
        <v>100</v>
      </c>
      <c r="T19" s="774" t="s">
        <v>17</v>
      </c>
      <c r="U19" s="775">
        <f>H19</f>
        <v>100</v>
      </c>
      <c r="V19" s="774" t="s">
        <v>17</v>
      </c>
      <c r="W19" s="775">
        <f>J19</f>
        <v>100</v>
      </c>
      <c r="X19" s="1816"/>
      <c r="Y19" s="3212"/>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212"/>
      <c r="Q20" s="1813"/>
      <c r="R20" s="774"/>
      <c r="S20" s="775"/>
      <c r="T20" s="774"/>
      <c r="U20" s="775"/>
      <c r="V20" s="774"/>
      <c r="W20" s="775"/>
      <c r="X20" s="1816"/>
      <c r="Y20" s="3212"/>
      <c r="Z20" s="1817"/>
      <c r="AA20" s="1814">
        <v>1</v>
      </c>
      <c r="AB20" s="1814">
        <v>1</v>
      </c>
      <c r="AC20" s="1814">
        <v>1</v>
      </c>
    </row>
    <row r="21" spans="1:29" ht="41.4">
      <c r="A21" s="428"/>
      <c r="B21" s="1387" t="s">
        <v>2689</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2"/>
      <c r="Q21" s="1813" t="str">
        <f>B21</f>
        <v>基础设施水平</v>
      </c>
      <c r="R21" s="774" t="s">
        <v>17</v>
      </c>
      <c r="S21" s="775">
        <f>F21</f>
        <v>100</v>
      </c>
      <c r="T21" s="774" t="s">
        <v>17</v>
      </c>
      <c r="U21" s="775">
        <f>H21</f>
        <v>100</v>
      </c>
      <c r="V21" s="774" t="s">
        <v>17</v>
      </c>
      <c r="W21" s="775">
        <f>J21</f>
        <v>100</v>
      </c>
      <c r="X21" s="1816"/>
      <c r="Y21" s="3212"/>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212"/>
      <c r="Q22" s="1813"/>
      <c r="R22" s="774"/>
      <c r="S22" s="775"/>
      <c r="T22" s="774"/>
      <c r="U22" s="775"/>
      <c r="V22" s="774"/>
      <c r="W22" s="775"/>
      <c r="X22" s="1816"/>
      <c r="Y22" s="3212"/>
      <c r="Z22" s="1817"/>
      <c r="AA22" s="1814">
        <v>1</v>
      </c>
      <c r="AB22" s="1814">
        <v>1</v>
      </c>
      <c r="AC22" s="1814">
        <v>1</v>
      </c>
    </row>
    <row r="23" spans="1:29" ht="82.8">
      <c r="A23" s="428"/>
      <c r="B23" s="451" t="s">
        <v>2690</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2"/>
      <c r="Q23" s="1813" t="str">
        <f>B23</f>
        <v>环境质量</v>
      </c>
      <c r="R23" s="774" t="s">
        <v>17</v>
      </c>
      <c r="S23" s="775">
        <f>F23</f>
        <v>100</v>
      </c>
      <c r="T23" s="774" t="s">
        <v>17</v>
      </c>
      <c r="U23" s="775">
        <f>H23</f>
        <v>100</v>
      </c>
      <c r="V23" s="774" t="s">
        <v>17</v>
      </c>
      <c r="W23" s="775">
        <f>J23</f>
        <v>100</v>
      </c>
      <c r="X23" s="1816"/>
      <c r="Y23" s="3212"/>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212"/>
      <c r="Q24" s="1813"/>
      <c r="R24" s="774"/>
      <c r="S24" s="775"/>
      <c r="T24" s="774"/>
      <c r="U24" s="775"/>
      <c r="V24" s="774"/>
      <c r="W24" s="775"/>
      <c r="X24" s="1816"/>
      <c r="Y24" s="321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2"/>
      <c r="Q25" s="1813">
        <f>B25</f>
        <v>111</v>
      </c>
      <c r="R25" s="774" t="s">
        <v>17</v>
      </c>
      <c r="S25" s="775">
        <f>F25</f>
        <v>100</v>
      </c>
      <c r="T25" s="774" t="s">
        <v>17</v>
      </c>
      <c r="U25" s="775">
        <f>H25</f>
        <v>100</v>
      </c>
      <c r="V25" s="774" t="s">
        <v>17</v>
      </c>
      <c r="W25" s="775">
        <f>J25</f>
        <v>100</v>
      </c>
      <c r="X25" s="1816"/>
      <c r="Y25" s="321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2"/>
      <c r="Q26" s="1813">
        <f t="shared" ref="Q26:Q40" si="11">B26</f>
        <v>111</v>
      </c>
      <c r="R26" s="774" t="s">
        <v>17</v>
      </c>
      <c r="S26" s="775">
        <f>F26</f>
        <v>100</v>
      </c>
      <c r="T26" s="774" t="s">
        <v>17</v>
      </c>
      <c r="U26" s="775">
        <f>H26</f>
        <v>100</v>
      </c>
      <c r="V26" s="774" t="s">
        <v>17</v>
      </c>
      <c r="W26" s="775">
        <f>J26</f>
        <v>100</v>
      </c>
      <c r="X26" s="1816"/>
      <c r="Y26" s="321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2"/>
      <c r="Q27" s="1798">
        <f t="shared" si="11"/>
        <v>111</v>
      </c>
      <c r="R27" s="770" t="s">
        <v>17</v>
      </c>
      <c r="S27" s="771">
        <f>F27</f>
        <v>100</v>
      </c>
      <c r="T27" s="770" t="s">
        <v>17</v>
      </c>
      <c r="U27" s="771">
        <f>H27</f>
        <v>100</v>
      </c>
      <c r="V27" s="770" t="s">
        <v>17</v>
      </c>
      <c r="W27" s="771">
        <f>J27</f>
        <v>100</v>
      </c>
      <c r="X27" s="772"/>
      <c r="Y27" s="3212"/>
      <c r="Z27" s="55">
        <f>Q27</f>
        <v>111</v>
      </c>
      <c r="AA27" s="1814">
        <f>D27/F27</f>
        <v>1</v>
      </c>
      <c r="AB27" s="1814">
        <f>D27/H27</f>
        <v>1</v>
      </c>
      <c r="AC27" s="1814">
        <f>D27/J27</f>
        <v>1</v>
      </c>
    </row>
    <row r="28" spans="1:29" ht="15.6"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2"/>
      <c r="Q28" s="1813">
        <f t="shared" si="11"/>
        <v>111</v>
      </c>
      <c r="R28" s="774" t="s">
        <v>17</v>
      </c>
      <c r="S28" s="775">
        <f t="shared" ref="S28:S40" si="12">F28</f>
        <v>100</v>
      </c>
      <c r="T28" s="774" t="s">
        <v>17</v>
      </c>
      <c r="U28" s="775">
        <f t="shared" ref="U28:U40" si="13">H28</f>
        <v>100</v>
      </c>
      <c r="V28" s="774" t="s">
        <v>17</v>
      </c>
      <c r="W28" s="775">
        <f t="shared" ref="W28:W40" si="14">J28</f>
        <v>100</v>
      </c>
      <c r="X28" s="1816"/>
      <c r="Y28" s="3212"/>
      <c r="Z28" s="1817">
        <f t="shared" ref="Z28:Z40" si="15">Q28</f>
        <v>111</v>
      </c>
      <c r="AA28" s="1814">
        <f t="shared" si="3"/>
        <v>1</v>
      </c>
      <c r="AB28" s="1814">
        <f t="shared" si="4"/>
        <v>1</v>
      </c>
      <c r="AC28" s="1814">
        <f t="shared" si="5"/>
        <v>1</v>
      </c>
    </row>
    <row r="29" spans="1:29" ht="30">
      <c r="A29" s="466" t="s">
        <v>2563</v>
      </c>
      <c r="B29" s="71" t="s">
        <v>2693</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35" t="s">
        <v>2565</v>
      </c>
      <c r="Q29" s="1813" t="str">
        <f t="shared" si="11"/>
        <v>建筑类型</v>
      </c>
      <c r="R29" s="774" t="s">
        <v>17</v>
      </c>
      <c r="S29" s="775">
        <f t="shared" si="12"/>
        <v>100</v>
      </c>
      <c r="T29" s="774" t="s">
        <v>17</v>
      </c>
      <c r="U29" s="775">
        <f t="shared" si="13"/>
        <v>100</v>
      </c>
      <c r="V29" s="774" t="s">
        <v>17</v>
      </c>
      <c r="W29" s="775">
        <f t="shared" si="14"/>
        <v>100</v>
      </c>
      <c r="X29" s="1816"/>
      <c r="Y29" s="3216" t="s">
        <v>2565</v>
      </c>
      <c r="Z29" s="1817" t="str">
        <f t="shared" si="15"/>
        <v>建筑类型</v>
      </c>
      <c r="AA29" s="1814">
        <f t="shared" si="3"/>
        <v>1</v>
      </c>
      <c r="AB29" s="1814">
        <f t="shared" si="4"/>
        <v>1</v>
      </c>
      <c r="AC29" s="1814">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16"/>
      <c r="Q30" s="776" t="str">
        <f t="shared" si="11"/>
        <v>项目建筑规模</v>
      </c>
      <c r="R30" s="777" t="s">
        <v>17</v>
      </c>
      <c r="S30" s="778" t="e">
        <f t="shared" si="12"/>
        <v>#N/A</v>
      </c>
      <c r="T30" s="777" t="s">
        <v>17</v>
      </c>
      <c r="U30" s="778" t="e">
        <f t="shared" si="13"/>
        <v>#N/A</v>
      </c>
      <c r="V30" s="777" t="s">
        <v>17</v>
      </c>
      <c r="W30" s="778" t="e">
        <f t="shared" si="14"/>
        <v>#N/A</v>
      </c>
      <c r="X30" s="779"/>
      <c r="Y30" s="3216"/>
      <c r="Z30" s="780" t="str">
        <f t="shared" si="15"/>
        <v>项目建筑规模</v>
      </c>
      <c r="AA30" s="1814" t="e">
        <f t="shared" si="3"/>
        <v>#N/A</v>
      </c>
      <c r="AB30" s="1814" t="e">
        <f t="shared" si="4"/>
        <v>#N/A</v>
      </c>
      <c r="AC30" s="1814"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16"/>
      <c r="Q31" s="1813" t="str">
        <f t="shared" si="11"/>
        <v>建筑结构</v>
      </c>
      <c r="R31" s="774" t="s">
        <v>17</v>
      </c>
      <c r="S31" s="775">
        <f t="shared" si="12"/>
        <v>100</v>
      </c>
      <c r="T31" s="774" t="s">
        <v>17</v>
      </c>
      <c r="U31" s="775">
        <f t="shared" si="13"/>
        <v>100</v>
      </c>
      <c r="V31" s="774" t="s">
        <v>17</v>
      </c>
      <c r="W31" s="775">
        <f t="shared" si="14"/>
        <v>100</v>
      </c>
      <c r="X31" s="1816"/>
      <c r="Y31" s="3216"/>
      <c r="Z31" s="1817" t="str">
        <f t="shared" si="15"/>
        <v>建筑结构</v>
      </c>
      <c r="AA31" s="1814">
        <f t="shared" si="3"/>
        <v>1</v>
      </c>
      <c r="AB31" s="1814">
        <f t="shared" si="4"/>
        <v>1</v>
      </c>
      <c r="AC31" s="1814">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16"/>
      <c r="Q32" s="1813" t="str">
        <f t="shared" si="11"/>
        <v>公共部分装修</v>
      </c>
      <c r="R32" s="774" t="s">
        <v>17</v>
      </c>
      <c r="S32" s="775">
        <f t="shared" si="12"/>
        <v>100</v>
      </c>
      <c r="T32" s="774" t="s">
        <v>17</v>
      </c>
      <c r="U32" s="775">
        <f t="shared" si="13"/>
        <v>100</v>
      </c>
      <c r="V32" s="774" t="s">
        <v>17</v>
      </c>
      <c r="W32" s="775">
        <f t="shared" si="14"/>
        <v>100</v>
      </c>
      <c r="X32" s="1816"/>
      <c r="Y32" s="3216"/>
      <c r="Z32" s="1817" t="str">
        <f t="shared" si="15"/>
        <v>公共部分装修</v>
      </c>
      <c r="AA32" s="1814">
        <f t="shared" si="3"/>
        <v>1</v>
      </c>
      <c r="AB32" s="1814">
        <f t="shared" si="4"/>
        <v>1</v>
      </c>
      <c r="AC32" s="1814">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16"/>
      <c r="Q33" s="1813" t="str">
        <f t="shared" si="11"/>
        <v>成新度</v>
      </c>
      <c r="R33" s="774" t="s">
        <v>17</v>
      </c>
      <c r="S33" s="775" t="e">
        <f t="shared" si="12"/>
        <v>#N/A</v>
      </c>
      <c r="T33" s="774" t="s">
        <v>17</v>
      </c>
      <c r="U33" s="775" t="e">
        <f t="shared" si="13"/>
        <v>#N/A</v>
      </c>
      <c r="V33" s="774" t="s">
        <v>17</v>
      </c>
      <c r="W33" s="775" t="e">
        <f t="shared" si="14"/>
        <v>#N/A</v>
      </c>
      <c r="X33" s="1816"/>
      <c r="Y33" s="3216"/>
      <c r="Z33" s="1817" t="str">
        <f t="shared" si="15"/>
        <v>成新度</v>
      </c>
      <c r="AA33" s="1814" t="e">
        <f t="shared" si="3"/>
        <v>#N/A</v>
      </c>
      <c r="AB33" s="1814" t="e">
        <f t="shared" si="4"/>
        <v>#N/A</v>
      </c>
      <c r="AC33" s="1814"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16"/>
      <c r="Q34" s="1798" t="str">
        <f t="shared" si="11"/>
        <v>物业管理</v>
      </c>
      <c r="R34" s="770" t="s">
        <v>17</v>
      </c>
      <c r="S34" s="771">
        <f t="shared" si="12"/>
        <v>100</v>
      </c>
      <c r="T34" s="770" t="s">
        <v>17</v>
      </c>
      <c r="U34" s="771">
        <f t="shared" si="13"/>
        <v>100</v>
      </c>
      <c r="V34" s="770" t="s">
        <v>17</v>
      </c>
      <c r="W34" s="771">
        <f t="shared" si="14"/>
        <v>100</v>
      </c>
      <c r="X34" s="772"/>
      <c r="Y34" s="3216"/>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16" t="s">
        <v>2565</v>
      </c>
      <c r="Q35" s="1813" t="str">
        <f t="shared" si="11"/>
        <v>市政基础设施</v>
      </c>
      <c r="R35" s="774" t="s">
        <v>17</v>
      </c>
      <c r="S35" s="775">
        <f t="shared" si="12"/>
        <v>100</v>
      </c>
      <c r="T35" s="774" t="s">
        <v>17</v>
      </c>
      <c r="U35" s="775">
        <f t="shared" si="13"/>
        <v>100</v>
      </c>
      <c r="V35" s="774" t="s">
        <v>17</v>
      </c>
      <c r="W35" s="775">
        <f t="shared" si="14"/>
        <v>100</v>
      </c>
      <c r="X35" s="1816"/>
      <c r="Y35" s="3216" t="s">
        <v>2565</v>
      </c>
      <c r="Z35" s="1817" t="str">
        <f t="shared" si="15"/>
        <v>市政基础设施</v>
      </c>
      <c r="AA35" s="1814">
        <f t="shared" si="3"/>
        <v>1</v>
      </c>
      <c r="AB35" s="1814">
        <f t="shared" si="4"/>
        <v>1</v>
      </c>
      <c r="AC35" s="1814">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16"/>
      <c r="Q36" s="1813" t="str">
        <f t="shared" si="11"/>
        <v>内部装修</v>
      </c>
      <c r="R36" s="774" t="s">
        <v>17</v>
      </c>
      <c r="S36" s="775">
        <f t="shared" si="12"/>
        <v>100</v>
      </c>
      <c r="T36" s="774" t="s">
        <v>17</v>
      </c>
      <c r="U36" s="775">
        <f t="shared" si="13"/>
        <v>100</v>
      </c>
      <c r="V36" s="774" t="s">
        <v>17</v>
      </c>
      <c r="W36" s="775">
        <f t="shared" si="14"/>
        <v>100</v>
      </c>
      <c r="X36" s="1816"/>
      <c r="Y36" s="3216"/>
      <c r="Z36" s="1817" t="str">
        <f t="shared" si="15"/>
        <v>内部装修</v>
      </c>
      <c r="AA36" s="1814">
        <f t="shared" si="3"/>
        <v>1</v>
      </c>
      <c r="AB36" s="1814">
        <f t="shared" si="4"/>
        <v>1</v>
      </c>
      <c r="AC36" s="1814">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16"/>
      <c r="Q37" s="1813" t="str">
        <f t="shared" si="11"/>
        <v>内部装修状况</v>
      </c>
      <c r="R37" s="774" t="s">
        <v>17</v>
      </c>
      <c r="S37" s="775">
        <f t="shared" si="12"/>
        <v>100</v>
      </c>
      <c r="T37" s="774" t="s">
        <v>17</v>
      </c>
      <c r="U37" s="775">
        <f t="shared" si="13"/>
        <v>100</v>
      </c>
      <c r="V37" s="774" t="s">
        <v>17</v>
      </c>
      <c r="W37" s="775">
        <f t="shared" si="14"/>
        <v>100</v>
      </c>
      <c r="X37" s="1816"/>
      <c r="Y37" s="321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16"/>
      <c r="Q38" s="776">
        <f t="shared" si="11"/>
        <v>111</v>
      </c>
      <c r="R38" s="777" t="s">
        <v>17</v>
      </c>
      <c r="S38" s="778">
        <f t="shared" si="12"/>
        <v>100</v>
      </c>
      <c r="T38" s="777" t="s">
        <v>17</v>
      </c>
      <c r="U38" s="778">
        <f t="shared" si="13"/>
        <v>100</v>
      </c>
      <c r="V38" s="777" t="s">
        <v>17</v>
      </c>
      <c r="W38" s="778">
        <f t="shared" si="14"/>
        <v>100</v>
      </c>
      <c r="X38" s="779"/>
      <c r="Y38" s="321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16"/>
      <c r="Q39" s="1813">
        <f t="shared" si="11"/>
        <v>111</v>
      </c>
      <c r="R39" s="774" t="s">
        <v>17</v>
      </c>
      <c r="S39" s="775">
        <f t="shared" si="12"/>
        <v>100</v>
      </c>
      <c r="T39" s="774" t="s">
        <v>17</v>
      </c>
      <c r="U39" s="775">
        <f t="shared" si="13"/>
        <v>100</v>
      </c>
      <c r="V39" s="774" t="s">
        <v>17</v>
      </c>
      <c r="W39" s="775">
        <f t="shared" si="14"/>
        <v>100</v>
      </c>
      <c r="X39" s="1816"/>
      <c r="Y39" s="3216"/>
      <c r="Z39" s="1817">
        <f t="shared" si="15"/>
        <v>111</v>
      </c>
      <c r="AA39" s="1814">
        <f t="shared" si="3"/>
        <v>1</v>
      </c>
      <c r="AB39" s="1814">
        <f t="shared" si="4"/>
        <v>1</v>
      </c>
      <c r="AC39" s="1814">
        <f t="shared" si="5"/>
        <v>1</v>
      </c>
    </row>
    <row r="40" spans="1:29" ht="15.6"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7"/>
      <c r="Q40" s="1813">
        <f t="shared" si="11"/>
        <v>111</v>
      </c>
      <c r="R40" s="774" t="s">
        <v>17</v>
      </c>
      <c r="S40" s="775">
        <f t="shared" si="12"/>
        <v>100</v>
      </c>
      <c r="T40" s="774" t="s">
        <v>17</v>
      </c>
      <c r="U40" s="775">
        <f t="shared" si="13"/>
        <v>100</v>
      </c>
      <c r="V40" s="774" t="s">
        <v>17</v>
      </c>
      <c r="W40" s="775">
        <f t="shared" si="14"/>
        <v>100</v>
      </c>
      <c r="X40" s="1816"/>
      <c r="Y40" s="3217"/>
      <c r="Z40" s="1817">
        <f t="shared" si="15"/>
        <v>111</v>
      </c>
      <c r="AA40" s="1814">
        <f t="shared" si="3"/>
        <v>1</v>
      </c>
      <c r="AB40" s="1814">
        <f t="shared" si="4"/>
        <v>1</v>
      </c>
      <c r="AC40" s="1814">
        <f t="shared" si="5"/>
        <v>1</v>
      </c>
    </row>
    <row r="41" spans="1:29" ht="14.4">
      <c r="A41" s="479" t="s">
        <v>2577</v>
      </c>
      <c r="B41" s="480"/>
      <c r="C41" s="1410" t="s">
        <v>1</v>
      </c>
      <c r="D41" s="1411"/>
      <c r="E41" s="1412"/>
      <c r="F41" s="1413"/>
      <c r="G41" s="1414"/>
      <c r="H41" s="1415"/>
      <c r="I41" s="1412"/>
      <c r="J41" s="1415"/>
      <c r="K41" s="783"/>
      <c r="L41" s="1146"/>
      <c r="M41" s="1147"/>
      <c r="N41" s="1134"/>
      <c r="O41" s="1147"/>
      <c r="P41" s="3209" t="str">
        <f>A41</f>
        <v>成交单价（元/平方米）</v>
      </c>
      <c r="Q41" s="3209"/>
      <c r="R41" s="3210">
        <f>E41</f>
        <v>0</v>
      </c>
      <c r="S41" s="3210"/>
      <c r="T41" s="3210">
        <f>G41</f>
        <v>0</v>
      </c>
      <c r="U41" s="3210"/>
      <c r="V41" s="3210">
        <f>I41</f>
        <v>0</v>
      </c>
      <c r="W41" s="3210"/>
      <c r="X41" s="759"/>
      <c r="Y41" s="781"/>
      <c r="Z41" s="759"/>
      <c r="AA41" s="759"/>
      <c r="AB41" s="759"/>
      <c r="AC41" s="759"/>
    </row>
    <row r="42" spans="1:29" ht="15" thickBot="1">
      <c r="A42" s="486" t="s">
        <v>2669</v>
      </c>
      <c r="B42" s="487"/>
      <c r="C42" s="1416" t="e">
        <f>R43</f>
        <v>#DIV/0!</v>
      </c>
      <c r="D42" s="1417"/>
      <c r="E42" s="1418" t="e">
        <f>R42</f>
        <v>#DIV/0!</v>
      </c>
      <c r="F42" s="1418"/>
      <c r="G42" s="1416" t="e">
        <f>T42</f>
        <v>#DIV/0!</v>
      </c>
      <c r="H42" s="1417"/>
      <c r="I42" s="1418" t="e">
        <f>V42</f>
        <v>#DIV/0!</v>
      </c>
      <c r="J42" s="1417"/>
      <c r="K42" s="784"/>
      <c r="L42" s="1146"/>
      <c r="M42" s="1147"/>
      <c r="N42" s="1134"/>
      <c r="O42" s="1147"/>
      <c r="P42" s="3209" t="str">
        <f>A42</f>
        <v>比较价值（元/平方米）</v>
      </c>
      <c r="Q42" s="3209"/>
      <c r="R42" s="3210" t="e">
        <f>IF(F1="售价",ROUND(PRODUCT(R41,AA7:AA40),0),ROUND(PRODUCT(R41,AA7:AA40),1))</f>
        <v>#DIV/0!</v>
      </c>
      <c r="S42" s="3210"/>
      <c r="T42" s="3210" t="e">
        <f>IF(F1="售价",ROUND(PRODUCT(T41,AB7:AB40),0),ROUND(PRODUCT(T41,AB7:AB40),1))</f>
        <v>#DIV/0!</v>
      </c>
      <c r="U42" s="3210"/>
      <c r="V42" s="3210" t="e">
        <f>IF(F1="售价",ROUND(PRODUCT(V41,AC7:AC40),0),ROUND(PRODUCT(V41,AC7:AC40),1))</f>
        <v>#DIV/0!</v>
      </c>
      <c r="W42" s="3210"/>
      <c r="X42" s="759"/>
      <c r="Y42" s="759"/>
      <c r="Z42" s="759"/>
      <c r="AA42" s="759"/>
      <c r="AB42" s="759"/>
      <c r="AC42" s="759"/>
    </row>
    <row r="43" spans="1:29" ht="15" thickBot="1">
      <c r="A43" s="492" t="s">
        <v>2670</v>
      </c>
      <c r="B43" s="493"/>
      <c r="C43" s="1420" t="e">
        <f>R43</f>
        <v>#DIV/0!</v>
      </c>
      <c r="D43" s="1420"/>
      <c r="E43" s="1420"/>
      <c r="F43" s="1420"/>
      <c r="G43" s="1420"/>
      <c r="H43" s="1420"/>
      <c r="I43" s="1420"/>
      <c r="J43" s="1420"/>
      <c r="K43" s="785"/>
      <c r="L43" s="1146"/>
      <c r="M43" s="1147"/>
      <c r="N43" s="1147"/>
      <c r="O43" s="1147"/>
      <c r="P43" s="3206" t="str">
        <f>A43</f>
        <v>估价对象XX用房的比较价值（楼面单价，元/平方米）</v>
      </c>
      <c r="Q43" s="3207"/>
      <c r="R43" s="3208" t="e">
        <f>IF(F1="售价",ROUND(AVERAGE(R42:V42),0),ROUND(AVERAGE(R42:V42),1))</f>
        <v>#DIV/0!</v>
      </c>
      <c r="S43" s="3208"/>
      <c r="T43" s="3208"/>
      <c r="U43" s="3208"/>
      <c r="V43" s="3208"/>
      <c r="W43" s="320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2.2" thickBot="1">
      <c r="A51" s="763" t="s">
        <v>2674</v>
      </c>
      <c r="B51" s="759"/>
      <c r="C51" s="764"/>
      <c r="D51" s="764"/>
      <c r="E51" s="764"/>
      <c r="F51" s="765"/>
      <c r="G51" s="765"/>
      <c r="H51" s="764"/>
      <c r="I51" s="764"/>
      <c r="J51" s="764"/>
      <c r="K51" s="1163"/>
      <c r="L51" s="1164"/>
      <c r="M51" s="1162"/>
      <c r="N51" s="1162"/>
      <c r="O51" s="1162"/>
      <c r="P51" s="503"/>
      <c r="Q51" s="504"/>
    </row>
    <row r="52" spans="1:17" s="508" customFormat="1" ht="14.4">
      <c r="A52" s="505" t="s">
        <v>2548</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c r="A53" s="509"/>
      <c r="B53" s="510"/>
      <c r="C53" s="1576">
        <v>100</v>
      </c>
      <c r="D53" s="512"/>
      <c r="E53" s="512"/>
      <c r="F53" s="512"/>
      <c r="G53" s="512"/>
      <c r="H53" s="512"/>
      <c r="I53" s="512"/>
      <c r="J53" s="512"/>
      <c r="K53" s="512"/>
      <c r="L53" s="512"/>
      <c r="M53" s="513"/>
      <c r="N53" s="512"/>
      <c r="O53" s="514"/>
      <c r="P53" s="504"/>
    </row>
    <row r="54" spans="1:17" s="117" customFormat="1" ht="15" thickBot="1">
      <c r="A54" s="515" t="s">
        <v>2585</v>
      </c>
      <c r="B54" s="516"/>
      <c r="C54" s="517"/>
      <c r="D54" s="518"/>
      <c r="E54" s="518"/>
      <c r="F54" s="518"/>
      <c r="G54" s="518"/>
      <c r="H54" s="518"/>
      <c r="I54" s="518"/>
      <c r="J54" s="518"/>
      <c r="K54" s="518"/>
      <c r="L54" s="518"/>
      <c r="M54" s="519"/>
      <c r="N54" s="518"/>
      <c r="O54" s="520"/>
      <c r="P54" s="504"/>
      <c r="Q54" s="504"/>
    </row>
    <row r="55" spans="1:17" s="117" customFormat="1" ht="14.4">
      <c r="A55" s="521" t="s">
        <v>2550</v>
      </c>
      <c r="B55" s="510"/>
      <c r="C55" s="522" t="s">
        <v>2652</v>
      </c>
      <c r="D55" s="523"/>
      <c r="E55" s="523"/>
      <c r="F55" s="523"/>
      <c r="G55" s="523"/>
      <c r="H55" s="523"/>
      <c r="I55" s="523"/>
      <c r="J55" s="523"/>
      <c r="K55" s="523"/>
      <c r="L55" s="524"/>
      <c r="M55" s="525"/>
      <c r="N55" s="1154"/>
      <c r="O55" s="1154"/>
      <c r="P55" s="526"/>
      <c r="Q55" s="504"/>
    </row>
    <row r="56" spans="1:17" s="117" customFormat="1" ht="14.4" thickBot="1">
      <c r="A56" s="521"/>
      <c r="B56" s="510"/>
      <c r="C56" s="639">
        <v>100</v>
      </c>
      <c r="D56" s="512"/>
      <c r="E56" s="512"/>
      <c r="F56" s="512"/>
      <c r="G56" s="512"/>
      <c r="H56" s="512"/>
      <c r="I56" s="512"/>
      <c r="J56" s="512"/>
      <c r="K56" s="512"/>
      <c r="L56" s="512"/>
      <c r="M56" s="514"/>
      <c r="N56" s="1154"/>
      <c r="O56" s="1154"/>
      <c r="P56" s="504"/>
      <c r="Q56" s="504"/>
    </row>
    <row r="57" spans="1:17" ht="14.4">
      <c r="A57" s="527" t="s">
        <v>2588</v>
      </c>
      <c r="B57" s="528" t="s">
        <v>2554</v>
      </c>
      <c r="C57" s="529">
        <f>C9</f>
        <v>0</v>
      </c>
      <c r="D57" s="530"/>
      <c r="E57" s="530"/>
      <c r="F57" s="530"/>
      <c r="G57" s="530"/>
      <c r="H57" s="530"/>
      <c r="I57" s="530"/>
      <c r="J57" s="530"/>
      <c r="K57" s="531"/>
      <c r="L57" s="532"/>
      <c r="M57" s="533"/>
      <c r="N57" s="1155"/>
      <c r="O57" s="1155"/>
      <c r="P57" s="45"/>
      <c r="Q57" s="504"/>
    </row>
    <row r="58" spans="1:17" ht="14.4" thickBot="1">
      <c r="A58" s="534"/>
      <c r="B58" s="535"/>
      <c r="C58" s="536">
        <v>100</v>
      </c>
      <c r="D58" s="536"/>
      <c r="E58" s="536"/>
      <c r="F58" s="536"/>
      <c r="G58" s="536"/>
      <c r="H58" s="536"/>
      <c r="I58" s="536"/>
      <c r="J58" s="536"/>
      <c r="K58" s="536"/>
      <c r="L58" s="536"/>
      <c r="M58" s="537"/>
      <c r="N58" s="1156"/>
      <c r="O58" s="1156"/>
      <c r="P58" s="45"/>
      <c r="Q58" s="504"/>
    </row>
    <row r="59" spans="1:17" ht="29.4"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c r="A62" s="534"/>
      <c r="B62" s="548"/>
      <c r="C62" s="549"/>
      <c r="D62" s="549"/>
      <c r="E62" s="549"/>
      <c r="F62" s="549"/>
      <c r="G62" s="549"/>
      <c r="H62" s="549"/>
      <c r="I62" s="549"/>
      <c r="J62" s="549"/>
      <c r="K62" s="550"/>
      <c r="L62" s="551"/>
      <c r="M62" s="552"/>
      <c r="N62" s="1155"/>
      <c r="O62" s="1155"/>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4.4" thickTop="1">
      <c r="A64" s="553"/>
      <c r="B64" s="538">
        <f>B12</f>
        <v>111</v>
      </c>
      <c r="C64" s="554"/>
      <c r="D64" s="554"/>
      <c r="E64" s="554"/>
      <c r="F64" s="554"/>
      <c r="G64" s="554"/>
      <c r="H64" s="555"/>
      <c r="I64" s="555"/>
      <c r="J64" s="555"/>
      <c r="K64" s="555"/>
      <c r="L64" s="556"/>
      <c r="M64" s="557"/>
      <c r="N64" s="1157"/>
      <c r="O64" s="1157"/>
      <c r="P64" s="558"/>
      <c r="Q64" s="559"/>
    </row>
    <row r="65" spans="1:17" s="471" customFormat="1" ht="14.4" thickBot="1">
      <c r="A65" s="553"/>
      <c r="B65" s="543"/>
      <c r="C65" s="560"/>
      <c r="D65" s="536"/>
      <c r="E65" s="536"/>
      <c r="F65" s="536"/>
      <c r="G65" s="536"/>
      <c r="H65" s="536"/>
      <c r="I65" s="536"/>
      <c r="J65" s="536"/>
      <c r="K65" s="536"/>
      <c r="L65" s="536"/>
      <c r="M65" s="537"/>
      <c r="N65" s="1156"/>
      <c r="O65" s="1156"/>
      <c r="P65" s="558"/>
      <c r="Q65" s="559"/>
    </row>
    <row r="66" spans="1:17" s="471" customFormat="1" ht="14.4" thickTop="1">
      <c r="A66" s="553"/>
      <c r="B66" s="538">
        <f>B13</f>
        <v>111</v>
      </c>
      <c r="C66" s="554"/>
      <c r="D66" s="554"/>
      <c r="E66" s="554"/>
      <c r="F66" s="554"/>
      <c r="G66" s="554"/>
      <c r="H66" s="555"/>
      <c r="I66" s="555"/>
      <c r="J66" s="555"/>
      <c r="K66" s="555"/>
      <c r="L66" s="556"/>
      <c r="M66" s="557"/>
      <c r="N66" s="1157"/>
      <c r="O66" s="1157"/>
      <c r="P66" s="470"/>
      <c r="Q66" s="561"/>
    </row>
    <row r="67" spans="1:17" s="471" customFormat="1" ht="14.4" thickBot="1">
      <c r="A67" s="553"/>
      <c r="B67" s="543"/>
      <c r="C67" s="560"/>
      <c r="D67" s="536"/>
      <c r="E67" s="536"/>
      <c r="F67" s="536"/>
      <c r="G67" s="560"/>
      <c r="H67" s="562"/>
      <c r="I67" s="562"/>
      <c r="J67" s="562"/>
      <c r="K67" s="562"/>
      <c r="L67" s="562"/>
      <c r="M67" s="563"/>
      <c r="N67" s="1157"/>
      <c r="O67" s="1157"/>
      <c r="P67" s="558"/>
      <c r="Q67" s="559"/>
    </row>
    <row r="68" spans="1:17" s="471" customFormat="1" ht="14.4" thickTop="1">
      <c r="A68" s="553"/>
      <c r="B68" s="546">
        <f>B14</f>
        <v>111</v>
      </c>
      <c r="C68" s="523"/>
      <c r="D68" s="523"/>
      <c r="E68" s="523"/>
      <c r="F68" s="523"/>
      <c r="G68" s="523"/>
      <c r="H68" s="564"/>
      <c r="I68" s="564"/>
      <c r="J68" s="564"/>
      <c r="K68" s="564"/>
      <c r="L68" s="565"/>
      <c r="M68" s="566"/>
      <c r="N68" s="1157"/>
      <c r="O68" s="1157"/>
      <c r="P68" s="567"/>
      <c r="Q68" s="559"/>
    </row>
    <row r="69" spans="1:17" s="471" customFormat="1" ht="14.4" thickBot="1">
      <c r="A69" s="568"/>
      <c r="B69" s="569"/>
      <c r="C69" s="570"/>
      <c r="D69" s="570"/>
      <c r="E69" s="570"/>
      <c r="F69" s="570"/>
      <c r="G69" s="570"/>
      <c r="H69" s="571"/>
      <c r="I69" s="571"/>
      <c r="J69" s="571"/>
      <c r="K69" s="571"/>
      <c r="L69" s="571"/>
      <c r="M69" s="572"/>
      <c r="N69" s="1157"/>
      <c r="O69" s="1157"/>
      <c r="P69" s="558"/>
      <c r="Q69" s="559"/>
    </row>
    <row r="70" spans="1:17" ht="14.4">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 thickTop="1">
      <c r="A76" s="534"/>
      <c r="B76" s="546" t="s">
        <v>2689</v>
      </c>
      <c r="C76" s="660" t="s">
        <v>2675</v>
      </c>
      <c r="D76" s="660" t="s">
        <v>2676</v>
      </c>
      <c r="E76" s="660" t="s">
        <v>2677</v>
      </c>
      <c r="F76" s="660" t="s">
        <v>2678</v>
      </c>
      <c r="G76" s="660" t="s">
        <v>2679</v>
      </c>
      <c r="H76" s="539"/>
      <c r="I76" s="539"/>
      <c r="J76" s="539"/>
      <c r="K76" s="539"/>
      <c r="L76" s="539"/>
      <c r="M76" s="1385"/>
      <c r="N76" s="1156"/>
      <c r="O76" s="1156"/>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4.4" thickTop="1">
      <c r="A80" s="579"/>
      <c r="B80" s="538">
        <f>B25</f>
        <v>111</v>
      </c>
      <c r="C80" s="554"/>
      <c r="D80" s="554"/>
      <c r="E80" s="554"/>
      <c r="F80" s="554"/>
      <c r="G80" s="554"/>
      <c r="H80" s="554"/>
      <c r="I80" s="554"/>
      <c r="J80" s="554"/>
      <c r="K80" s="554"/>
      <c r="L80" s="580"/>
      <c r="M80" s="581"/>
      <c r="N80" s="1154"/>
      <c r="O80" s="1154"/>
      <c r="P80" s="45"/>
      <c r="Q80" s="504"/>
    </row>
    <row r="81" spans="1:17" s="117" customFormat="1" ht="14.4" thickBot="1">
      <c r="A81" s="579"/>
      <c r="B81" s="543"/>
      <c r="C81" s="560"/>
      <c r="D81" s="536"/>
      <c r="E81" s="536"/>
      <c r="F81" s="536"/>
      <c r="G81" s="536"/>
      <c r="H81" s="536"/>
      <c r="I81" s="536"/>
      <c r="J81" s="536"/>
      <c r="K81" s="536"/>
      <c r="L81" s="536"/>
      <c r="M81" s="537"/>
      <c r="N81" s="1156"/>
      <c r="O81" s="1156"/>
      <c r="P81" s="45"/>
      <c r="Q81" s="504"/>
    </row>
    <row r="82" spans="1:17" s="117" customFormat="1" ht="14.4" thickTop="1">
      <c r="A82" s="579"/>
      <c r="B82" s="538">
        <f>B26</f>
        <v>111</v>
      </c>
      <c r="C82" s="554"/>
      <c r="D82" s="554"/>
      <c r="E82" s="554"/>
      <c r="F82" s="554"/>
      <c r="G82" s="554"/>
      <c r="H82" s="554"/>
      <c r="I82" s="554"/>
      <c r="J82" s="554"/>
      <c r="K82" s="554"/>
      <c r="L82" s="580"/>
      <c r="M82" s="581"/>
      <c r="N82" s="1154"/>
      <c r="O82" s="1154"/>
      <c r="P82" s="45"/>
      <c r="Q82" s="504"/>
    </row>
    <row r="83" spans="1:17" s="117" customFormat="1" ht="14.4" thickBot="1">
      <c r="A83" s="579"/>
      <c r="B83" s="543"/>
      <c r="C83" s="560"/>
      <c r="D83" s="536"/>
      <c r="E83" s="536"/>
      <c r="F83" s="536"/>
      <c r="G83" s="536"/>
      <c r="H83" s="536"/>
      <c r="I83" s="536"/>
      <c r="J83" s="536"/>
      <c r="K83" s="536"/>
      <c r="L83" s="536"/>
      <c r="M83" s="537"/>
      <c r="N83" s="1156"/>
      <c r="O83" s="1156"/>
      <c r="P83" s="45"/>
      <c r="Q83" s="504"/>
    </row>
    <row r="84" spans="1:17" s="471" customFormat="1" ht="14.4" thickTop="1">
      <c r="A84" s="553"/>
      <c r="B84" s="538">
        <f>B27</f>
        <v>111</v>
      </c>
      <c r="C84" s="554"/>
      <c r="D84" s="554"/>
      <c r="E84" s="554"/>
      <c r="F84" s="554"/>
      <c r="G84" s="554"/>
      <c r="H84" s="554"/>
      <c r="I84" s="554"/>
      <c r="J84" s="554"/>
      <c r="K84" s="554"/>
      <c r="L84" s="580"/>
      <c r="M84" s="581"/>
      <c r="N84" s="1157"/>
      <c r="O84" s="1157"/>
      <c r="P84" s="558"/>
      <c r="Q84" s="559"/>
    </row>
    <row r="85" spans="1:17" s="471" customFormat="1" ht="14.4" thickBot="1">
      <c r="A85" s="553"/>
      <c r="B85" s="543"/>
      <c r="C85" s="560"/>
      <c r="D85" s="536"/>
      <c r="E85" s="536"/>
      <c r="F85" s="536"/>
      <c r="G85" s="536"/>
      <c r="H85" s="536"/>
      <c r="I85" s="536"/>
      <c r="J85" s="536"/>
      <c r="K85" s="536"/>
      <c r="L85" s="536"/>
      <c r="M85" s="537"/>
      <c r="N85" s="1157"/>
      <c r="O85" s="1157"/>
      <c r="P85" s="558"/>
      <c r="Q85" s="559"/>
    </row>
    <row r="86" spans="1:17" ht="14.4" thickTop="1">
      <c r="A86" s="534"/>
      <c r="B86" s="546">
        <f>B28</f>
        <v>111</v>
      </c>
      <c r="C86" s="523"/>
      <c r="D86" s="523"/>
      <c r="E86" s="523"/>
      <c r="F86" s="523"/>
      <c r="G86" s="587"/>
      <c r="H86" s="587"/>
      <c r="I86" s="587"/>
      <c r="J86" s="587"/>
      <c r="K86" s="588"/>
      <c r="L86" s="589"/>
      <c r="M86" s="590"/>
      <c r="N86" s="1155"/>
      <c r="O86" s="1155"/>
      <c r="P86" s="45"/>
      <c r="Q86" s="504"/>
    </row>
    <row r="87" spans="1:17" ht="14.4" thickBot="1">
      <c r="A87" s="2640"/>
      <c r="B87" s="569"/>
      <c r="C87" s="570"/>
      <c r="D87" s="570"/>
      <c r="E87" s="570"/>
      <c r="F87" s="570"/>
      <c r="G87" s="591"/>
      <c r="H87" s="591"/>
      <c r="I87" s="591"/>
      <c r="J87" s="591"/>
      <c r="K87" s="591"/>
      <c r="L87" s="591"/>
      <c r="M87" s="592"/>
      <c r="N87" s="1156"/>
      <c r="O87" s="1156"/>
      <c r="P87" s="45"/>
      <c r="Q87" s="504"/>
    </row>
    <row r="88" spans="1:17" ht="14.4">
      <c r="A88" s="527" t="s">
        <v>2563</v>
      </c>
      <c r="B88" s="528" t="s">
        <v>2612</v>
      </c>
      <c r="C88" s="530"/>
      <c r="D88" s="530"/>
      <c r="E88" s="530"/>
      <c r="F88" s="530"/>
      <c r="G88" s="530"/>
      <c r="H88" s="530"/>
      <c r="I88" s="530"/>
      <c r="J88" s="530"/>
      <c r="K88" s="531"/>
      <c r="L88" s="532"/>
      <c r="M88" s="533"/>
      <c r="N88" s="1155"/>
      <c r="O88" s="1155"/>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4.4"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29.4"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4.4"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4.4" thickBot="1">
      <c r="A109" s="553"/>
      <c r="B109" s="535"/>
      <c r="C109" s="560"/>
      <c r="D109" s="536"/>
      <c r="E109" s="536"/>
      <c r="F109" s="536"/>
      <c r="G109" s="560"/>
      <c r="H109" s="562"/>
      <c r="I109" s="562"/>
      <c r="J109" s="562"/>
      <c r="K109" s="562"/>
      <c r="L109" s="562"/>
      <c r="M109" s="563"/>
      <c r="N109" s="1157"/>
      <c r="O109" s="1157"/>
      <c r="P109" s="558"/>
      <c r="Q109" s="559"/>
    </row>
    <row r="110" spans="1:17" ht="14.4" thickTop="1">
      <c r="A110" s="599"/>
      <c r="B110" s="538">
        <f>B39</f>
        <v>111</v>
      </c>
      <c r="C110" s="554"/>
      <c r="D110" s="554"/>
      <c r="E110" s="554"/>
      <c r="F110" s="554"/>
      <c r="G110" s="554"/>
      <c r="H110" s="555"/>
      <c r="I110" s="555"/>
      <c r="J110" s="555"/>
      <c r="K110" s="555"/>
      <c r="L110" s="556"/>
      <c r="M110" s="557"/>
      <c r="N110" s="1155"/>
      <c r="O110" s="1155"/>
      <c r="P110" s="45"/>
      <c r="Q110" s="504"/>
    </row>
    <row r="111" spans="1:17" ht="14.4" thickBot="1">
      <c r="A111" s="534"/>
      <c r="B111" s="543"/>
      <c r="C111" s="560"/>
      <c r="D111" s="536"/>
      <c r="E111" s="536"/>
      <c r="F111" s="536"/>
      <c r="G111" s="560"/>
      <c r="H111" s="562"/>
      <c r="I111" s="562"/>
      <c r="J111" s="562"/>
      <c r="K111" s="562"/>
      <c r="L111" s="562"/>
      <c r="M111" s="563"/>
      <c r="N111" s="1156"/>
      <c r="O111" s="1156"/>
      <c r="P111" s="45"/>
      <c r="Q111" s="504"/>
    </row>
    <row r="112" spans="1:17" ht="14.4" thickTop="1">
      <c r="A112" s="599"/>
      <c r="B112" s="546">
        <f>B40</f>
        <v>111</v>
      </c>
      <c r="C112" s="523"/>
      <c r="D112" s="523"/>
      <c r="E112" s="523"/>
      <c r="F112" s="523"/>
      <c r="G112" s="587"/>
      <c r="H112" s="587"/>
      <c r="I112" s="587"/>
      <c r="J112" s="587"/>
      <c r="K112" s="523"/>
      <c r="L112" s="524"/>
      <c r="M112" s="590"/>
      <c r="N112" s="1155"/>
      <c r="O112" s="1155"/>
      <c r="P112" s="45"/>
      <c r="Q112" s="504"/>
    </row>
    <row r="113" spans="1:17" ht="14.4"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8" customWidth="1"/>
    <col min="2" max="16384" width="9" style="1948"/>
  </cols>
  <sheetData>
    <row r="1" spans="1:1" ht="22.8">
      <c r="A1" s="1947" t="s">
        <v>1611</v>
      </c>
    </row>
    <row r="2" spans="1:1">
      <c r="A2" s="1949"/>
    </row>
    <row r="3" spans="1:1" ht="17.399999999999999">
      <c r="A3" s="1950" t="str">
        <f>项目基本情况!B5&amp;"："</f>
        <v>廊坊京磁精密材料有限公司：</v>
      </c>
    </row>
    <row r="4" spans="1:1" ht="34.799999999999997">
      <c r="A4" s="1951" t="str">
        <f>"受贵公司委托，我公司对"&amp;项目基本情况!S1&amp;"进行了预评估。"</f>
        <v>受贵公司委托，我公司对河北省廊坊市大厂回族自治县大福南路60号房地产抵押价值进行了预评估。</v>
      </c>
    </row>
    <row r="5" spans="1:1" ht="17.399999999999999">
      <c r="A5" s="1952" t="s">
        <v>1612</v>
      </c>
    </row>
    <row r="6" spans="1:1" ht="17.399999999999999">
      <c r="A6" s="1953" t="s">
        <v>1613</v>
      </c>
    </row>
    <row r="7" spans="1:1" ht="69.59999999999999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大厂回族自治县大福南路60号房地产，为廊坊京磁精密材料有限公司所有。根据《国有土地使用证》[大厂国用（2014）第02071号、大厂国用（2016）第02021号]，估价对象（分摊）出让国有建设用地使用权面积为26594.63平方米，建筑面积为36762平方米。</v>
      </c>
    </row>
    <row r="8" spans="1:1" ht="54.6">
      <c r="A8" s="1954" t="s">
        <v>1614</v>
      </c>
    </row>
    <row r="9" spans="1:1" ht="17.399999999999999">
      <c r="A9" s="1953" t="s">
        <v>1615</v>
      </c>
    </row>
    <row r="10" spans="1:1" ht="87">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大厂回族自治县大福南路60号房地产,属廊坊京磁精密材料有限公司开发建设的工业项目，该项目尚在开发建设中。根据《国有土地使用证》[大厂国用（2014）第02071号、大厂国用（2016）第02021号]，估价对象（分摊）出让国有建设用地使用权面积为26594.63平方米，规划建筑面积为36762平方米。</v>
      </c>
    </row>
    <row r="11" spans="1:1" ht="72">
      <c r="A11" s="1954" t="s">
        <v>1616</v>
      </c>
    </row>
    <row r="12" spans="1:1" ht="17.399999999999999">
      <c r="A12" s="1952" t="s">
        <v>1617</v>
      </c>
    </row>
    <row r="13" spans="1:1" ht="38.25" customHeight="1">
      <c r="A13" s="1955" t="str">
        <f>IF(项目基本情况!B8="抵押",IF(项目基本情况!B5=项目基本情况!B6,定义!C51,定义!B51),定义!D51)</f>
        <v>为估价委托人在向 工商银行总行北京通州支行办理贷款手续过程中，确定房地产抵押贷款额度提供参考依据而评估房地产抵押价值。</v>
      </c>
    </row>
    <row r="14" spans="1:1" ht="17.399999999999999">
      <c r="A14" s="1956" t="s">
        <v>1618</v>
      </c>
    </row>
    <row r="15" spans="1:1" ht="17.399999999999999">
      <c r="A15" s="1957" t="str">
        <f>TEXT(项目基本情况!D3,"yyyy年m月d日;;")&amp;IF(项目基本情况!D3=项目基本情况!B3,"（评估专业人员实地查勘之日）","")</f>
        <v>2018年8月27日（评估专业人员实地查勘之日）</v>
      </c>
    </row>
    <row r="16" spans="1:1" ht="17.399999999999999">
      <c r="A16" s="1956" t="s">
        <v>1619</v>
      </c>
    </row>
    <row r="17" spans="1:1" ht="69.599999999999994">
      <c r="A17" s="1951" t="s">
        <v>1620</v>
      </c>
    </row>
    <row r="18" spans="1:1" ht="69.59999999999999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27日，估价对象规划用途为，土地取得方式为出让，出让国有建设用地使用权剩余土地使用年限为43.87，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红线内场地平整条件下，剩余土地使用年限为43.87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51" t="str">
        <f>IF(项目基本情况!B9="房地产市场价值","——",IF(项目基本情况!E9="——","",定义!C57))</f>
        <v/>
      </c>
    </row>
    <row r="23" spans="1:1" ht="17.399999999999999">
      <c r="A23" s="1956" t="s">
        <v>1609</v>
      </c>
    </row>
    <row r="24" spans="1:1" ht="17.399999999999999">
      <c r="A24" s="1958" t="str">
        <f>"本次评估采用的主估价方法为"&amp;结果表!K4&amp;"和"&amp;结果表!L4&amp;"。"</f>
        <v>本次评估采用的主估价方法为成本法和收益法。</v>
      </c>
    </row>
    <row r="25" spans="1:1" ht="17.399999999999999">
      <c r="A25" s="1958"/>
    </row>
    <row r="26" spans="1:1" ht="17.399999999999999">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6" sqref="F3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6"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2707</v>
      </c>
      <c r="B1" s="1622"/>
      <c r="C1" s="1623" t="s">
        <v>2530</v>
      </c>
      <c r="D1" s="1624"/>
      <c r="E1" s="1625"/>
      <c r="F1" s="2588"/>
      <c r="G1" s="1626" t="s">
        <v>2643</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2327</v>
      </c>
      <c r="B2" s="1421" t="e">
        <f ca="1">IF(C2="——",IF(B37="元/平方米",ROUND(C39*D3/10000,0),ROUND(F3*C39/10000,0)),IF(B37="元/平方米",ROUND(C39*D3/10000,0),ROUND(F3*C39/10000,0))-D2)</f>
        <v>#DIV/0!</v>
      </c>
      <c r="C2" s="2590"/>
      <c r="D2" s="1127" t="e">
        <f ca="1">SUMIF(INDIRECT("'"&amp;F2&amp;"'"&amp;"!A:A"),"承租人权益价值",INDIRECT("'"&amp;F2&amp;"'"&amp;"!c:c"))</f>
        <v>#REF!</v>
      </c>
      <c r="E2" s="2591" t="s">
        <v>2328</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2329</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4.4">
      <c r="A4" s="401" t="s">
        <v>2645</v>
      </c>
      <c r="B4" s="402"/>
      <c r="C4" s="3192" t="s">
        <v>2646</v>
      </c>
      <c r="D4" s="3193"/>
      <c r="E4" s="3194" t="s">
        <v>2647</v>
      </c>
      <c r="F4" s="3195"/>
      <c r="G4" s="3192" t="s">
        <v>2648</v>
      </c>
      <c r="H4" s="3193"/>
      <c r="I4" s="3192" t="s">
        <v>2649</v>
      </c>
      <c r="J4" s="3193"/>
      <c r="K4" s="610" t="s">
        <v>2650</v>
      </c>
      <c r="L4" s="1133"/>
      <c r="M4" s="1134"/>
      <c r="N4" s="1134"/>
      <c r="O4" s="1134"/>
      <c r="P4" s="3196" t="s">
        <v>2651</v>
      </c>
      <c r="Q4" s="3197"/>
      <c r="R4" s="3179" t="s">
        <v>2647</v>
      </c>
      <c r="S4" s="3180"/>
      <c r="T4" s="3179" t="s">
        <v>2648</v>
      </c>
      <c r="U4" s="3180"/>
      <c r="V4" s="3204" t="s">
        <v>2649</v>
      </c>
      <c r="W4" s="3204"/>
      <c r="X4" s="1816"/>
      <c r="Y4" s="3179" t="s">
        <v>2651</v>
      </c>
      <c r="Z4" s="3180"/>
      <c r="AA4" s="3174" t="s">
        <v>2647</v>
      </c>
      <c r="AB4" s="3175" t="s">
        <v>2648</v>
      </c>
      <c r="AC4" s="3174" t="s">
        <v>2649</v>
      </c>
    </row>
    <row r="5" spans="1:29">
      <c r="A5" s="404"/>
      <c r="B5" s="405"/>
      <c r="C5" s="3185" t="s">
        <v>2542</v>
      </c>
      <c r="D5" s="3186"/>
      <c r="E5" s="3183" t="s">
        <v>2543</v>
      </c>
      <c r="F5" s="3184"/>
      <c r="G5" s="3185" t="s">
        <v>2544</v>
      </c>
      <c r="H5" s="3186"/>
      <c r="I5" s="3185" t="s">
        <v>2545</v>
      </c>
      <c r="J5" s="3186"/>
      <c r="K5" s="610"/>
      <c r="L5" s="1133"/>
      <c r="M5" s="1134"/>
      <c r="N5" s="1134"/>
      <c r="O5" s="1134"/>
      <c r="P5" s="3198"/>
      <c r="Q5" s="3199"/>
      <c r="R5" s="3181"/>
      <c r="S5" s="3182"/>
      <c r="T5" s="3181"/>
      <c r="U5" s="3182"/>
      <c r="V5" s="3204"/>
      <c r="W5" s="3204"/>
      <c r="X5" s="1816"/>
      <c r="Y5" s="3181"/>
      <c r="Z5" s="3182"/>
      <c r="AA5" s="3175"/>
      <c r="AB5" s="3175"/>
      <c r="AC5" s="3175"/>
    </row>
    <row r="6" spans="1:29" ht="15" thickBot="1">
      <c r="A6" s="406"/>
      <c r="B6" s="407"/>
      <c r="C6" s="3187" t="s">
        <v>2546</v>
      </c>
      <c r="D6" s="3188"/>
      <c r="E6" s="3189" t="s">
        <v>2546</v>
      </c>
      <c r="F6" s="3190"/>
      <c r="G6" s="3187" t="s">
        <v>2546</v>
      </c>
      <c r="H6" s="3188"/>
      <c r="I6" s="3187" t="s">
        <v>2546</v>
      </c>
      <c r="J6" s="3188"/>
      <c r="K6" s="610" t="s">
        <v>2547</v>
      </c>
      <c r="L6" s="1133"/>
      <c r="M6" s="1134"/>
      <c r="N6" s="1134"/>
      <c r="O6" s="1134"/>
      <c r="P6" s="3200"/>
      <c r="Q6" s="3201"/>
      <c r="R6" s="3181"/>
      <c r="S6" s="3182"/>
      <c r="T6" s="3202"/>
      <c r="U6" s="3203"/>
      <c r="V6" s="3204"/>
      <c r="W6" s="3204"/>
      <c r="X6" s="1816"/>
      <c r="Y6" s="3202"/>
      <c r="Z6" s="3203"/>
      <c r="AA6" s="3176"/>
      <c r="AB6" s="3176"/>
      <c r="AC6" s="3176"/>
    </row>
    <row r="7" spans="1:29" s="117" customFormat="1" ht="15" thickBot="1">
      <c r="A7" s="408" t="s">
        <v>2548</v>
      </c>
      <c r="B7" s="409"/>
      <c r="C7" s="410">
        <f>'数据-取费表'!B2</f>
        <v>43339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77" t="s">
        <v>2549</v>
      </c>
      <c r="Q7" s="3205"/>
      <c r="R7" s="770" t="s">
        <v>17</v>
      </c>
      <c r="S7" s="771">
        <f t="shared" ref="S7:S14" si="0">F7</f>
        <v>0</v>
      </c>
      <c r="T7" s="770" t="s">
        <v>17</v>
      </c>
      <c r="U7" s="771">
        <f t="shared" ref="U7:U14" si="1">H7</f>
        <v>0</v>
      </c>
      <c r="V7" s="770" t="s">
        <v>17</v>
      </c>
      <c r="W7" s="771">
        <f t="shared" ref="W7:W14" si="2">J7</f>
        <v>0</v>
      </c>
      <c r="X7" s="772"/>
      <c r="Y7" s="3177" t="s">
        <v>2549</v>
      </c>
      <c r="Z7" s="3178"/>
      <c r="AA7" s="773" t="e">
        <f>D7/F7</f>
        <v>#DIV/0!</v>
      </c>
      <c r="AB7" s="773" t="e">
        <f>D7/H7</f>
        <v>#DIV/0!</v>
      </c>
      <c r="AC7" s="773" t="e">
        <f>D7/J7</f>
        <v>#DIV/0!</v>
      </c>
    </row>
    <row r="8" spans="1:29" s="117" customFormat="1" ht="1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77" t="s">
        <v>2552</v>
      </c>
      <c r="Q8" s="3178"/>
      <c r="R8" s="770" t="s">
        <v>17</v>
      </c>
      <c r="S8" s="771">
        <f t="shared" si="0"/>
        <v>0</v>
      </c>
      <c r="T8" s="770" t="s">
        <v>17</v>
      </c>
      <c r="U8" s="771">
        <f t="shared" si="1"/>
        <v>0</v>
      </c>
      <c r="V8" s="770" t="s">
        <v>17</v>
      </c>
      <c r="W8" s="771">
        <f t="shared" si="2"/>
        <v>0</v>
      </c>
      <c r="X8" s="772"/>
      <c r="Y8" s="3177" t="s">
        <v>2552</v>
      </c>
      <c r="Z8" s="3178"/>
      <c r="AA8" s="773" t="e">
        <f t="shared" ref="AA8:AA36" si="3">D8/F8</f>
        <v>#DIV/0!</v>
      </c>
      <c r="AB8" s="773" t="e">
        <f t="shared" ref="AB8:AB36" si="4">D8/H8</f>
        <v>#DIV/0!</v>
      </c>
      <c r="AC8" s="773" t="e">
        <f t="shared" ref="AC8:AC36" si="5">D8/J8</f>
        <v>#DIV/0!</v>
      </c>
    </row>
    <row r="9" spans="1:29" s="117" customFormat="1" ht="14.4">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9" t="s">
        <v>2555</v>
      </c>
      <c r="Q9" s="1798" t="str">
        <f t="shared" ref="Q9:Q14" si="6">B9</f>
        <v>用途</v>
      </c>
      <c r="R9" s="770" t="s">
        <v>17</v>
      </c>
      <c r="S9" s="771">
        <f t="shared" si="0"/>
        <v>100</v>
      </c>
      <c r="T9" s="770" t="s">
        <v>17</v>
      </c>
      <c r="U9" s="771">
        <f t="shared" si="1"/>
        <v>100</v>
      </c>
      <c r="V9" s="770" t="s">
        <v>17</v>
      </c>
      <c r="W9" s="771">
        <f t="shared" si="2"/>
        <v>100</v>
      </c>
      <c r="X9" s="772"/>
      <c r="Y9" s="3024" t="s">
        <v>2556</v>
      </c>
      <c r="Z9" s="55" t="str">
        <f t="shared" ref="Z9:Z14" si="7">Q9</f>
        <v>用途</v>
      </c>
      <c r="AA9" s="773">
        <f t="shared" si="3"/>
        <v>1</v>
      </c>
      <c r="AB9" s="773">
        <f t="shared" si="4"/>
        <v>1</v>
      </c>
      <c r="AC9" s="773">
        <f t="shared" si="5"/>
        <v>1</v>
      </c>
    </row>
    <row r="10" spans="1:29" s="427" customFormat="1" ht="28.8">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9"/>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9"/>
      <c r="Q11" s="1798">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96.6">
      <c r="A14" s="401" t="s">
        <v>2559</v>
      </c>
      <c r="B14" s="629" t="s">
        <v>2709</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1" t="s">
        <v>2560</v>
      </c>
      <c r="Q14" s="1813" t="str">
        <f t="shared" si="6"/>
        <v>交通便捷度</v>
      </c>
      <c r="R14" s="774" t="s">
        <v>17</v>
      </c>
      <c r="S14" s="775">
        <f t="shared" si="0"/>
        <v>100</v>
      </c>
      <c r="T14" s="774" t="s">
        <v>17</v>
      </c>
      <c r="U14" s="775">
        <f t="shared" si="1"/>
        <v>100</v>
      </c>
      <c r="V14" s="774" t="s">
        <v>17</v>
      </c>
      <c r="W14" s="775">
        <f t="shared" si="2"/>
        <v>100</v>
      </c>
      <c r="X14" s="1816"/>
      <c r="Y14" s="3211" t="s">
        <v>2560</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2"/>
      <c r="Q15" s="1813"/>
      <c r="R15" s="774"/>
      <c r="S15" s="775"/>
      <c r="T15" s="774"/>
      <c r="U15" s="775"/>
      <c r="V15" s="774"/>
      <c r="W15" s="775"/>
      <c r="X15" s="1816"/>
      <c r="Y15" s="3212"/>
      <c r="Z15" s="1817"/>
      <c r="AA15" s="1814">
        <v>1</v>
      </c>
      <c r="AB15" s="1814">
        <v>1</v>
      </c>
      <c r="AC15" s="1814">
        <v>1</v>
      </c>
    </row>
    <row r="16" spans="1:29" ht="41.4">
      <c r="A16" s="404"/>
      <c r="B16" s="631" t="s">
        <v>2688</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2"/>
      <c r="Q16" s="1813" t="str">
        <f>B16</f>
        <v>公共配套设施</v>
      </c>
      <c r="R16" s="774" t="s">
        <v>17</v>
      </c>
      <c r="S16" s="775">
        <f>F16</f>
        <v>100</v>
      </c>
      <c r="T16" s="774" t="s">
        <v>17</v>
      </c>
      <c r="U16" s="775">
        <f>H16</f>
        <v>100</v>
      </c>
      <c r="V16" s="774" t="s">
        <v>17</v>
      </c>
      <c r="W16" s="775">
        <f>J16</f>
        <v>100</v>
      </c>
      <c r="X16" s="1816"/>
      <c r="Y16" s="3212"/>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212"/>
      <c r="Q17" s="1813"/>
      <c r="R17" s="774"/>
      <c r="S17" s="775"/>
      <c r="T17" s="774"/>
      <c r="U17" s="775"/>
      <c r="V17" s="774"/>
      <c r="W17" s="775"/>
      <c r="X17" s="1816"/>
      <c r="Y17" s="3212"/>
      <c r="Z17" s="1817"/>
      <c r="AA17" s="1814">
        <v>1</v>
      </c>
      <c r="AB17" s="1814">
        <v>1</v>
      </c>
      <c r="AC17" s="1814">
        <v>1</v>
      </c>
    </row>
    <row r="18" spans="1:29" ht="41.4">
      <c r="A18" s="404"/>
      <c r="B18" s="633" t="s">
        <v>2689</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2"/>
      <c r="Q18" s="1813" t="str">
        <f>B18</f>
        <v>基础设施水平</v>
      </c>
      <c r="R18" s="774" t="s">
        <v>17</v>
      </c>
      <c r="S18" s="775">
        <f>F18</f>
        <v>100</v>
      </c>
      <c r="T18" s="774" t="s">
        <v>17</v>
      </c>
      <c r="U18" s="775">
        <f>H18</f>
        <v>100</v>
      </c>
      <c r="V18" s="774" t="s">
        <v>17</v>
      </c>
      <c r="W18" s="775">
        <f>J18</f>
        <v>100</v>
      </c>
      <c r="X18" s="1816"/>
      <c r="Y18" s="3212"/>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212"/>
      <c r="Q19" s="1813"/>
      <c r="R19" s="774"/>
      <c r="S19" s="775"/>
      <c r="T19" s="774"/>
      <c r="U19" s="775"/>
      <c r="V19" s="774"/>
      <c r="W19" s="775"/>
      <c r="X19" s="1816"/>
      <c r="Y19" s="3212"/>
      <c r="Z19" s="1817"/>
      <c r="AA19" s="1814">
        <v>1</v>
      </c>
      <c r="AB19" s="1814">
        <v>1</v>
      </c>
      <c r="AC19" s="1814">
        <v>1</v>
      </c>
    </row>
    <row r="20" spans="1:29" ht="55.2">
      <c r="A20" s="404"/>
      <c r="B20" s="631" t="s">
        <v>2710</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2"/>
      <c r="Q20" s="1813" t="str">
        <f>B20</f>
        <v>自然及人文环境</v>
      </c>
      <c r="R20" s="774" t="s">
        <v>17</v>
      </c>
      <c r="S20" s="775">
        <f>F20</f>
        <v>100</v>
      </c>
      <c r="T20" s="774" t="s">
        <v>17</v>
      </c>
      <c r="U20" s="775">
        <f>H20</f>
        <v>100</v>
      </c>
      <c r="V20" s="774" t="s">
        <v>17</v>
      </c>
      <c r="W20" s="775">
        <f>J20</f>
        <v>100</v>
      </c>
      <c r="X20" s="1816"/>
      <c r="Y20" s="321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2"/>
      <c r="Q21" s="1813"/>
      <c r="R21" s="774"/>
      <c r="S21" s="775"/>
      <c r="T21" s="774"/>
      <c r="U21" s="775"/>
      <c r="V21" s="774"/>
      <c r="W21" s="775"/>
      <c r="X21" s="1816"/>
      <c r="Y21" s="3212"/>
      <c r="Z21" s="1817"/>
      <c r="AA21" s="1814">
        <v>1</v>
      </c>
      <c r="AB21" s="1814">
        <v>1</v>
      </c>
      <c r="AC21" s="1814">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2"/>
      <c r="Q22" s="1813" t="str">
        <f>B22</f>
        <v>楼层</v>
      </c>
      <c r="R22" s="774" t="s">
        <v>17</v>
      </c>
      <c r="S22" s="775">
        <f>F22</f>
        <v>100</v>
      </c>
      <c r="T22" s="774" t="s">
        <v>17</v>
      </c>
      <c r="U22" s="775">
        <f>H22</f>
        <v>100</v>
      </c>
      <c r="V22" s="774" t="s">
        <v>17</v>
      </c>
      <c r="W22" s="775">
        <f>J22</f>
        <v>100</v>
      </c>
      <c r="X22" s="1816"/>
      <c r="Y22" s="321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2"/>
      <c r="Q23" s="1813">
        <f>B23</f>
        <v>111</v>
      </c>
      <c r="R23" s="774" t="s">
        <v>17</v>
      </c>
      <c r="S23" s="775">
        <f>F23</f>
        <v>100</v>
      </c>
      <c r="T23" s="774" t="s">
        <v>17</v>
      </c>
      <c r="U23" s="775">
        <f>H23</f>
        <v>100</v>
      </c>
      <c r="V23" s="774" t="s">
        <v>17</v>
      </c>
      <c r="W23" s="775">
        <f>J23</f>
        <v>100</v>
      </c>
      <c r="X23" s="1816"/>
      <c r="Y23" s="321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2"/>
      <c r="Q24" s="1813">
        <f t="shared" ref="Q24:Q36" si="11">B24</f>
        <v>111</v>
      </c>
      <c r="R24" s="774" t="s">
        <v>17</v>
      </c>
      <c r="S24" s="775">
        <f>F24</f>
        <v>100</v>
      </c>
      <c r="T24" s="774" t="s">
        <v>17</v>
      </c>
      <c r="U24" s="775">
        <f>H24</f>
        <v>100</v>
      </c>
      <c r="V24" s="774" t="s">
        <v>17</v>
      </c>
      <c r="W24" s="775">
        <f>J24</f>
        <v>100</v>
      </c>
      <c r="X24" s="1816"/>
      <c r="Y24" s="3212"/>
      <c r="Z24" s="1817">
        <f>Q24</f>
        <v>111</v>
      </c>
      <c r="AA24" s="1814">
        <f t="shared" si="3"/>
        <v>1</v>
      </c>
      <c r="AB24" s="1814">
        <f t="shared" si="4"/>
        <v>1</v>
      </c>
      <c r="AC24" s="181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2"/>
      <c r="Q25" s="1798">
        <f t="shared" si="11"/>
        <v>111</v>
      </c>
      <c r="R25" s="770" t="s">
        <v>17</v>
      </c>
      <c r="S25" s="771">
        <f>F25</f>
        <v>100</v>
      </c>
      <c r="T25" s="770" t="s">
        <v>17</v>
      </c>
      <c r="U25" s="771">
        <f>H25</f>
        <v>100</v>
      </c>
      <c r="V25" s="770" t="s">
        <v>17</v>
      </c>
      <c r="W25" s="771">
        <f>J25</f>
        <v>100</v>
      </c>
      <c r="X25" s="772"/>
      <c r="Y25" s="3212"/>
      <c r="Z25" s="55">
        <f>Q25</f>
        <v>111</v>
      </c>
      <c r="AA25" s="1814">
        <f>D25/F25</f>
        <v>1</v>
      </c>
      <c r="AB25" s="1814">
        <f>D25/H25</f>
        <v>1</v>
      </c>
      <c r="AC25" s="1814">
        <f>D25/J25</f>
        <v>1</v>
      </c>
    </row>
    <row r="26" spans="1:29" ht="30">
      <c r="A26" s="652" t="s">
        <v>2563</v>
      </c>
      <c r="B26" s="70" t="s">
        <v>2712</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5" t="s">
        <v>2565</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16" t="s">
        <v>2565</v>
      </c>
      <c r="Z26" s="1817" t="str">
        <f t="shared" ref="Z26:Z36" si="15">Q26</f>
        <v>配套类型</v>
      </c>
      <c r="AA26" s="1814">
        <f t="shared" si="3"/>
        <v>1</v>
      </c>
      <c r="AB26" s="1814">
        <f t="shared" si="4"/>
        <v>1</v>
      </c>
      <c r="AC26" s="1814">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16"/>
      <c r="Q27" s="776" t="str">
        <f t="shared" si="11"/>
        <v>项目停车位配比</v>
      </c>
      <c r="R27" s="777" t="s">
        <v>17</v>
      </c>
      <c r="S27" s="778">
        <f t="shared" si="12"/>
        <v>100</v>
      </c>
      <c r="T27" s="777" t="s">
        <v>17</v>
      </c>
      <c r="U27" s="778">
        <f t="shared" si="13"/>
        <v>100</v>
      </c>
      <c r="V27" s="777" t="s">
        <v>17</v>
      </c>
      <c r="W27" s="778">
        <f t="shared" si="14"/>
        <v>100</v>
      </c>
      <c r="X27" s="779"/>
      <c r="Y27" s="3216"/>
      <c r="Z27" s="780" t="str">
        <f t="shared" si="15"/>
        <v>项目停车位配比</v>
      </c>
      <c r="AA27" s="1814">
        <f t="shared" si="3"/>
        <v>1</v>
      </c>
      <c r="AB27" s="1814">
        <f t="shared" si="4"/>
        <v>1</v>
      </c>
      <c r="AC27" s="1814">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16"/>
      <c r="Q28" s="1813" t="str">
        <f t="shared" si="11"/>
        <v>公共部分装修</v>
      </c>
      <c r="R28" s="774" t="s">
        <v>17</v>
      </c>
      <c r="S28" s="775">
        <f t="shared" si="12"/>
        <v>100</v>
      </c>
      <c r="T28" s="774" t="s">
        <v>17</v>
      </c>
      <c r="U28" s="775">
        <f t="shared" si="13"/>
        <v>100</v>
      </c>
      <c r="V28" s="774" t="s">
        <v>17</v>
      </c>
      <c r="W28" s="775">
        <f t="shared" si="14"/>
        <v>100</v>
      </c>
      <c r="X28" s="1816"/>
      <c r="Y28" s="3216"/>
      <c r="Z28" s="1817" t="str">
        <f t="shared" si="15"/>
        <v>公共部分装修</v>
      </c>
      <c r="AA28" s="1814">
        <f t="shared" si="3"/>
        <v>1</v>
      </c>
      <c r="AB28" s="1814">
        <f t="shared" si="4"/>
        <v>1</v>
      </c>
      <c r="AC28" s="1814">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16"/>
      <c r="Q29" s="1813" t="str">
        <f t="shared" si="11"/>
        <v>成新率</v>
      </c>
      <c r="R29" s="774" t="s">
        <v>17</v>
      </c>
      <c r="S29" s="775" t="e">
        <f t="shared" si="12"/>
        <v>#N/A</v>
      </c>
      <c r="T29" s="774" t="s">
        <v>17</v>
      </c>
      <c r="U29" s="775" t="e">
        <f t="shared" si="13"/>
        <v>#N/A</v>
      </c>
      <c r="V29" s="774" t="s">
        <v>17</v>
      </c>
      <c r="W29" s="775" t="e">
        <f t="shared" si="14"/>
        <v>#N/A</v>
      </c>
      <c r="X29" s="1816"/>
      <c r="Y29" s="3216"/>
      <c r="Z29" s="1817" t="str">
        <f t="shared" si="15"/>
        <v>成新率</v>
      </c>
      <c r="AA29" s="1814" t="e">
        <f t="shared" si="3"/>
        <v>#N/A</v>
      </c>
      <c r="AB29" s="1814" t="e">
        <f t="shared" si="4"/>
        <v>#N/A</v>
      </c>
      <c r="AC29" s="1814"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16"/>
      <c r="Q30" s="1813" t="str">
        <f t="shared" si="11"/>
        <v>物业等级</v>
      </c>
      <c r="R30" s="774" t="s">
        <v>17</v>
      </c>
      <c r="S30" s="775">
        <f t="shared" si="12"/>
        <v>100</v>
      </c>
      <c r="T30" s="774" t="s">
        <v>17</v>
      </c>
      <c r="U30" s="775">
        <f t="shared" si="13"/>
        <v>100</v>
      </c>
      <c r="V30" s="774" t="s">
        <v>17</v>
      </c>
      <c r="W30" s="775">
        <f t="shared" si="14"/>
        <v>100</v>
      </c>
      <c r="X30" s="1816"/>
      <c r="Y30" s="3216"/>
      <c r="Z30" s="1817" t="str">
        <f t="shared" si="15"/>
        <v>物业等级</v>
      </c>
      <c r="AA30" s="1814">
        <f t="shared" si="3"/>
        <v>1</v>
      </c>
      <c r="AB30" s="1814">
        <f t="shared" si="4"/>
        <v>1</v>
      </c>
      <c r="AC30" s="1814">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16"/>
      <c r="Q31" s="1798" t="str">
        <f t="shared" si="11"/>
        <v>停车位面积</v>
      </c>
      <c r="R31" s="770" t="s">
        <v>17</v>
      </c>
      <c r="S31" s="771" t="e">
        <f t="shared" si="12"/>
        <v>#N/A</v>
      </c>
      <c r="T31" s="770" t="s">
        <v>17</v>
      </c>
      <c r="U31" s="771" t="e">
        <f t="shared" si="13"/>
        <v>#N/A</v>
      </c>
      <c r="V31" s="770" t="s">
        <v>17</v>
      </c>
      <c r="W31" s="771" t="e">
        <f t="shared" si="14"/>
        <v>#N/A</v>
      </c>
      <c r="X31" s="772"/>
      <c r="Y31" s="3216"/>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16" t="s">
        <v>2565</v>
      </c>
      <c r="Q32" s="1813" t="str">
        <f t="shared" si="11"/>
        <v>车位类型</v>
      </c>
      <c r="R32" s="774" t="s">
        <v>17</v>
      </c>
      <c r="S32" s="775">
        <f t="shared" si="12"/>
        <v>100</v>
      </c>
      <c r="T32" s="774" t="s">
        <v>17</v>
      </c>
      <c r="U32" s="775">
        <f t="shared" si="13"/>
        <v>100</v>
      </c>
      <c r="V32" s="774" t="s">
        <v>17</v>
      </c>
      <c r="W32" s="775">
        <f t="shared" si="14"/>
        <v>100</v>
      </c>
      <c r="X32" s="1816"/>
      <c r="Y32" s="3216" t="s">
        <v>2565</v>
      </c>
      <c r="Z32" s="1817" t="str">
        <f t="shared" si="15"/>
        <v>车位类型</v>
      </c>
      <c r="AA32" s="1814">
        <f t="shared" si="3"/>
        <v>1</v>
      </c>
      <c r="AB32" s="1814">
        <f t="shared" si="4"/>
        <v>1</v>
      </c>
      <c r="AC32" s="1814">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16"/>
      <c r="Q33" s="1813" t="str">
        <f t="shared" si="11"/>
        <v>是否直接入户</v>
      </c>
      <c r="R33" s="774" t="s">
        <v>17</v>
      </c>
      <c r="S33" s="775">
        <f t="shared" si="12"/>
        <v>100</v>
      </c>
      <c r="T33" s="774" t="s">
        <v>17</v>
      </c>
      <c r="U33" s="775">
        <f t="shared" si="13"/>
        <v>100</v>
      </c>
      <c r="V33" s="774" t="s">
        <v>17</v>
      </c>
      <c r="W33" s="775">
        <f t="shared" si="14"/>
        <v>100</v>
      </c>
      <c r="X33" s="1816"/>
      <c r="Y33" s="321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16"/>
      <c r="Q34" s="1813">
        <f t="shared" si="11"/>
        <v>111</v>
      </c>
      <c r="R34" s="774" t="s">
        <v>17</v>
      </c>
      <c r="S34" s="775">
        <f t="shared" si="12"/>
        <v>100</v>
      </c>
      <c r="T34" s="774" t="s">
        <v>17</v>
      </c>
      <c r="U34" s="775">
        <f t="shared" si="13"/>
        <v>100</v>
      </c>
      <c r="V34" s="774" t="s">
        <v>17</v>
      </c>
      <c r="W34" s="775">
        <f t="shared" si="14"/>
        <v>100</v>
      </c>
      <c r="X34" s="1816"/>
      <c r="Y34" s="321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16"/>
      <c r="Q35" s="776">
        <f t="shared" si="11"/>
        <v>111</v>
      </c>
      <c r="R35" s="777" t="s">
        <v>17</v>
      </c>
      <c r="S35" s="778">
        <f t="shared" si="12"/>
        <v>100</v>
      </c>
      <c r="T35" s="777" t="s">
        <v>17</v>
      </c>
      <c r="U35" s="778">
        <f t="shared" si="13"/>
        <v>100</v>
      </c>
      <c r="V35" s="777" t="s">
        <v>17</v>
      </c>
      <c r="W35" s="778">
        <f t="shared" si="14"/>
        <v>100</v>
      </c>
      <c r="X35" s="779"/>
      <c r="Y35" s="3216"/>
      <c r="Z35" s="780">
        <f t="shared" si="15"/>
        <v>111</v>
      </c>
      <c r="AA35" s="1814">
        <f t="shared" si="3"/>
        <v>1</v>
      </c>
      <c r="AB35" s="1814">
        <f t="shared" si="4"/>
        <v>1</v>
      </c>
      <c r="AC35" s="181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16"/>
      <c r="Q36" s="1813">
        <f t="shared" si="11"/>
        <v>111</v>
      </c>
      <c r="R36" s="774" t="s">
        <v>17</v>
      </c>
      <c r="S36" s="775">
        <f t="shared" si="12"/>
        <v>100</v>
      </c>
      <c r="T36" s="774" t="s">
        <v>17</v>
      </c>
      <c r="U36" s="775">
        <f t="shared" si="13"/>
        <v>100</v>
      </c>
      <c r="V36" s="774" t="s">
        <v>17</v>
      </c>
      <c r="W36" s="775">
        <f t="shared" si="14"/>
        <v>100</v>
      </c>
      <c r="X36" s="1816"/>
      <c r="Y36" s="3216"/>
      <c r="Z36" s="1817">
        <f t="shared" si="15"/>
        <v>111</v>
      </c>
      <c r="AA36" s="1814">
        <f t="shared" si="3"/>
        <v>1</v>
      </c>
      <c r="AB36" s="1814">
        <f t="shared" si="4"/>
        <v>1</v>
      </c>
      <c r="AC36" s="1814">
        <f t="shared" si="5"/>
        <v>1</v>
      </c>
    </row>
    <row r="37" spans="1:29" ht="14.4">
      <c r="A37" s="479" t="s">
        <v>2720</v>
      </c>
      <c r="B37" s="2699" t="s">
        <v>2721</v>
      </c>
      <c r="C37" s="1410" t="s">
        <v>1</v>
      </c>
      <c r="D37" s="1411"/>
      <c r="E37" s="1412"/>
      <c r="F37" s="1413"/>
      <c r="G37" s="1414"/>
      <c r="H37" s="1415"/>
      <c r="I37" s="1412"/>
      <c r="J37" s="1415"/>
      <c r="K37" s="619"/>
      <c r="L37" s="1146"/>
      <c r="M37" s="1147"/>
      <c r="N37" s="1134"/>
      <c r="O37" s="1147"/>
      <c r="P37" s="3209" t="str">
        <f>A37</f>
        <v>成交单价</v>
      </c>
      <c r="Q37" s="3209"/>
      <c r="R37" s="3210">
        <f>E37</f>
        <v>0</v>
      </c>
      <c r="S37" s="3210"/>
      <c r="T37" s="3210">
        <f>G37</f>
        <v>0</v>
      </c>
      <c r="U37" s="3210"/>
      <c r="V37" s="3210">
        <f>I37</f>
        <v>0</v>
      </c>
      <c r="W37" s="3210"/>
      <c r="X37" s="759"/>
      <c r="Y37" s="781"/>
      <c r="Z37" s="759"/>
      <c r="AA37" s="759"/>
      <c r="AB37" s="759"/>
      <c r="AC37" s="759"/>
    </row>
    <row r="38" spans="1:29" ht="15" thickBot="1">
      <c r="A38" s="486" t="s">
        <v>2722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9" t="str">
        <f>A38</f>
        <v>比较价值（元/平方米）</v>
      </c>
      <c r="Q38" s="3209"/>
      <c r="R38" s="3210" t="e">
        <f>IF(F1="售价",ROUND(PRODUCT(R37,AA7:AA36),0),ROUND(PRODUCT(R37,AA7:AA36),1))</f>
        <v>#DIV/0!</v>
      </c>
      <c r="S38" s="3210"/>
      <c r="T38" s="3210" t="e">
        <f>IF(F1="售价",ROUND(PRODUCT(T37,AB7:AB36),0),ROUND(PRODUCT(T37,AB7:AB36),1))</f>
        <v>#DIV/0!</v>
      </c>
      <c r="U38" s="3210"/>
      <c r="V38" s="3210" t="e">
        <f>IF(F1="售价",ROUND(PRODUCT(V37,AC7:AC36),0),ROUND(PRODUCT(V37,AC7:AC36),1))</f>
        <v>#DIV/0!</v>
      </c>
      <c r="W38" s="3210"/>
      <c r="X38" s="759"/>
      <c r="Y38" s="759"/>
      <c r="Z38" s="759"/>
      <c r="AA38" s="759"/>
      <c r="AB38" s="759"/>
      <c r="AC38" s="759"/>
    </row>
    <row r="39" spans="1:29" ht="15" thickBot="1">
      <c r="A39" s="492" t="s">
        <v>2723</v>
      </c>
      <c r="B39" s="493"/>
      <c r="C39" s="1420" t="e">
        <f>R39</f>
        <v>#DIV/0!</v>
      </c>
      <c r="D39" s="1420"/>
      <c r="E39" s="1420"/>
      <c r="F39" s="1420"/>
      <c r="G39" s="1420"/>
      <c r="H39" s="1420"/>
      <c r="I39" s="1420"/>
      <c r="J39" s="1420"/>
      <c r="K39" s="621"/>
      <c r="L39" s="1146"/>
      <c r="M39" s="1147"/>
      <c r="N39" s="1147"/>
      <c r="O39" s="1147"/>
      <c r="P39" s="3206" t="str">
        <f>A39</f>
        <v>估价对象XX用房的比较价值（楼面单价，元/平方米）</v>
      </c>
      <c r="Q39" s="3207"/>
      <c r="R39" s="3208" t="e">
        <f>IF(F1="售价",ROUND(AVERAGE(R38:V38),0),ROUND(AVERAGE(R38:V38),1))</f>
        <v>#DIV/0!</v>
      </c>
      <c r="S39" s="3208"/>
      <c r="T39" s="3208"/>
      <c r="U39" s="3208"/>
      <c r="V39" s="3208"/>
      <c r="W39" s="320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2.2"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4.4">
      <c r="A48" s="505" t="s">
        <v>2728</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 thickBot="1">
      <c r="A50" s="515" t="s">
        <v>2585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4.4">
      <c r="A51" s="521" t="s">
        <v>2550</v>
      </c>
      <c r="B51" s="510"/>
      <c r="C51" s="522" t="s">
        <v>2652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4.4"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ht="14.4">
      <c r="A53" s="527" t="s">
        <v>2588</v>
      </c>
      <c r="B53" s="528" t="s">
        <v>2554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4.4"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9.4"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4.4"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4.4"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4.4"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4.4"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4.4"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4.4"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 thickTop="1">
      <c r="A65" s="534"/>
      <c r="B65" s="538" t="s">
        <v>2603</v>
      </c>
      <c r="C65" s="578" t="s">
        <v>2597</v>
      </c>
      <c r="D65" s="578" t="s">
        <v>2598</v>
      </c>
      <c r="E65" s="578" t="s">
        <v>2599</v>
      </c>
      <c r="F65" s="578" t="s">
        <v>2600</v>
      </c>
      <c r="G65" s="578" t="s">
        <v>2601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 thickTop="1">
      <c r="A67" s="534"/>
      <c r="B67" s="546" t="s">
        <v>2689</v>
      </c>
      <c r="C67" s="660" t="s">
        <v>2675</v>
      </c>
      <c r="D67" s="660" t="s">
        <v>2676</v>
      </c>
      <c r="E67" s="660" t="s">
        <v>2677</v>
      </c>
      <c r="F67" s="660" t="s">
        <v>2678</v>
      </c>
      <c r="G67" s="660" t="s">
        <v>2679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 thickTop="1">
      <c r="A69" s="534"/>
      <c r="B69" s="538" t="s">
        <v>2609</v>
      </c>
      <c r="C69" s="578" t="s">
        <v>2597</v>
      </c>
      <c r="D69" s="578" t="s">
        <v>2598</v>
      </c>
      <c r="E69" s="578" t="s">
        <v>2599</v>
      </c>
      <c r="F69" s="578" t="s">
        <v>2600</v>
      </c>
      <c r="G69" s="578" t="s">
        <v>2601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4.4"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4.4"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4.4"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4.4"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4.4"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4.4"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9.4" thickTop="1">
      <c r="A79" s="527" t="s">
        <v>2563</v>
      </c>
      <c r="B79" s="528" t="s">
        <v>2730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4.4"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4.4"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4.4"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4.4"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4.4"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4.4"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4.4"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4.4"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6" sqref="F3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32" customFormat="1" ht="28.5" customHeight="1" thickBot="1">
      <c r="A1" s="1621" t="s">
        <v>2707</v>
      </c>
      <c r="B1" s="1622"/>
      <c r="C1" s="1623" t="s">
        <v>2530</v>
      </c>
      <c r="D1" s="1624"/>
      <c r="E1" s="1633"/>
      <c r="F1" s="2588"/>
      <c r="G1" s="1634" t="s">
        <v>2643</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2327</v>
      </c>
      <c r="B2" s="1421" t="e">
        <f ca="1">IF(C2="——",ROUND(C37*D3/10000,0),ROUND(C37*D3/10000,0)-D2)</f>
        <v>#DIV/0!</v>
      </c>
      <c r="C2" s="2590"/>
      <c r="D2" s="1127" t="e">
        <f ca="1">SUMIF(INDIRECT("'"&amp;F2&amp;"'"&amp;"!A:A"),"承租人权益价值",INDIRECT("'"&amp;F2&amp;"'"&amp;"!c:c"))</f>
        <v>#REF!</v>
      </c>
      <c r="E2" s="2591" t="s">
        <v>2328</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192" t="s">
        <v>2646</v>
      </c>
      <c r="D4" s="3193"/>
      <c r="E4" s="3194" t="s">
        <v>2647</v>
      </c>
      <c r="F4" s="3195"/>
      <c r="G4" s="3192" t="s">
        <v>2648</v>
      </c>
      <c r="H4" s="3193"/>
      <c r="I4" s="3192" t="s">
        <v>2649</v>
      </c>
      <c r="J4" s="3193"/>
      <c r="K4" s="610" t="s">
        <v>2650</v>
      </c>
      <c r="L4" s="1133"/>
      <c r="M4" s="1134"/>
      <c r="N4" s="1134"/>
      <c r="O4" s="1134"/>
      <c r="P4" s="3196" t="s">
        <v>2651</v>
      </c>
      <c r="Q4" s="3197"/>
      <c r="R4" s="3179" t="s">
        <v>2647</v>
      </c>
      <c r="S4" s="3180"/>
      <c r="T4" s="3179" t="s">
        <v>2648</v>
      </c>
      <c r="U4" s="3180"/>
      <c r="V4" s="3204" t="s">
        <v>2649</v>
      </c>
      <c r="W4" s="3204"/>
      <c r="X4" s="1816"/>
      <c r="Y4" s="3179" t="s">
        <v>2651</v>
      </c>
      <c r="Z4" s="3180"/>
      <c r="AA4" s="3174" t="s">
        <v>2647</v>
      </c>
      <c r="AB4" s="3175" t="s">
        <v>2648</v>
      </c>
      <c r="AC4" s="3174" t="s">
        <v>2649</v>
      </c>
    </row>
    <row r="5" spans="1:29">
      <c r="A5" s="404"/>
      <c r="B5" s="405"/>
      <c r="C5" s="3185" t="s">
        <v>2542</v>
      </c>
      <c r="D5" s="3186"/>
      <c r="E5" s="3183" t="s">
        <v>2543</v>
      </c>
      <c r="F5" s="3184"/>
      <c r="G5" s="3185" t="s">
        <v>2544</v>
      </c>
      <c r="H5" s="3186"/>
      <c r="I5" s="3185" t="s">
        <v>2545</v>
      </c>
      <c r="J5" s="3186"/>
      <c r="K5" s="610"/>
      <c r="L5" s="1133"/>
      <c r="M5" s="1134"/>
      <c r="N5" s="1134"/>
      <c r="O5" s="1134"/>
      <c r="P5" s="3198"/>
      <c r="Q5" s="3199"/>
      <c r="R5" s="3181"/>
      <c r="S5" s="3182"/>
      <c r="T5" s="3181"/>
      <c r="U5" s="3182"/>
      <c r="V5" s="3204"/>
      <c r="W5" s="3204"/>
      <c r="X5" s="1816"/>
      <c r="Y5" s="3181"/>
      <c r="Z5" s="3182"/>
      <c r="AA5" s="3175"/>
      <c r="AB5" s="3175"/>
      <c r="AC5" s="3175"/>
    </row>
    <row r="6" spans="1:29" ht="15" thickBot="1">
      <c r="A6" s="406"/>
      <c r="B6" s="407"/>
      <c r="C6" s="3187" t="s">
        <v>2546</v>
      </c>
      <c r="D6" s="3188"/>
      <c r="E6" s="3189" t="s">
        <v>2546</v>
      </c>
      <c r="F6" s="3190"/>
      <c r="G6" s="3187" t="s">
        <v>2546</v>
      </c>
      <c r="H6" s="3188"/>
      <c r="I6" s="3187" t="s">
        <v>2546</v>
      </c>
      <c r="J6" s="3188"/>
      <c r="K6" s="610" t="s">
        <v>2547</v>
      </c>
      <c r="L6" s="1133"/>
      <c r="M6" s="1134"/>
      <c r="N6" s="1134"/>
      <c r="O6" s="1134"/>
      <c r="P6" s="3200"/>
      <c r="Q6" s="3201"/>
      <c r="R6" s="3181"/>
      <c r="S6" s="3182"/>
      <c r="T6" s="3202"/>
      <c r="U6" s="3203"/>
      <c r="V6" s="3204"/>
      <c r="W6" s="3204"/>
      <c r="X6" s="1816"/>
      <c r="Y6" s="3202"/>
      <c r="Z6" s="3203"/>
      <c r="AA6" s="3176"/>
      <c r="AB6" s="3176"/>
      <c r="AC6" s="3176"/>
    </row>
    <row r="7" spans="1:29" s="117" customFormat="1" ht="15" thickBot="1">
      <c r="A7" s="408" t="s">
        <v>2548</v>
      </c>
      <c r="B7" s="409"/>
      <c r="C7" s="410">
        <f>'数据-取费表'!B2</f>
        <v>43339</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77" t="s">
        <v>2549</v>
      </c>
      <c r="Q7" s="3205"/>
      <c r="R7" s="770" t="s">
        <v>17</v>
      </c>
      <c r="S7" s="771">
        <f t="shared" ref="S7:S14" si="0">F7</f>
        <v>0</v>
      </c>
      <c r="T7" s="770" t="s">
        <v>17</v>
      </c>
      <c r="U7" s="771">
        <f t="shared" ref="U7:U14" si="1">H7</f>
        <v>0</v>
      </c>
      <c r="V7" s="770" t="s">
        <v>17</v>
      </c>
      <c r="W7" s="771">
        <f t="shared" ref="W7:W14" si="2">J7</f>
        <v>0</v>
      </c>
      <c r="X7" s="772"/>
      <c r="Y7" s="3177" t="s">
        <v>2549</v>
      </c>
      <c r="Z7" s="3178"/>
      <c r="AA7" s="773" t="e">
        <f>D7/F7</f>
        <v>#DIV/0!</v>
      </c>
      <c r="AB7" s="773" t="e">
        <f>D7/H7</f>
        <v>#DIV/0!</v>
      </c>
      <c r="AC7" s="773" t="e">
        <f>D7/J7</f>
        <v>#DIV/0!</v>
      </c>
    </row>
    <row r="8" spans="1:29" s="117" customFormat="1" ht="1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77" t="s">
        <v>2552</v>
      </c>
      <c r="Q8" s="3178"/>
      <c r="R8" s="770" t="s">
        <v>17</v>
      </c>
      <c r="S8" s="771">
        <f t="shared" si="0"/>
        <v>0</v>
      </c>
      <c r="T8" s="770" t="s">
        <v>17</v>
      </c>
      <c r="U8" s="771">
        <f t="shared" si="1"/>
        <v>0</v>
      </c>
      <c r="V8" s="770" t="s">
        <v>17</v>
      </c>
      <c r="W8" s="771">
        <f t="shared" si="2"/>
        <v>0</v>
      </c>
      <c r="X8" s="772"/>
      <c r="Y8" s="3177" t="s">
        <v>2552</v>
      </c>
      <c r="Z8" s="3178"/>
      <c r="AA8" s="773" t="e">
        <f t="shared" ref="AA8:AA34" si="3">D8/F8</f>
        <v>#DIV/0!</v>
      </c>
      <c r="AB8" s="773" t="e">
        <f t="shared" ref="AB8:AB34" si="4">D8/H8</f>
        <v>#DIV/0!</v>
      </c>
      <c r="AC8" s="773" t="e">
        <f t="shared" ref="AC8:AC34" si="5">D8/J8</f>
        <v>#DIV/0!</v>
      </c>
    </row>
    <row r="9" spans="1:29" s="117" customFormat="1" ht="14.4">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9" t="s">
        <v>2555</v>
      </c>
      <c r="Q9" s="1798" t="str">
        <f t="shared" ref="Q9:Q14" si="6">B9</f>
        <v>用途</v>
      </c>
      <c r="R9" s="770" t="s">
        <v>17</v>
      </c>
      <c r="S9" s="771">
        <f t="shared" si="0"/>
        <v>100</v>
      </c>
      <c r="T9" s="770" t="s">
        <v>17</v>
      </c>
      <c r="U9" s="771">
        <f t="shared" si="1"/>
        <v>100</v>
      </c>
      <c r="V9" s="770" t="s">
        <v>17</v>
      </c>
      <c r="W9" s="771">
        <f t="shared" si="2"/>
        <v>100</v>
      </c>
      <c r="X9" s="772"/>
      <c r="Y9" s="3024" t="s">
        <v>2556</v>
      </c>
      <c r="Z9" s="55" t="str">
        <f t="shared" ref="Z9:Z14" si="7">Q9</f>
        <v>用途</v>
      </c>
      <c r="AA9" s="773">
        <f t="shared" si="3"/>
        <v>1</v>
      </c>
      <c r="AB9" s="773">
        <f t="shared" si="4"/>
        <v>1</v>
      </c>
      <c r="AC9" s="773">
        <f t="shared" si="5"/>
        <v>1</v>
      </c>
    </row>
    <row r="10" spans="1:29" s="427" customFormat="1" ht="28.8">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9"/>
      <c r="Q10" s="1798" t="str">
        <f t="shared" si="6"/>
        <v>土地使用年限（年）</v>
      </c>
      <c r="R10" s="770" t="s">
        <v>17</v>
      </c>
      <c r="S10" s="771">
        <f t="shared" si="0"/>
        <v>100</v>
      </c>
      <c r="T10" s="770" t="s">
        <v>17</v>
      </c>
      <c r="U10" s="771">
        <f t="shared" si="1"/>
        <v>100</v>
      </c>
      <c r="V10" s="770" t="s">
        <v>17</v>
      </c>
      <c r="W10" s="771">
        <f t="shared" si="2"/>
        <v>100</v>
      </c>
      <c r="X10" s="772"/>
      <c r="Y10" s="3024"/>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9"/>
      <c r="Q11" s="1798">
        <f t="shared" si="6"/>
        <v>111</v>
      </c>
      <c r="R11" s="770" t="s">
        <v>17</v>
      </c>
      <c r="S11" s="771">
        <f t="shared" si="0"/>
        <v>100</v>
      </c>
      <c r="T11" s="770" t="s">
        <v>17</v>
      </c>
      <c r="U11" s="771">
        <f t="shared" si="1"/>
        <v>100</v>
      </c>
      <c r="V11" s="770" t="s">
        <v>17</v>
      </c>
      <c r="W11" s="771">
        <f t="shared" si="2"/>
        <v>100</v>
      </c>
      <c r="X11" s="772"/>
      <c r="Y11" s="3024"/>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6"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20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96.6">
      <c r="A14" s="440" t="s">
        <v>2559</v>
      </c>
      <c r="B14" s="69" t="s">
        <v>2709</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1" t="s">
        <v>2560</v>
      </c>
      <c r="Q14" s="1813" t="str">
        <f t="shared" si="6"/>
        <v>交通便捷度</v>
      </c>
      <c r="R14" s="774" t="s">
        <v>17</v>
      </c>
      <c r="S14" s="775">
        <f t="shared" si="0"/>
        <v>100</v>
      </c>
      <c r="T14" s="774" t="s">
        <v>17</v>
      </c>
      <c r="U14" s="775">
        <f t="shared" si="1"/>
        <v>100</v>
      </c>
      <c r="V14" s="774" t="s">
        <v>17</v>
      </c>
      <c r="W14" s="775">
        <f t="shared" si="2"/>
        <v>100</v>
      </c>
      <c r="X14" s="1816"/>
      <c r="Y14" s="3211" t="s">
        <v>2560</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2"/>
      <c r="Q15" s="1813"/>
      <c r="R15" s="774"/>
      <c r="S15" s="775"/>
      <c r="T15" s="774"/>
      <c r="U15" s="775"/>
      <c r="V15" s="774"/>
      <c r="W15" s="775"/>
      <c r="X15" s="1816"/>
      <c r="Y15" s="3212"/>
      <c r="Z15" s="1817"/>
      <c r="AA15" s="1814">
        <v>1</v>
      </c>
      <c r="AB15" s="1814">
        <v>1</v>
      </c>
      <c r="AC15" s="1814">
        <v>1</v>
      </c>
    </row>
    <row r="16" spans="1:29" ht="41.4">
      <c r="A16" s="428"/>
      <c r="B16" s="451" t="s">
        <v>2688</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2"/>
      <c r="Q16" s="1813" t="str">
        <f>B16</f>
        <v>公共配套设施</v>
      </c>
      <c r="R16" s="774" t="s">
        <v>17</v>
      </c>
      <c r="S16" s="775">
        <f>F16</f>
        <v>100</v>
      </c>
      <c r="T16" s="774" t="s">
        <v>17</v>
      </c>
      <c r="U16" s="775">
        <f>H16</f>
        <v>100</v>
      </c>
      <c r="V16" s="774" t="s">
        <v>17</v>
      </c>
      <c r="W16" s="775">
        <f>J16</f>
        <v>100</v>
      </c>
      <c r="X16" s="1816"/>
      <c r="Y16" s="3212"/>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12"/>
      <c r="Q17" s="1813"/>
      <c r="R17" s="774"/>
      <c r="S17" s="775"/>
      <c r="T17" s="774"/>
      <c r="U17" s="775"/>
      <c r="V17" s="774"/>
      <c r="W17" s="775"/>
      <c r="X17" s="1816"/>
      <c r="Y17" s="3212"/>
      <c r="Z17" s="1817"/>
      <c r="AA17" s="1814">
        <v>1</v>
      </c>
      <c r="AB17" s="1814">
        <v>1</v>
      </c>
      <c r="AC17" s="1814">
        <v>1</v>
      </c>
    </row>
    <row r="18" spans="1:29" ht="41.4">
      <c r="A18" s="428"/>
      <c r="B18" s="1387" t="s">
        <v>2689</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2"/>
      <c r="Q18" s="1813" t="str">
        <f>B18</f>
        <v>基础设施水平</v>
      </c>
      <c r="R18" s="774" t="s">
        <v>17</v>
      </c>
      <c r="S18" s="775">
        <f>F18</f>
        <v>100</v>
      </c>
      <c r="T18" s="774" t="s">
        <v>17</v>
      </c>
      <c r="U18" s="775">
        <f>H18</f>
        <v>100</v>
      </c>
      <c r="V18" s="774" t="s">
        <v>17</v>
      </c>
      <c r="W18" s="775">
        <f>J18</f>
        <v>100</v>
      </c>
      <c r="X18" s="1816"/>
      <c r="Y18" s="3212"/>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12"/>
      <c r="Q19" s="1813"/>
      <c r="R19" s="774"/>
      <c r="S19" s="775"/>
      <c r="T19" s="774"/>
      <c r="U19" s="775"/>
      <c r="V19" s="774"/>
      <c r="W19" s="775"/>
      <c r="X19" s="1816"/>
      <c r="Y19" s="3212"/>
      <c r="Z19" s="1817"/>
      <c r="AA19" s="1814">
        <v>1</v>
      </c>
      <c r="AB19" s="1814">
        <v>1</v>
      </c>
      <c r="AC19" s="1814">
        <v>1</v>
      </c>
    </row>
    <row r="20" spans="1:29" ht="55.2">
      <c r="A20" s="428"/>
      <c r="B20" s="451" t="s">
        <v>2710</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2"/>
      <c r="Q20" s="1813" t="str">
        <f>B20</f>
        <v>自然及人文环境</v>
      </c>
      <c r="R20" s="774" t="s">
        <v>17</v>
      </c>
      <c r="S20" s="775">
        <f>F20</f>
        <v>100</v>
      </c>
      <c r="T20" s="774" t="s">
        <v>17</v>
      </c>
      <c r="U20" s="775">
        <f>H20</f>
        <v>100</v>
      </c>
      <c r="V20" s="774" t="s">
        <v>17</v>
      </c>
      <c r="W20" s="775">
        <f>J20</f>
        <v>100</v>
      </c>
      <c r="X20" s="1816"/>
      <c r="Y20" s="321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2"/>
      <c r="Q21" s="1813"/>
      <c r="R21" s="774"/>
      <c r="S21" s="775"/>
      <c r="T21" s="774"/>
      <c r="U21" s="775"/>
      <c r="V21" s="774"/>
      <c r="W21" s="775"/>
      <c r="X21" s="1816"/>
      <c r="Y21" s="3212"/>
      <c r="Z21" s="1817"/>
      <c r="AA21" s="1814">
        <v>1</v>
      </c>
      <c r="AB21" s="1814">
        <v>1</v>
      </c>
      <c r="AC21" s="1814">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2"/>
      <c r="Q22" s="1813" t="str">
        <f>B22</f>
        <v>楼层</v>
      </c>
      <c r="R22" s="774" t="s">
        <v>17</v>
      </c>
      <c r="S22" s="775">
        <f>F22</f>
        <v>100</v>
      </c>
      <c r="T22" s="774" t="s">
        <v>17</v>
      </c>
      <c r="U22" s="775">
        <f>H22</f>
        <v>100</v>
      </c>
      <c r="V22" s="774" t="s">
        <v>17</v>
      </c>
      <c r="W22" s="775">
        <f>J22</f>
        <v>100</v>
      </c>
      <c r="X22" s="1816"/>
      <c r="Y22" s="3212"/>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2"/>
      <c r="Q23" s="1813">
        <f>B23</f>
        <v>111</v>
      </c>
      <c r="R23" s="774" t="s">
        <v>17</v>
      </c>
      <c r="S23" s="775">
        <f>F23</f>
        <v>100</v>
      </c>
      <c r="T23" s="774" t="s">
        <v>17</v>
      </c>
      <c r="U23" s="775">
        <f>H23</f>
        <v>100</v>
      </c>
      <c r="V23" s="774" t="s">
        <v>17</v>
      </c>
      <c r="W23" s="775">
        <f>J23</f>
        <v>100</v>
      </c>
      <c r="X23" s="1816"/>
      <c r="Y23" s="3212"/>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2"/>
      <c r="Q24" s="1813">
        <f t="shared" ref="Q24:Q34" si="11">B24</f>
        <v>111</v>
      </c>
      <c r="R24" s="774" t="s">
        <v>17</v>
      </c>
      <c r="S24" s="775">
        <f>F24</f>
        <v>100</v>
      </c>
      <c r="T24" s="774" t="s">
        <v>17</v>
      </c>
      <c r="U24" s="775">
        <f>H24</f>
        <v>100</v>
      </c>
      <c r="V24" s="774" t="s">
        <v>17</v>
      </c>
      <c r="W24" s="775">
        <f>J24</f>
        <v>100</v>
      </c>
      <c r="X24" s="1816"/>
      <c r="Y24" s="3212"/>
      <c r="Z24" s="1817">
        <f>Q24</f>
        <v>111</v>
      </c>
      <c r="AA24" s="1814">
        <f t="shared" si="3"/>
        <v>1</v>
      </c>
      <c r="AB24" s="1814">
        <f t="shared" si="4"/>
        <v>1</v>
      </c>
      <c r="AC24" s="1814">
        <f t="shared" si="5"/>
        <v>1</v>
      </c>
    </row>
    <row r="25" spans="1:29" s="117" customFormat="1" ht="15.6"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12"/>
      <c r="Q25" s="1798">
        <f t="shared" si="11"/>
        <v>111</v>
      </c>
      <c r="R25" s="770" t="s">
        <v>17</v>
      </c>
      <c r="S25" s="771">
        <f>F25</f>
        <v>100</v>
      </c>
      <c r="T25" s="770" t="s">
        <v>17</v>
      </c>
      <c r="U25" s="771">
        <f>H25</f>
        <v>100</v>
      </c>
      <c r="V25" s="770" t="s">
        <v>17</v>
      </c>
      <c r="W25" s="771">
        <f>J25</f>
        <v>100</v>
      </c>
      <c r="X25" s="772"/>
      <c r="Y25" s="3212"/>
      <c r="Z25" s="55">
        <f>Q25</f>
        <v>111</v>
      </c>
      <c r="AA25" s="1814">
        <f>D25/F25</f>
        <v>1</v>
      </c>
      <c r="AB25" s="1814">
        <f>D25/H25</f>
        <v>1</v>
      </c>
      <c r="AC25" s="1814">
        <f>D25/J25</f>
        <v>1</v>
      </c>
    </row>
    <row r="26" spans="1:29" ht="30">
      <c r="A26" s="466" t="s">
        <v>2563</v>
      </c>
      <c r="B26" s="71" t="s">
        <v>2714</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35" t="s">
        <v>2565</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16" t="s">
        <v>2565</v>
      </c>
      <c r="Z26" s="1817" t="str">
        <f t="shared" ref="Z26:Z34" si="15">Q26</f>
        <v>公共部分装修</v>
      </c>
      <c r="AA26" s="1814">
        <f t="shared" si="3"/>
        <v>1</v>
      </c>
      <c r="AB26" s="1814">
        <f t="shared" si="4"/>
        <v>1</v>
      </c>
      <c r="AC26" s="1814">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16"/>
      <c r="Q27" s="776" t="str">
        <f t="shared" si="11"/>
        <v>成新率</v>
      </c>
      <c r="R27" s="777" t="s">
        <v>17</v>
      </c>
      <c r="S27" s="778" t="e">
        <f t="shared" si="12"/>
        <v>#N/A</v>
      </c>
      <c r="T27" s="777" t="s">
        <v>17</v>
      </c>
      <c r="U27" s="778" t="e">
        <f t="shared" si="13"/>
        <v>#N/A</v>
      </c>
      <c r="V27" s="777" t="s">
        <v>17</v>
      </c>
      <c r="W27" s="778" t="e">
        <f t="shared" si="14"/>
        <v>#N/A</v>
      </c>
      <c r="X27" s="779"/>
      <c r="Y27" s="3216"/>
      <c r="Z27" s="780" t="str">
        <f t="shared" si="15"/>
        <v>成新率</v>
      </c>
      <c r="AA27" s="1814" t="e">
        <f t="shared" si="3"/>
        <v>#N/A</v>
      </c>
      <c r="AB27" s="1814" t="e">
        <f t="shared" si="4"/>
        <v>#N/A</v>
      </c>
      <c r="AC27" s="1814"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16"/>
      <c r="Q28" s="1813" t="str">
        <f t="shared" si="11"/>
        <v>物业等级</v>
      </c>
      <c r="R28" s="774" t="s">
        <v>17</v>
      </c>
      <c r="S28" s="775">
        <f t="shared" si="12"/>
        <v>100</v>
      </c>
      <c r="T28" s="774" t="s">
        <v>17</v>
      </c>
      <c r="U28" s="775">
        <f t="shared" si="13"/>
        <v>100</v>
      </c>
      <c r="V28" s="774" t="s">
        <v>17</v>
      </c>
      <c r="W28" s="775">
        <f t="shared" si="14"/>
        <v>100</v>
      </c>
      <c r="X28" s="1816"/>
      <c r="Y28" s="3216"/>
      <c r="Z28" s="1817" t="str">
        <f t="shared" si="15"/>
        <v>物业等级</v>
      </c>
      <c r="AA28" s="1814">
        <f t="shared" si="3"/>
        <v>1</v>
      </c>
      <c r="AB28" s="1814">
        <f t="shared" si="4"/>
        <v>1</v>
      </c>
      <c r="AC28" s="1814">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16"/>
      <c r="Q29" s="1813" t="str">
        <f t="shared" si="11"/>
        <v>有无电梯</v>
      </c>
      <c r="R29" s="774" t="s">
        <v>17</v>
      </c>
      <c r="S29" s="775">
        <f t="shared" si="12"/>
        <v>100</v>
      </c>
      <c r="T29" s="774" t="s">
        <v>17</v>
      </c>
      <c r="U29" s="775">
        <f t="shared" si="13"/>
        <v>100</v>
      </c>
      <c r="V29" s="774" t="s">
        <v>17</v>
      </c>
      <c r="W29" s="775">
        <f t="shared" si="14"/>
        <v>100</v>
      </c>
      <c r="X29" s="1816"/>
      <c r="Y29" s="3216"/>
      <c r="Z29" s="1817" t="str">
        <f t="shared" si="15"/>
        <v>有无电梯</v>
      </c>
      <c r="AA29" s="1814">
        <f t="shared" si="3"/>
        <v>1</v>
      </c>
      <c r="AB29" s="1814">
        <f t="shared" si="4"/>
        <v>1</v>
      </c>
      <c r="AC29" s="1814">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16"/>
      <c r="Q30" s="1813" t="str">
        <f t="shared" si="11"/>
        <v>建筑面积</v>
      </c>
      <c r="R30" s="774" t="s">
        <v>17</v>
      </c>
      <c r="S30" s="775" t="e">
        <f t="shared" si="12"/>
        <v>#N/A</v>
      </c>
      <c r="T30" s="774" t="s">
        <v>17</v>
      </c>
      <c r="U30" s="775" t="e">
        <f t="shared" si="13"/>
        <v>#N/A</v>
      </c>
      <c r="V30" s="774" t="s">
        <v>17</v>
      </c>
      <c r="W30" s="775" t="e">
        <f t="shared" si="14"/>
        <v>#N/A</v>
      </c>
      <c r="X30" s="1816"/>
      <c r="Y30" s="3216"/>
      <c r="Z30" s="1817" t="str">
        <f t="shared" si="15"/>
        <v>建筑面积</v>
      </c>
      <c r="AA30" s="1814" t="e">
        <f t="shared" si="3"/>
        <v>#N/A</v>
      </c>
      <c r="AB30" s="1814" t="e">
        <f t="shared" si="4"/>
        <v>#N/A</v>
      </c>
      <c r="AC30" s="1814"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16"/>
      <c r="Q31" s="1798" t="str">
        <f t="shared" si="11"/>
        <v>是否封闭</v>
      </c>
      <c r="R31" s="770" t="s">
        <v>17</v>
      </c>
      <c r="S31" s="771">
        <f t="shared" si="12"/>
        <v>100</v>
      </c>
      <c r="T31" s="770" t="s">
        <v>17</v>
      </c>
      <c r="U31" s="771">
        <f t="shared" si="13"/>
        <v>100</v>
      </c>
      <c r="V31" s="770" t="s">
        <v>17</v>
      </c>
      <c r="W31" s="771">
        <f t="shared" si="14"/>
        <v>100</v>
      </c>
      <c r="X31" s="772"/>
      <c r="Y31" s="3216"/>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16" t="s">
        <v>2565</v>
      </c>
      <c r="Q32" s="1813">
        <f t="shared" si="11"/>
        <v>111</v>
      </c>
      <c r="R32" s="774" t="s">
        <v>17</v>
      </c>
      <c r="S32" s="775">
        <f t="shared" si="12"/>
        <v>100</v>
      </c>
      <c r="T32" s="774" t="s">
        <v>17</v>
      </c>
      <c r="U32" s="775">
        <f t="shared" si="13"/>
        <v>100</v>
      </c>
      <c r="V32" s="774" t="s">
        <v>17</v>
      </c>
      <c r="W32" s="775">
        <f t="shared" si="14"/>
        <v>100</v>
      </c>
      <c r="X32" s="1816"/>
      <c r="Y32" s="3216" t="s">
        <v>2565</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16"/>
      <c r="Q33" s="1813">
        <f t="shared" si="11"/>
        <v>111</v>
      </c>
      <c r="R33" s="774" t="s">
        <v>17</v>
      </c>
      <c r="S33" s="775">
        <f t="shared" si="12"/>
        <v>100</v>
      </c>
      <c r="T33" s="774" t="s">
        <v>17</v>
      </c>
      <c r="U33" s="775">
        <f t="shared" si="13"/>
        <v>100</v>
      </c>
      <c r="V33" s="774" t="s">
        <v>17</v>
      </c>
      <c r="W33" s="775">
        <f t="shared" si="14"/>
        <v>100</v>
      </c>
      <c r="X33" s="1816"/>
      <c r="Y33" s="3216"/>
      <c r="Z33" s="1817">
        <f t="shared" si="15"/>
        <v>111</v>
      </c>
      <c r="AA33" s="1814">
        <f t="shared" si="3"/>
        <v>1</v>
      </c>
      <c r="AB33" s="1814">
        <f t="shared" si="4"/>
        <v>1</v>
      </c>
      <c r="AC33" s="1814">
        <f t="shared" si="5"/>
        <v>1</v>
      </c>
    </row>
    <row r="34" spans="1:29" ht="15.6"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16"/>
      <c r="Q34" s="1813">
        <f t="shared" si="11"/>
        <v>111</v>
      </c>
      <c r="R34" s="774" t="s">
        <v>17</v>
      </c>
      <c r="S34" s="775">
        <f t="shared" si="12"/>
        <v>100</v>
      </c>
      <c r="T34" s="774" t="s">
        <v>17</v>
      </c>
      <c r="U34" s="775">
        <f t="shared" si="13"/>
        <v>100</v>
      </c>
      <c r="V34" s="774" t="s">
        <v>17</v>
      </c>
      <c r="W34" s="775">
        <f t="shared" si="14"/>
        <v>100</v>
      </c>
      <c r="X34" s="1816"/>
      <c r="Y34" s="3216"/>
      <c r="Z34" s="1817">
        <f t="shared" si="15"/>
        <v>111</v>
      </c>
      <c r="AA34" s="1814">
        <f t="shared" si="3"/>
        <v>1</v>
      </c>
      <c r="AB34" s="1814">
        <f t="shared" si="4"/>
        <v>1</v>
      </c>
      <c r="AC34" s="1814">
        <f t="shared" si="5"/>
        <v>1</v>
      </c>
    </row>
    <row r="35" spans="1:29" ht="14.4">
      <c r="A35" s="479" t="s">
        <v>2577</v>
      </c>
      <c r="B35" s="480"/>
      <c r="C35" s="1410" t="s">
        <v>1</v>
      </c>
      <c r="D35" s="1411"/>
      <c r="E35" s="1412"/>
      <c r="F35" s="1413"/>
      <c r="G35" s="1414"/>
      <c r="H35" s="1415"/>
      <c r="I35" s="1412"/>
      <c r="J35" s="1415"/>
      <c r="K35" s="783"/>
      <c r="L35" s="1146"/>
      <c r="M35" s="1147"/>
      <c r="N35" s="1134"/>
      <c r="O35" s="1147"/>
      <c r="P35" s="3209" t="str">
        <f>A35</f>
        <v>成交单价（元/平方米）</v>
      </c>
      <c r="Q35" s="3209"/>
      <c r="R35" s="3210">
        <f>E35</f>
        <v>0</v>
      </c>
      <c r="S35" s="3210"/>
      <c r="T35" s="3210">
        <f>G35</f>
        <v>0</v>
      </c>
      <c r="U35" s="3210"/>
      <c r="V35" s="3210">
        <f>I35</f>
        <v>0</v>
      </c>
      <c r="W35" s="3210"/>
      <c r="X35" s="759"/>
      <c r="Y35" s="781"/>
      <c r="Z35" s="759"/>
      <c r="AA35" s="759"/>
      <c r="AB35" s="759"/>
      <c r="AC35" s="759"/>
    </row>
    <row r="36" spans="1:29" ht="15" thickBot="1">
      <c r="A36" s="486" t="s">
        <v>2669</v>
      </c>
      <c r="B36" s="487"/>
      <c r="C36" s="1416" t="e">
        <f>R37</f>
        <v>#DIV/0!</v>
      </c>
      <c r="D36" s="1417"/>
      <c r="E36" s="1418" t="e">
        <f>R36</f>
        <v>#DIV/0!</v>
      </c>
      <c r="F36" s="1418"/>
      <c r="G36" s="1416" t="e">
        <f>T36</f>
        <v>#DIV/0!</v>
      </c>
      <c r="H36" s="1417"/>
      <c r="I36" s="1418" t="e">
        <f>V36</f>
        <v>#DIV/0!</v>
      </c>
      <c r="J36" s="1417"/>
      <c r="K36" s="784"/>
      <c r="L36" s="1146"/>
      <c r="M36" s="1147"/>
      <c r="N36" s="1134"/>
      <c r="O36" s="1147"/>
      <c r="P36" s="3209" t="str">
        <f>A36</f>
        <v>比较价值（元/平方米）</v>
      </c>
      <c r="Q36" s="3209"/>
      <c r="R36" s="3210" t="e">
        <f>IF(F1="售价",ROUND(PRODUCT(R35,AA7:AA34),0),ROUND(PRODUCT(R35,AA7:AA34),1))</f>
        <v>#DIV/0!</v>
      </c>
      <c r="S36" s="3210"/>
      <c r="T36" s="3210" t="e">
        <f>IF(F1="售价",ROUND(PRODUCT(T35,AB7:AB34),0),ROUND(PRODUCT(T35,AB7:AB34),1))</f>
        <v>#DIV/0!</v>
      </c>
      <c r="U36" s="3210"/>
      <c r="V36" s="3210" t="e">
        <f>IF(F1="售价",ROUND(PRODUCT(V35,AC7:AC34),0),ROUND(PRODUCT(V35,AC7:AC34),1))</f>
        <v>#DIV/0!</v>
      </c>
      <c r="W36" s="3210"/>
      <c r="X36" s="759"/>
      <c r="Y36" s="759"/>
      <c r="Z36" s="759"/>
      <c r="AA36" s="759"/>
      <c r="AB36" s="759"/>
      <c r="AC36" s="759"/>
    </row>
    <row r="37" spans="1:29" ht="15" thickBot="1">
      <c r="A37" s="492" t="s">
        <v>2670</v>
      </c>
      <c r="B37" s="493"/>
      <c r="C37" s="1420" t="e">
        <f>R37</f>
        <v>#DIV/0!</v>
      </c>
      <c r="D37" s="1420"/>
      <c r="E37" s="1420"/>
      <c r="F37" s="1420"/>
      <c r="G37" s="1420"/>
      <c r="H37" s="1420"/>
      <c r="I37" s="1420"/>
      <c r="J37" s="1420"/>
      <c r="K37" s="785"/>
      <c r="L37" s="1146"/>
      <c r="M37" s="1147"/>
      <c r="N37" s="1147"/>
      <c r="O37" s="1147"/>
      <c r="P37" s="3206" t="str">
        <f>A37</f>
        <v>估价对象XX用房的比较价值（楼面单价，元/平方米）</v>
      </c>
      <c r="Q37" s="3207"/>
      <c r="R37" s="3208" t="e">
        <f>IF(F1="售价",ROUND(AVERAGE(R36:V36),0),ROUND(AVERAGE(R36:V36),1))</f>
        <v>#DIV/0!</v>
      </c>
      <c r="S37" s="3208"/>
      <c r="T37" s="3208"/>
      <c r="U37" s="3208"/>
      <c r="V37" s="3208"/>
      <c r="W37" s="320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2.2" thickBot="1">
      <c r="A45" s="763" t="s">
        <v>2674</v>
      </c>
      <c r="B45" s="759"/>
      <c r="C45" s="764"/>
      <c r="D45" s="764"/>
      <c r="E45" s="764"/>
      <c r="F45" s="765"/>
      <c r="G45" s="765"/>
      <c r="H45" s="764"/>
      <c r="I45" s="764"/>
      <c r="J45" s="764"/>
      <c r="K45" s="766"/>
      <c r="L45" s="767"/>
      <c r="M45" s="764"/>
      <c r="N45" s="764"/>
      <c r="O45" s="764"/>
      <c r="P45" s="503"/>
      <c r="Q45" s="504"/>
    </row>
    <row r="46" spans="1:29" s="508" customFormat="1" ht="14.4">
      <c r="A46" s="505" t="s">
        <v>2548</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c r="A47" s="509"/>
      <c r="B47" s="510"/>
      <c r="C47" s="1576">
        <v>100</v>
      </c>
      <c r="D47" s="512"/>
      <c r="E47" s="512"/>
      <c r="F47" s="512"/>
      <c r="G47" s="512"/>
      <c r="H47" s="512"/>
      <c r="I47" s="512"/>
      <c r="J47" s="512"/>
      <c r="K47" s="512"/>
      <c r="L47" s="512"/>
      <c r="M47" s="513"/>
      <c r="N47" s="512"/>
      <c r="O47" s="514"/>
      <c r="P47" s="504"/>
    </row>
    <row r="48" spans="1:29" s="117" customFormat="1" ht="15" thickBot="1">
      <c r="A48" s="515" t="s">
        <v>2585</v>
      </c>
      <c r="B48" s="516"/>
      <c r="C48" s="517"/>
      <c r="D48" s="518"/>
      <c r="E48" s="518"/>
      <c r="F48" s="518"/>
      <c r="G48" s="518"/>
      <c r="H48" s="518"/>
      <c r="I48" s="518"/>
      <c r="J48" s="518"/>
      <c r="K48" s="518"/>
      <c r="L48" s="518"/>
      <c r="M48" s="519"/>
      <c r="N48" s="518"/>
      <c r="O48" s="520"/>
      <c r="P48" s="504"/>
      <c r="Q48" s="504"/>
    </row>
    <row r="49" spans="1:17" s="117" customFormat="1" ht="14.4">
      <c r="A49" s="521" t="s">
        <v>2550</v>
      </c>
      <c r="B49" s="510"/>
      <c r="C49" s="522" t="s">
        <v>2652</v>
      </c>
      <c r="D49" s="523"/>
      <c r="E49" s="523"/>
      <c r="F49" s="523"/>
      <c r="G49" s="523"/>
      <c r="H49" s="523"/>
      <c r="I49" s="523"/>
      <c r="J49" s="523"/>
      <c r="K49" s="523"/>
      <c r="L49" s="524"/>
      <c r="M49" s="525"/>
      <c r="N49" s="1154"/>
      <c r="O49" s="1154"/>
      <c r="P49" s="526"/>
      <c r="Q49" s="504"/>
    </row>
    <row r="50" spans="1:17" s="117" customFormat="1" ht="14.4" thickBot="1">
      <c r="A50" s="521"/>
      <c r="B50" s="510"/>
      <c r="C50" s="639">
        <v>100</v>
      </c>
      <c r="D50" s="512"/>
      <c r="E50" s="512"/>
      <c r="F50" s="512"/>
      <c r="G50" s="512"/>
      <c r="H50" s="512"/>
      <c r="I50" s="512"/>
      <c r="J50" s="512"/>
      <c r="K50" s="512"/>
      <c r="L50" s="512"/>
      <c r="M50" s="514"/>
      <c r="N50" s="1154"/>
      <c r="O50" s="1154"/>
      <c r="P50" s="504"/>
      <c r="Q50" s="504"/>
    </row>
    <row r="51" spans="1:17" ht="14.4">
      <c r="A51" s="527" t="s">
        <v>2588</v>
      </c>
      <c r="B51" s="528" t="s">
        <v>2554</v>
      </c>
      <c r="C51" s="529">
        <f>C9</f>
        <v>0</v>
      </c>
      <c r="D51" s="530"/>
      <c r="E51" s="530"/>
      <c r="F51" s="530"/>
      <c r="G51" s="530"/>
      <c r="H51" s="530"/>
      <c r="I51" s="530"/>
      <c r="J51" s="530"/>
      <c r="K51" s="531"/>
      <c r="L51" s="532"/>
      <c r="M51" s="533"/>
      <c r="N51" s="1155"/>
      <c r="O51" s="1155"/>
      <c r="P51" s="45"/>
      <c r="Q51" s="504"/>
    </row>
    <row r="52" spans="1:17" ht="14.4" thickBot="1">
      <c r="A52" s="534"/>
      <c r="B52" s="535"/>
      <c r="C52" s="536">
        <v>100</v>
      </c>
      <c r="D52" s="536"/>
      <c r="E52" s="536"/>
      <c r="F52" s="536"/>
      <c r="G52" s="536"/>
      <c r="H52" s="536"/>
      <c r="I52" s="536"/>
      <c r="J52" s="536"/>
      <c r="K52" s="536"/>
      <c r="L52" s="536"/>
      <c r="M52" s="537"/>
      <c r="N52" s="1156"/>
      <c r="O52" s="1156"/>
      <c r="P52" s="45"/>
      <c r="Q52" s="504"/>
    </row>
    <row r="53" spans="1:17" ht="29.4"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4.4" thickTop="1">
      <c r="A55" s="534"/>
      <c r="B55" s="660">
        <f>B11</f>
        <v>111</v>
      </c>
      <c r="C55" s="549"/>
      <c r="D55" s="549"/>
      <c r="E55" s="549"/>
      <c r="F55" s="549"/>
      <c r="G55" s="549"/>
      <c r="H55" s="549"/>
      <c r="I55" s="549"/>
      <c r="J55" s="549"/>
      <c r="K55" s="550"/>
      <c r="L55" s="551"/>
      <c r="M55" s="552"/>
      <c r="N55" s="1155"/>
      <c r="O55" s="1155"/>
      <c r="P55" s="45"/>
      <c r="Q55" s="504"/>
    </row>
    <row r="56" spans="1:17" ht="14.4" thickBot="1">
      <c r="A56" s="534"/>
      <c r="B56" s="535"/>
      <c r="C56" s="560"/>
      <c r="D56" s="536"/>
      <c r="E56" s="536"/>
      <c r="F56" s="536"/>
      <c r="G56" s="536"/>
      <c r="H56" s="536"/>
      <c r="I56" s="536"/>
      <c r="J56" s="536"/>
      <c r="K56" s="536"/>
      <c r="L56" s="536"/>
      <c r="M56" s="537"/>
      <c r="N56" s="1156"/>
      <c r="O56" s="1156"/>
      <c r="P56" s="45"/>
      <c r="Q56" s="504"/>
    </row>
    <row r="57" spans="1:17" s="471" customFormat="1" ht="14.4" thickTop="1">
      <c r="A57" s="553"/>
      <c r="B57" s="538">
        <f>B12</f>
        <v>111</v>
      </c>
      <c r="C57" s="549"/>
      <c r="D57" s="549"/>
      <c r="E57" s="549"/>
      <c r="F57" s="549"/>
      <c r="G57" s="554"/>
      <c r="H57" s="555"/>
      <c r="I57" s="555"/>
      <c r="J57" s="555"/>
      <c r="K57" s="555"/>
      <c r="L57" s="556"/>
      <c r="M57" s="557"/>
      <c r="N57" s="1157"/>
      <c r="O57" s="1157"/>
      <c r="P57" s="558"/>
      <c r="Q57" s="559"/>
    </row>
    <row r="58" spans="1:17" s="471" customFormat="1" ht="14.4" thickBot="1">
      <c r="A58" s="553"/>
      <c r="B58" s="543"/>
      <c r="C58" s="560"/>
      <c r="D58" s="536"/>
      <c r="E58" s="536"/>
      <c r="F58" s="536"/>
      <c r="G58" s="536"/>
      <c r="H58" s="536"/>
      <c r="I58" s="536"/>
      <c r="J58" s="536"/>
      <c r="K58" s="536"/>
      <c r="L58" s="536"/>
      <c r="M58" s="537"/>
      <c r="N58" s="1156"/>
      <c r="O58" s="1156"/>
      <c r="P58" s="558"/>
      <c r="Q58" s="559"/>
    </row>
    <row r="59" spans="1:17" s="471" customFormat="1" ht="14.4" thickTop="1">
      <c r="A59" s="553"/>
      <c r="B59" s="538">
        <f>B13</f>
        <v>111</v>
      </c>
      <c r="C59" s="549"/>
      <c r="D59" s="549"/>
      <c r="E59" s="549"/>
      <c r="F59" s="549"/>
      <c r="G59" s="554"/>
      <c r="H59" s="555"/>
      <c r="I59" s="555"/>
      <c r="J59" s="555"/>
      <c r="K59" s="555"/>
      <c r="L59" s="556"/>
      <c r="M59" s="557"/>
      <c r="N59" s="1157"/>
      <c r="O59" s="1157"/>
      <c r="P59" s="470"/>
      <c r="Q59" s="561"/>
    </row>
    <row r="60" spans="1:17" s="471" customFormat="1" ht="14.4"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9.4"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 thickTop="1">
      <c r="A65" s="534"/>
      <c r="B65" s="546" t="s">
        <v>2689</v>
      </c>
      <c r="C65" s="660" t="s">
        <v>2675</v>
      </c>
      <c r="D65" s="660" t="s">
        <v>2676</v>
      </c>
      <c r="E65" s="660" t="s">
        <v>2677</v>
      </c>
      <c r="F65" s="660" t="s">
        <v>2678</v>
      </c>
      <c r="G65" s="660" t="s">
        <v>2679</v>
      </c>
      <c r="H65" s="539"/>
      <c r="I65" s="539"/>
      <c r="J65" s="539"/>
      <c r="K65" s="539"/>
      <c r="L65" s="539"/>
      <c r="M65" s="1385"/>
      <c r="N65" s="1156"/>
      <c r="O65" s="1156"/>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 thickTop="1">
      <c r="A69" s="534"/>
      <c r="B69" s="538" t="s">
        <v>2729</v>
      </c>
      <c r="C69" s="554"/>
      <c r="D69" s="554"/>
      <c r="E69" s="554"/>
      <c r="F69" s="554"/>
      <c r="G69" s="554"/>
      <c r="H69" s="583"/>
      <c r="I69" s="583"/>
      <c r="J69" s="583"/>
      <c r="K69" s="584"/>
      <c r="L69" s="585"/>
      <c r="M69" s="586"/>
      <c r="N69" s="1155"/>
      <c r="O69" s="1155"/>
      <c r="P69" s="45"/>
      <c r="Q69" s="504"/>
    </row>
    <row r="70" spans="1:17" ht="14.4"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4.4" thickTop="1">
      <c r="A71" s="579"/>
      <c r="B71" s="538">
        <f>B23</f>
        <v>111</v>
      </c>
      <c r="C71" s="549"/>
      <c r="D71" s="549"/>
      <c r="E71" s="549"/>
      <c r="F71" s="549"/>
      <c r="G71" s="554"/>
      <c r="H71" s="554"/>
      <c r="I71" s="554"/>
      <c r="J71" s="554"/>
      <c r="K71" s="554"/>
      <c r="L71" s="580"/>
      <c r="M71" s="581"/>
      <c r="N71" s="1154"/>
      <c r="O71" s="1154"/>
      <c r="P71" s="45"/>
      <c r="Q71" s="504"/>
    </row>
    <row r="72" spans="1:17" s="117" customFormat="1" ht="14.4" thickBot="1">
      <c r="A72" s="579"/>
      <c r="B72" s="543"/>
      <c r="C72" s="560"/>
      <c r="D72" s="536"/>
      <c r="E72" s="536"/>
      <c r="F72" s="536"/>
      <c r="G72" s="536"/>
      <c r="H72" s="536"/>
      <c r="I72" s="536"/>
      <c r="J72" s="536"/>
      <c r="K72" s="536"/>
      <c r="L72" s="536"/>
      <c r="M72" s="537"/>
      <c r="N72" s="1156"/>
      <c r="O72" s="1156"/>
      <c r="P72" s="45"/>
      <c r="Q72" s="504"/>
    </row>
    <row r="73" spans="1:17" s="117" customFormat="1" ht="14.4" thickTop="1">
      <c r="A73" s="579"/>
      <c r="B73" s="538">
        <f>B24</f>
        <v>111</v>
      </c>
      <c r="C73" s="549"/>
      <c r="D73" s="549"/>
      <c r="E73" s="549"/>
      <c r="F73" s="549"/>
      <c r="G73" s="554"/>
      <c r="H73" s="554"/>
      <c r="I73" s="554"/>
      <c r="J73" s="554"/>
      <c r="K73" s="554"/>
      <c r="L73" s="554"/>
      <c r="M73" s="581"/>
      <c r="N73" s="1154"/>
      <c r="O73" s="1154"/>
      <c r="P73" s="45"/>
      <c r="Q73" s="504"/>
    </row>
    <row r="74" spans="1:17" s="117" customFormat="1" ht="14.4" thickBot="1">
      <c r="A74" s="579"/>
      <c r="B74" s="543"/>
      <c r="C74" s="560"/>
      <c r="D74" s="536"/>
      <c r="E74" s="536"/>
      <c r="F74" s="536"/>
      <c r="G74" s="536"/>
      <c r="H74" s="536"/>
      <c r="I74" s="536"/>
      <c r="J74" s="536"/>
      <c r="K74" s="536"/>
      <c r="L74" s="536"/>
      <c r="M74" s="537"/>
      <c r="N74" s="1156"/>
      <c r="O74" s="1156"/>
      <c r="P74" s="45"/>
      <c r="Q74" s="504"/>
    </row>
    <row r="75" spans="1:17" s="471" customFormat="1" ht="14.4" thickTop="1">
      <c r="A75" s="553"/>
      <c r="B75" s="538">
        <f>B25</f>
        <v>111</v>
      </c>
      <c r="C75" s="549"/>
      <c r="D75" s="549"/>
      <c r="E75" s="549"/>
      <c r="F75" s="549"/>
      <c r="G75" s="554"/>
      <c r="H75" s="555"/>
      <c r="I75" s="555"/>
      <c r="J75" s="555"/>
      <c r="K75" s="555"/>
      <c r="L75" s="556"/>
      <c r="M75" s="557"/>
      <c r="N75" s="1157"/>
      <c r="O75" s="1157"/>
      <c r="P75" s="558"/>
      <c r="Q75" s="559"/>
    </row>
    <row r="76" spans="1:17" s="471" customFormat="1" ht="14.4"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4.4"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4.4" thickBot="1">
      <c r="A90" s="553"/>
      <c r="B90" s="543"/>
      <c r="C90" s="560"/>
      <c r="D90" s="536"/>
      <c r="E90" s="536"/>
      <c r="F90" s="536"/>
      <c r="G90" s="536"/>
      <c r="H90" s="536"/>
      <c r="I90" s="536"/>
      <c r="J90" s="536"/>
      <c r="K90" s="536"/>
      <c r="L90" s="536"/>
      <c r="M90" s="537"/>
      <c r="N90" s="1157"/>
      <c r="O90" s="1157"/>
      <c r="P90" s="558"/>
      <c r="Q90" s="559"/>
    </row>
    <row r="91" spans="1:17" ht="14.4" thickTop="1">
      <c r="A91" s="599"/>
      <c r="B91" s="538">
        <f>B32</f>
        <v>111</v>
      </c>
      <c r="C91" s="549"/>
      <c r="D91" s="549"/>
      <c r="E91" s="549"/>
      <c r="F91" s="549"/>
      <c r="G91" s="554"/>
      <c r="H91" s="555"/>
      <c r="I91" s="555"/>
      <c r="J91" s="555"/>
      <c r="K91" s="555"/>
      <c r="L91" s="556"/>
      <c r="M91" s="557"/>
      <c r="N91" s="1155"/>
      <c r="O91" s="1155"/>
      <c r="P91" s="45"/>
      <c r="Q91" s="504"/>
    </row>
    <row r="92" spans="1:17" ht="14.4" thickBot="1">
      <c r="A92" s="534"/>
      <c r="B92" s="543"/>
      <c r="C92" s="560"/>
      <c r="D92" s="536"/>
      <c r="E92" s="536"/>
      <c r="F92" s="536"/>
      <c r="G92" s="560"/>
      <c r="H92" s="562"/>
      <c r="I92" s="562"/>
      <c r="J92" s="562"/>
      <c r="K92" s="562"/>
      <c r="L92" s="562"/>
      <c r="M92" s="563"/>
      <c r="N92" s="1156"/>
      <c r="O92" s="1156"/>
      <c r="P92" s="45"/>
      <c r="Q92" s="504"/>
    </row>
    <row r="93" spans="1:17" ht="14.4" thickTop="1">
      <c r="A93" s="599"/>
      <c r="B93" s="538">
        <f>B33</f>
        <v>111</v>
      </c>
      <c r="C93" s="549"/>
      <c r="D93" s="549"/>
      <c r="E93" s="549"/>
      <c r="F93" s="549"/>
      <c r="G93" s="554"/>
      <c r="H93" s="555"/>
      <c r="I93" s="555"/>
      <c r="J93" s="555"/>
      <c r="K93" s="555"/>
      <c r="L93" s="556"/>
      <c r="M93" s="557"/>
      <c r="N93" s="1155"/>
      <c r="O93" s="1155"/>
      <c r="P93" s="45"/>
      <c r="Q93" s="504"/>
    </row>
    <row r="94" spans="1:17" ht="14.4" thickBot="1">
      <c r="A94" s="534"/>
      <c r="B94" s="543"/>
      <c r="C94" s="560"/>
      <c r="D94" s="536"/>
      <c r="E94" s="536"/>
      <c r="F94" s="536"/>
      <c r="G94" s="560"/>
      <c r="H94" s="562"/>
      <c r="I94" s="562"/>
      <c r="J94" s="562"/>
      <c r="K94" s="562"/>
      <c r="L94" s="562"/>
      <c r="M94" s="563"/>
      <c r="N94" s="1156"/>
      <c r="O94" s="1156"/>
      <c r="P94" s="45"/>
      <c r="Q94" s="504"/>
    </row>
    <row r="95" spans="1:17" ht="14.4" thickTop="1">
      <c r="A95" s="599"/>
      <c r="B95" s="636">
        <f>B34</f>
        <v>111</v>
      </c>
      <c r="C95" s="549"/>
      <c r="D95" s="549"/>
      <c r="E95" s="549"/>
      <c r="F95" s="549"/>
      <c r="G95" s="554"/>
      <c r="H95" s="555"/>
      <c r="I95" s="555"/>
      <c r="J95" s="555"/>
      <c r="K95" s="555"/>
      <c r="L95" s="556"/>
      <c r="M95" s="557"/>
      <c r="N95" s="1156"/>
      <c r="O95" s="1156"/>
      <c r="P95" s="637"/>
      <c r="Q95" s="638"/>
    </row>
    <row r="96" spans="1:17" ht="14.4" thickBot="1">
      <c r="A96" s="534"/>
      <c r="B96" s="543"/>
      <c r="C96" s="560"/>
      <c r="D96" s="560"/>
      <c r="E96" s="560"/>
      <c r="F96" s="560"/>
      <c r="G96" s="560"/>
      <c r="H96" s="562"/>
      <c r="I96" s="562"/>
      <c r="J96" s="562"/>
      <c r="K96" s="562"/>
      <c r="L96" s="562"/>
      <c r="M96" s="563"/>
      <c r="N96" s="1156"/>
      <c r="O96" s="1156"/>
      <c r="P96" s="45"/>
      <c r="Q96" s="504"/>
    </row>
    <row r="97" spans="1:20" ht="14.4"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F36" sqref="F36"/>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2327</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2329</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4.4">
      <c r="A4" s="401" t="s">
        <v>2645</v>
      </c>
      <c r="B4" s="402"/>
      <c r="C4" s="3192" t="s">
        <v>2646</v>
      </c>
      <c r="D4" s="3193"/>
      <c r="E4" s="3194" t="s">
        <v>2647</v>
      </c>
      <c r="F4" s="3195"/>
      <c r="G4" s="3192" t="s">
        <v>2648</v>
      </c>
      <c r="H4" s="3193"/>
      <c r="I4" s="3192" t="s">
        <v>2649</v>
      </c>
      <c r="J4" s="3193"/>
      <c r="K4" s="610" t="s">
        <v>2650</v>
      </c>
      <c r="L4" s="1133"/>
      <c r="M4" s="1134"/>
      <c r="N4" s="1134"/>
      <c r="O4" s="1134"/>
      <c r="P4" s="3196" t="s">
        <v>2651</v>
      </c>
      <c r="Q4" s="3197"/>
      <c r="R4" s="3179" t="s">
        <v>2647</v>
      </c>
      <c r="S4" s="3180"/>
      <c r="T4" s="3179" t="s">
        <v>2648</v>
      </c>
      <c r="U4" s="3180"/>
      <c r="V4" s="3204" t="s">
        <v>2649</v>
      </c>
      <c r="W4" s="3204"/>
      <c r="X4" s="1816"/>
      <c r="Y4" s="3179" t="s">
        <v>2651</v>
      </c>
      <c r="Z4" s="3180"/>
      <c r="AA4" s="3174" t="s">
        <v>2647</v>
      </c>
      <c r="AB4" s="3175" t="s">
        <v>2648</v>
      </c>
      <c r="AC4" s="3174" t="s">
        <v>2649</v>
      </c>
    </row>
    <row r="5" spans="1:30">
      <c r="A5" s="404"/>
      <c r="B5" s="405"/>
      <c r="C5" s="3185" t="s">
        <v>2542</v>
      </c>
      <c r="D5" s="3186"/>
      <c r="E5" s="3183" t="s">
        <v>2543</v>
      </c>
      <c r="F5" s="3184"/>
      <c r="G5" s="3185" t="s">
        <v>2544</v>
      </c>
      <c r="H5" s="3186"/>
      <c r="I5" s="3185" t="s">
        <v>2545</v>
      </c>
      <c r="J5" s="3186"/>
      <c r="K5" s="610"/>
      <c r="L5" s="1133"/>
      <c r="M5" s="1134"/>
      <c r="N5" s="1134"/>
      <c r="O5" s="1134"/>
      <c r="P5" s="3198"/>
      <c r="Q5" s="3199"/>
      <c r="R5" s="3181"/>
      <c r="S5" s="3182"/>
      <c r="T5" s="3181"/>
      <c r="U5" s="3182"/>
      <c r="V5" s="3204"/>
      <c r="W5" s="3204"/>
      <c r="X5" s="1816"/>
      <c r="Y5" s="3181"/>
      <c r="Z5" s="3182"/>
      <c r="AA5" s="3175"/>
      <c r="AB5" s="3175"/>
      <c r="AC5" s="3175"/>
    </row>
    <row r="6" spans="1:30" ht="15" thickBot="1">
      <c r="A6" s="406"/>
      <c r="B6" s="407"/>
      <c r="C6" s="3187" t="s">
        <v>2546</v>
      </c>
      <c r="D6" s="3188"/>
      <c r="E6" s="3189" t="s">
        <v>2546</v>
      </c>
      <c r="F6" s="3190"/>
      <c r="G6" s="3187" t="s">
        <v>2546</v>
      </c>
      <c r="H6" s="3188"/>
      <c r="I6" s="3187" t="s">
        <v>2546</v>
      </c>
      <c r="J6" s="3188"/>
      <c r="K6" s="610" t="s">
        <v>2547</v>
      </c>
      <c r="L6" s="1133"/>
      <c r="M6" s="1134"/>
      <c r="N6" s="1134"/>
      <c r="O6" s="1134"/>
      <c r="P6" s="3200"/>
      <c r="Q6" s="3201"/>
      <c r="R6" s="3181"/>
      <c r="S6" s="3182"/>
      <c r="T6" s="3202"/>
      <c r="U6" s="3203"/>
      <c r="V6" s="3204"/>
      <c r="W6" s="3204"/>
      <c r="X6" s="1816"/>
      <c r="Y6" s="3202"/>
      <c r="Z6" s="3203"/>
      <c r="AA6" s="3176"/>
      <c r="AB6" s="3176"/>
      <c r="AC6" s="3176"/>
    </row>
    <row r="7" spans="1:30" s="117" customFormat="1" ht="15" thickBot="1">
      <c r="A7" s="408" t="s">
        <v>2548</v>
      </c>
      <c r="B7" s="409"/>
      <c r="C7" s="410">
        <f>'数据-取费表'!B2</f>
        <v>43339</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77" t="s">
        <v>2549</v>
      </c>
      <c r="Q7" s="3205"/>
      <c r="R7" s="770" t="s">
        <v>17</v>
      </c>
      <c r="S7" s="771">
        <f t="shared" ref="S7:S15" si="0">F7</f>
        <v>0</v>
      </c>
      <c r="T7" s="770" t="s">
        <v>17</v>
      </c>
      <c r="U7" s="771">
        <f t="shared" ref="U7:U15" si="1">H7</f>
        <v>0</v>
      </c>
      <c r="V7" s="770" t="s">
        <v>17</v>
      </c>
      <c r="W7" s="771">
        <f t="shared" ref="W7:W15" si="2">J7</f>
        <v>0</v>
      </c>
      <c r="X7" s="772"/>
      <c r="Y7" s="3177" t="s">
        <v>2549</v>
      </c>
      <c r="Z7" s="3178"/>
      <c r="AA7" s="773" t="e">
        <f>D7/F7</f>
        <v>#DIV/0!</v>
      </c>
      <c r="AB7" s="773" t="e">
        <f>D7/H7</f>
        <v>#DIV/0!</v>
      </c>
      <c r="AC7" s="773" t="e">
        <f>D7/J7</f>
        <v>#DIV/0!</v>
      </c>
    </row>
    <row r="8" spans="1:30" s="117" customFormat="1" ht="15" thickBot="1">
      <c r="A8" s="408" t="s">
        <v>2550</v>
      </c>
      <c r="B8" s="409"/>
      <c r="C8" s="414" t="s">
        <v>2551</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77" t="s">
        <v>2552</v>
      </c>
      <c r="Q8" s="3178"/>
      <c r="R8" s="770" t="s">
        <v>17</v>
      </c>
      <c r="S8" s="771">
        <f t="shared" si="0"/>
        <v>0</v>
      </c>
      <c r="T8" s="770" t="s">
        <v>17</v>
      </c>
      <c r="U8" s="771">
        <f t="shared" si="1"/>
        <v>0</v>
      </c>
      <c r="V8" s="770" t="s">
        <v>17</v>
      </c>
      <c r="W8" s="771">
        <f t="shared" si="2"/>
        <v>0</v>
      </c>
      <c r="X8" s="772"/>
      <c r="Y8" s="3177" t="s">
        <v>2552</v>
      </c>
      <c r="Z8" s="3178"/>
      <c r="AA8" s="773" t="e">
        <f t="shared" ref="AA8:AA45" si="3">D8/F8</f>
        <v>#DIV/0!</v>
      </c>
      <c r="AB8" s="773" t="e">
        <f t="shared" ref="AB8:AB45" si="4">D8/H8</f>
        <v>#DIV/0!</v>
      </c>
      <c r="AC8" s="773" t="e">
        <f t="shared" ref="AC8:AC45" si="5">D8/J8</f>
        <v>#DIV/0!</v>
      </c>
    </row>
    <row r="9" spans="1:30" s="117" customFormat="1" ht="14.4">
      <c r="A9" s="415" t="s">
        <v>2553</v>
      </c>
      <c r="B9" s="71" t="s">
        <v>2554</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209" t="s">
        <v>2555</v>
      </c>
      <c r="Q9" s="1798" t="str">
        <f t="shared" ref="Q9:Q15" si="6">B9</f>
        <v>用途</v>
      </c>
      <c r="R9" s="770" t="s">
        <v>17</v>
      </c>
      <c r="S9" s="771">
        <f t="shared" si="0"/>
        <v>100</v>
      </c>
      <c r="T9" s="770" t="s">
        <v>17</v>
      </c>
      <c r="U9" s="771">
        <f t="shared" si="1"/>
        <v>100</v>
      </c>
      <c r="V9" s="770" t="s">
        <v>17</v>
      </c>
      <c r="W9" s="771">
        <f t="shared" si="2"/>
        <v>100</v>
      </c>
      <c r="X9" s="772"/>
      <c r="Y9" s="3024" t="s">
        <v>2556</v>
      </c>
      <c r="Z9" s="55" t="str">
        <f t="shared" ref="Z9:Z15" si="7">Q9</f>
        <v>用途</v>
      </c>
      <c r="AA9" s="773">
        <f t="shared" si="3"/>
        <v>1</v>
      </c>
      <c r="AB9" s="773">
        <f t="shared" si="4"/>
        <v>1</v>
      </c>
      <c r="AC9" s="773">
        <f t="shared" si="5"/>
        <v>1</v>
      </c>
    </row>
    <row r="10" spans="1:30" s="427" customFormat="1" ht="28.8">
      <c r="A10" s="421"/>
      <c r="B10" s="422" t="s">
        <v>2557</v>
      </c>
      <c r="C10" s="432"/>
      <c r="D10" s="136">
        <v>100</v>
      </c>
      <c r="E10" s="465"/>
      <c r="F10" s="136">
        <f>ROUND(100/'数据-取费表'!G16,0)</f>
        <v>103</v>
      </c>
      <c r="G10" s="463"/>
      <c r="H10" s="136">
        <f>ROUND(100/'数据-取费表'!G16,0)</f>
        <v>103</v>
      </c>
      <c r="I10" s="463"/>
      <c r="J10" s="136">
        <f>ROUND(100/'数据-取费表'!G16,0)</f>
        <v>103</v>
      </c>
      <c r="K10" s="672"/>
      <c r="L10" s="1138"/>
      <c r="M10" s="1139"/>
      <c r="N10" s="1139"/>
      <c r="O10" s="1140"/>
      <c r="P10" s="3209"/>
      <c r="Q10" s="1798" t="str">
        <f t="shared" si="6"/>
        <v>土地使用年限（年）</v>
      </c>
      <c r="R10" s="770" t="s">
        <v>17</v>
      </c>
      <c r="S10" s="771">
        <f t="shared" si="0"/>
        <v>103</v>
      </c>
      <c r="T10" s="770" t="s">
        <v>17</v>
      </c>
      <c r="U10" s="771">
        <f t="shared" si="1"/>
        <v>103</v>
      </c>
      <c r="V10" s="770" t="s">
        <v>17</v>
      </c>
      <c r="W10" s="771">
        <f t="shared" si="2"/>
        <v>103</v>
      </c>
      <c r="X10" s="772"/>
      <c r="Y10" s="3024"/>
      <c r="Z10" s="55" t="str">
        <f t="shared" si="7"/>
        <v>土地使用年限（年）</v>
      </c>
      <c r="AA10" s="773">
        <f t="shared" si="3"/>
        <v>0.970873786407767</v>
      </c>
      <c r="AB10" s="773">
        <f t="shared" si="4"/>
        <v>0.970873786407767</v>
      </c>
      <c r="AC10" s="773">
        <f t="shared" si="5"/>
        <v>0.970873786407767</v>
      </c>
    </row>
    <row r="11" spans="1:30" ht="15">
      <c r="A11" s="428"/>
      <c r="B11" s="422" t="s">
        <v>2558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9"/>
      <c r="Q11" s="1798" t="str">
        <f t="shared" si="6"/>
        <v>容积率</v>
      </c>
      <c r="R11" s="770" t="s">
        <v>17</v>
      </c>
      <c r="S11" s="771" t="e">
        <f t="shared" si="0"/>
        <v>#N/A</v>
      </c>
      <c r="T11" s="770" t="s">
        <v>17</v>
      </c>
      <c r="U11" s="771" t="e">
        <f t="shared" si="1"/>
        <v>#N/A</v>
      </c>
      <c r="V11" s="770" t="s">
        <v>17</v>
      </c>
      <c r="W11" s="771" t="e">
        <f t="shared" si="2"/>
        <v>#N/A</v>
      </c>
      <c r="X11" s="772"/>
      <c r="Y11" s="3024"/>
      <c r="Z11" s="55" t="str">
        <f t="shared" si="7"/>
        <v>容积率</v>
      </c>
      <c r="AA11" s="773" t="e">
        <f t="shared" si="3"/>
        <v>#N/A</v>
      </c>
      <c r="AB11" s="773" t="e">
        <f t="shared" si="4"/>
        <v>#N/A</v>
      </c>
      <c r="AC11" s="773" t="e">
        <f t="shared" si="5"/>
        <v>#N/A</v>
      </c>
    </row>
    <row r="12" spans="1:30" s="117" customFormat="1" ht="15">
      <c r="A12" s="431"/>
      <c r="B12" s="2604"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9"/>
      <c r="Q12" s="1798" t="str">
        <f t="shared" si="6"/>
        <v>配建</v>
      </c>
      <c r="R12" s="770" t="s">
        <v>17</v>
      </c>
      <c r="S12" s="771">
        <f t="shared" si="0"/>
        <v>100</v>
      </c>
      <c r="T12" s="770" t="s">
        <v>17</v>
      </c>
      <c r="U12" s="771">
        <f t="shared" si="1"/>
        <v>100</v>
      </c>
      <c r="V12" s="770" t="s">
        <v>17</v>
      </c>
      <c r="W12" s="771">
        <f t="shared" si="2"/>
        <v>100</v>
      </c>
      <c r="X12" s="772"/>
      <c r="Y12" s="3024"/>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9"/>
      <c r="Q13" s="1798">
        <f t="shared" si="6"/>
        <v>111</v>
      </c>
      <c r="R13" s="770" t="s">
        <v>17</v>
      </c>
      <c r="S13" s="771">
        <f t="shared" si="0"/>
        <v>100</v>
      </c>
      <c r="T13" s="770" t="s">
        <v>17</v>
      </c>
      <c r="U13" s="771">
        <f t="shared" si="1"/>
        <v>100</v>
      </c>
      <c r="V13" s="770" t="s">
        <v>17</v>
      </c>
      <c r="W13" s="771">
        <f t="shared" si="2"/>
        <v>100</v>
      </c>
      <c r="X13" s="772"/>
      <c r="Y13" s="3024"/>
      <c r="Z13" s="55">
        <f t="shared" si="7"/>
        <v>111</v>
      </c>
      <c r="AA13" s="773">
        <f>D13/F13</f>
        <v>1</v>
      </c>
      <c r="AB13" s="773">
        <f>D13/H13</f>
        <v>1</v>
      </c>
      <c r="AC13" s="773">
        <f>D13/J13</f>
        <v>1</v>
      </c>
    </row>
    <row r="14" spans="1:30" ht="15.6"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9"/>
      <c r="Q14" s="1798">
        <f t="shared" si="6"/>
        <v>111</v>
      </c>
      <c r="R14" s="770" t="s">
        <v>17</v>
      </c>
      <c r="S14" s="771">
        <f t="shared" si="0"/>
        <v>100</v>
      </c>
      <c r="T14" s="770" t="s">
        <v>17</v>
      </c>
      <c r="U14" s="771">
        <f t="shared" si="1"/>
        <v>100</v>
      </c>
      <c r="V14" s="770" t="s">
        <v>17</v>
      </c>
      <c r="W14" s="771">
        <f t="shared" si="2"/>
        <v>100</v>
      </c>
      <c r="X14" s="772"/>
      <c r="Y14" s="3024"/>
      <c r="Z14" s="55">
        <f t="shared" si="7"/>
        <v>111</v>
      </c>
      <c r="AA14" s="773">
        <f>D14/F14</f>
        <v>1</v>
      </c>
      <c r="AB14" s="773">
        <f>D14/H14</f>
        <v>1</v>
      </c>
      <c r="AC14" s="773">
        <f>D14/J14</f>
        <v>1</v>
      </c>
    </row>
    <row r="15" spans="1:30" ht="96.6">
      <c r="A15" s="440" t="s">
        <v>2559</v>
      </c>
      <c r="B15" s="69" t="s">
        <v>2084</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1" t="s">
        <v>2560</v>
      </c>
      <c r="Q15" s="1813" t="str">
        <f t="shared" si="6"/>
        <v>居住社区成熟度</v>
      </c>
      <c r="R15" s="774" t="s">
        <v>17</v>
      </c>
      <c r="S15" s="775">
        <f t="shared" si="0"/>
        <v>100</v>
      </c>
      <c r="T15" s="774" t="s">
        <v>17</v>
      </c>
      <c r="U15" s="775">
        <f t="shared" si="1"/>
        <v>100</v>
      </c>
      <c r="V15" s="774" t="s">
        <v>17</v>
      </c>
      <c r="W15" s="775">
        <f t="shared" si="2"/>
        <v>100</v>
      </c>
      <c r="X15" s="1816"/>
      <c r="Y15" s="3211" t="s">
        <v>2560</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12"/>
      <c r="Q16" s="1813"/>
      <c r="R16" s="774"/>
      <c r="S16" s="775"/>
      <c r="T16" s="774"/>
      <c r="U16" s="775"/>
      <c r="V16" s="774"/>
      <c r="W16" s="775"/>
      <c r="X16" s="1816"/>
      <c r="Y16" s="3212"/>
      <c r="Z16" s="1817"/>
      <c r="AA16" s="1814">
        <v>1</v>
      </c>
      <c r="AB16" s="1814">
        <v>1</v>
      </c>
      <c r="AC16" s="1814">
        <v>1</v>
      </c>
    </row>
    <row r="17" spans="1:29" ht="82.8">
      <c r="A17" s="428"/>
      <c r="B17" s="451" t="s">
        <v>2653</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2"/>
      <c r="Q17" s="1813" t="str">
        <f>B17</f>
        <v>商业繁华度</v>
      </c>
      <c r="R17" s="774" t="s">
        <v>17</v>
      </c>
      <c r="S17" s="775">
        <f>F17</f>
        <v>100</v>
      </c>
      <c r="T17" s="774" t="s">
        <v>17</v>
      </c>
      <c r="U17" s="775">
        <f>H17</f>
        <v>100</v>
      </c>
      <c r="V17" s="774" t="s">
        <v>17</v>
      </c>
      <c r="W17" s="775">
        <f>J17</f>
        <v>100</v>
      </c>
      <c r="X17" s="1816"/>
      <c r="Y17" s="3212"/>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12"/>
      <c r="Q18" s="1813"/>
      <c r="R18" s="774"/>
      <c r="S18" s="775"/>
      <c r="T18" s="774"/>
      <c r="U18" s="775"/>
      <c r="V18" s="774"/>
      <c r="W18" s="775"/>
      <c r="X18" s="1816"/>
      <c r="Y18" s="3212"/>
      <c r="Z18" s="1817"/>
      <c r="AA18" s="1814">
        <v>1</v>
      </c>
      <c r="AB18" s="1814">
        <v>1</v>
      </c>
      <c r="AC18" s="1814">
        <v>1</v>
      </c>
    </row>
    <row r="19" spans="1:29" ht="82.8">
      <c r="A19" s="428"/>
      <c r="B19" s="451" t="s">
        <v>2687</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2"/>
      <c r="Q19" s="1813" t="str">
        <f>B19</f>
        <v>办公集聚程度</v>
      </c>
      <c r="R19" s="774" t="s">
        <v>17</v>
      </c>
      <c r="S19" s="775">
        <f>F19</f>
        <v>100</v>
      </c>
      <c r="T19" s="774" t="s">
        <v>17</v>
      </c>
      <c r="U19" s="775">
        <f>H19</f>
        <v>100</v>
      </c>
      <c r="V19" s="774" t="s">
        <v>17</v>
      </c>
      <c r="W19" s="775">
        <f>J19</f>
        <v>100</v>
      </c>
      <c r="X19" s="1816"/>
      <c r="Y19" s="3212"/>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12"/>
      <c r="Q20" s="1813"/>
      <c r="R20" s="774"/>
      <c r="S20" s="775"/>
      <c r="T20" s="774"/>
      <c r="U20" s="775"/>
      <c r="V20" s="774"/>
      <c r="W20" s="775"/>
      <c r="X20" s="1816"/>
      <c r="Y20" s="3212"/>
      <c r="Z20" s="1817"/>
      <c r="AA20" s="1814">
        <v>1</v>
      </c>
      <c r="AB20" s="1814">
        <v>1</v>
      </c>
      <c r="AC20" s="1814">
        <v>1</v>
      </c>
    </row>
    <row r="21" spans="1:29" ht="96.6">
      <c r="A21" s="428"/>
      <c r="B21" s="451" t="s">
        <v>2709</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2"/>
      <c r="Q21" s="1813" t="str">
        <f>B21</f>
        <v>交通便捷度</v>
      </c>
      <c r="R21" s="774" t="s">
        <v>17</v>
      </c>
      <c r="S21" s="775">
        <f>F21</f>
        <v>100</v>
      </c>
      <c r="T21" s="774" t="s">
        <v>17</v>
      </c>
      <c r="U21" s="775">
        <f>H21</f>
        <v>100</v>
      </c>
      <c r="V21" s="774" t="s">
        <v>17</v>
      </c>
      <c r="W21" s="775">
        <f>J21</f>
        <v>100</v>
      </c>
      <c r="X21" s="1816"/>
      <c r="Y21" s="3212"/>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12"/>
      <c r="Q22" s="1813"/>
      <c r="R22" s="774"/>
      <c r="S22" s="775"/>
      <c r="T22" s="774"/>
      <c r="U22" s="775"/>
      <c r="V22" s="774"/>
      <c r="W22" s="775"/>
      <c r="X22" s="1816"/>
      <c r="Y22" s="3212"/>
      <c r="Z22" s="1817"/>
      <c r="AA22" s="1814">
        <v>1</v>
      </c>
      <c r="AB22" s="1814">
        <v>1</v>
      </c>
      <c r="AC22" s="1814">
        <v>1</v>
      </c>
    </row>
    <row r="23" spans="1:29" ht="28.8">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2"/>
      <c r="Q23" s="1813" t="str">
        <f t="shared" ref="Q23:Q37" si="8">B23</f>
        <v>区域土地利用方向</v>
      </c>
      <c r="R23" s="774" t="s">
        <v>17</v>
      </c>
      <c r="S23" s="775">
        <f>F23</f>
        <v>100</v>
      </c>
      <c r="T23" s="774" t="s">
        <v>17</v>
      </c>
      <c r="U23" s="775">
        <f>H23</f>
        <v>100</v>
      </c>
      <c r="V23" s="774" t="s">
        <v>17</v>
      </c>
      <c r="W23" s="775">
        <f>J23</f>
        <v>100</v>
      </c>
      <c r="X23" s="1816"/>
      <c r="Y23" s="3212"/>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12"/>
      <c r="Q24" s="1813"/>
      <c r="R24" s="774"/>
      <c r="S24" s="775"/>
      <c r="T24" s="774"/>
      <c r="U24" s="775"/>
      <c r="V24" s="774"/>
      <c r="W24" s="775"/>
      <c r="X24" s="1816"/>
      <c r="Y24" s="3212"/>
      <c r="Z24" s="1817"/>
      <c r="AA24" s="1814"/>
      <c r="AB24" s="1814"/>
      <c r="AC24" s="1814"/>
    </row>
    <row r="25" spans="1:29" ht="55.2">
      <c r="A25" s="404"/>
      <c r="B25" s="1387" t="s">
        <v>2749</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2"/>
      <c r="Q25" s="1813" t="str">
        <f t="shared" si="8"/>
        <v>自然及人文环境状况</v>
      </c>
      <c r="R25" s="774" t="s">
        <v>17</v>
      </c>
      <c r="S25" s="775">
        <f>F25</f>
        <v>100</v>
      </c>
      <c r="T25" s="774" t="s">
        <v>17</v>
      </c>
      <c r="U25" s="775">
        <f>H25</f>
        <v>100</v>
      </c>
      <c r="V25" s="774" t="s">
        <v>17</v>
      </c>
      <c r="W25" s="775">
        <f>J25</f>
        <v>100</v>
      </c>
      <c r="X25" s="1816"/>
      <c r="Y25" s="3212"/>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12"/>
      <c r="Q26" s="1813"/>
      <c r="R26" s="774"/>
      <c r="S26" s="775"/>
      <c r="T26" s="774"/>
      <c r="U26" s="775"/>
      <c r="V26" s="774"/>
      <c r="W26" s="775"/>
      <c r="X26" s="1816"/>
      <c r="Y26" s="3212"/>
      <c r="Z26" s="1817"/>
      <c r="AA26" s="1814">
        <v>1</v>
      </c>
      <c r="AB26" s="1814">
        <v>1</v>
      </c>
      <c r="AC26" s="1814">
        <v>1</v>
      </c>
    </row>
    <row r="27" spans="1:29" s="117" customFormat="1" ht="41.4">
      <c r="A27" s="649"/>
      <c r="B27" s="1387" t="s">
        <v>2654</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2"/>
      <c r="Q27" s="1798" t="str">
        <f t="shared" si="8"/>
        <v>公共配套设施</v>
      </c>
      <c r="R27" s="770" t="s">
        <v>17</v>
      </c>
      <c r="S27" s="771">
        <f>F27</f>
        <v>100</v>
      </c>
      <c r="T27" s="770" t="s">
        <v>17</v>
      </c>
      <c r="U27" s="771">
        <f>H27</f>
        <v>100</v>
      </c>
      <c r="V27" s="770" t="s">
        <v>17</v>
      </c>
      <c r="W27" s="771">
        <f>J27</f>
        <v>100</v>
      </c>
      <c r="X27" s="772"/>
      <c r="Y27" s="3212"/>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12"/>
      <c r="Q28" s="1798"/>
      <c r="R28" s="770"/>
      <c r="S28" s="771"/>
      <c r="T28" s="770"/>
      <c r="U28" s="771"/>
      <c r="V28" s="770"/>
      <c r="W28" s="771"/>
      <c r="X28" s="772"/>
      <c r="Y28" s="3212"/>
      <c r="Z28" s="55"/>
      <c r="AA28" s="1814">
        <v>1</v>
      </c>
      <c r="AB28" s="1814">
        <v>1</v>
      </c>
      <c r="AC28" s="1814">
        <v>1</v>
      </c>
    </row>
    <row r="29" spans="1:29" s="117" customFormat="1" ht="41.4">
      <c r="A29" s="649"/>
      <c r="B29" s="1387" t="s">
        <v>2655</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2"/>
      <c r="Q29" s="1798" t="str">
        <f t="shared" ref="Q29" si="9">B29</f>
        <v>基础设施水平</v>
      </c>
      <c r="R29" s="770" t="s">
        <v>17</v>
      </c>
      <c r="S29" s="771">
        <f>F29</f>
        <v>100</v>
      </c>
      <c r="T29" s="770" t="s">
        <v>17</v>
      </c>
      <c r="U29" s="771">
        <f>H29</f>
        <v>100</v>
      </c>
      <c r="V29" s="770" t="s">
        <v>17</v>
      </c>
      <c r="W29" s="771">
        <f>J29</f>
        <v>100</v>
      </c>
      <c r="X29" s="772"/>
      <c r="Y29" s="3212"/>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12"/>
      <c r="Q30" s="1798"/>
      <c r="R30" s="770"/>
      <c r="S30" s="771"/>
      <c r="T30" s="770"/>
      <c r="U30" s="771"/>
      <c r="V30" s="770"/>
      <c r="W30" s="771"/>
      <c r="X30" s="772"/>
      <c r="Y30" s="3212"/>
      <c r="Z30" s="55"/>
      <c r="AA30" s="1814">
        <v>1</v>
      </c>
      <c r="AB30" s="1814">
        <v>1</v>
      </c>
      <c r="AC30" s="1814">
        <v>1</v>
      </c>
    </row>
    <row r="31" spans="1:29" ht="15">
      <c r="A31" s="428"/>
      <c r="B31" s="456" t="s">
        <v>2656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2"/>
      <c r="Z31" s="1817" t="str">
        <f t="shared" ref="Z31:Z45" si="13">Q31</f>
        <v>临街状况</v>
      </c>
      <c r="AA31" s="1814">
        <f t="shared" si="3"/>
        <v>1</v>
      </c>
      <c r="AB31" s="1814">
        <f t="shared" si="4"/>
        <v>1</v>
      </c>
      <c r="AC31" s="1814">
        <f t="shared" si="5"/>
        <v>1</v>
      </c>
    </row>
    <row r="32" spans="1:29" ht="28.8">
      <c r="A32" s="428"/>
      <c r="B32" s="1387" t="s">
        <v>2691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2"/>
      <c r="Q32" s="1813" t="str">
        <f t="shared" si="8"/>
        <v>毗邻道路的类型与等级</v>
      </c>
      <c r="R32" s="774" t="s">
        <v>17</v>
      </c>
      <c r="S32" s="775">
        <f t="shared" si="10"/>
        <v>100</v>
      </c>
      <c r="T32" s="774" t="s">
        <v>17</v>
      </c>
      <c r="U32" s="775">
        <f t="shared" si="11"/>
        <v>100</v>
      </c>
      <c r="V32" s="774" t="s">
        <v>17</v>
      </c>
      <c r="W32" s="775">
        <f t="shared" si="12"/>
        <v>100</v>
      </c>
      <c r="X32" s="1816"/>
      <c r="Y32" s="3212"/>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12"/>
      <c r="Q33" s="1813"/>
      <c r="R33" s="774"/>
      <c r="S33" s="775"/>
      <c r="T33" s="774"/>
      <c r="U33" s="775"/>
      <c r="V33" s="774"/>
      <c r="W33" s="775"/>
      <c r="X33" s="1816"/>
      <c r="Y33" s="3212"/>
      <c r="Z33" s="1817"/>
      <c r="AA33" s="1814">
        <v>1</v>
      </c>
      <c r="AB33" s="1814">
        <v>1</v>
      </c>
      <c r="AC33" s="1814">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2"/>
      <c r="Q34" s="1813" t="str">
        <f t="shared" si="8"/>
        <v>土地级别</v>
      </c>
      <c r="R34" s="774" t="s">
        <v>17</v>
      </c>
      <c r="S34" s="775">
        <f t="shared" si="10"/>
        <v>100</v>
      </c>
      <c r="T34" s="774" t="s">
        <v>17</v>
      </c>
      <c r="U34" s="775">
        <f t="shared" si="11"/>
        <v>100</v>
      </c>
      <c r="V34" s="774" t="s">
        <v>17</v>
      </c>
      <c r="W34" s="775">
        <f t="shared" si="12"/>
        <v>100</v>
      </c>
      <c r="X34" s="1816"/>
      <c r="Y34" s="321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2"/>
      <c r="Q35" s="1813">
        <f t="shared" si="8"/>
        <v>111</v>
      </c>
      <c r="R35" s="774" t="s">
        <v>17</v>
      </c>
      <c r="S35" s="775">
        <f t="shared" si="10"/>
        <v>100</v>
      </c>
      <c r="T35" s="774" t="s">
        <v>17</v>
      </c>
      <c r="U35" s="775">
        <f t="shared" si="11"/>
        <v>100</v>
      </c>
      <c r="V35" s="774" t="s">
        <v>17</v>
      </c>
      <c r="W35" s="775">
        <f t="shared" si="12"/>
        <v>100</v>
      </c>
      <c r="X35" s="1816"/>
      <c r="Y35" s="321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5" t="s">
        <v>2565</v>
      </c>
      <c r="Q36" s="1813">
        <f t="shared" si="8"/>
        <v>111</v>
      </c>
      <c r="R36" s="774" t="s">
        <v>17</v>
      </c>
      <c r="S36" s="775">
        <f t="shared" si="10"/>
        <v>100</v>
      </c>
      <c r="T36" s="774" t="s">
        <v>17</v>
      </c>
      <c r="U36" s="775">
        <f t="shared" si="11"/>
        <v>100</v>
      </c>
      <c r="V36" s="774" t="s">
        <v>17</v>
      </c>
      <c r="W36" s="775">
        <f t="shared" si="12"/>
        <v>100</v>
      </c>
      <c r="X36" s="1816"/>
      <c r="Y36" s="3216" t="s">
        <v>2565</v>
      </c>
      <c r="Z36" s="1817">
        <f t="shared" si="13"/>
        <v>111</v>
      </c>
      <c r="AA36" s="1814">
        <f t="shared" si="3"/>
        <v>1</v>
      </c>
      <c r="AB36" s="1814">
        <f t="shared" si="4"/>
        <v>1</v>
      </c>
      <c r="AC36" s="1814">
        <f t="shared" si="5"/>
        <v>1</v>
      </c>
    </row>
    <row r="37" spans="1:29" s="471" customFormat="1" ht="15.6"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16"/>
      <c r="Q37" s="1813">
        <f t="shared" si="8"/>
        <v>111</v>
      </c>
      <c r="R37" s="777" t="s">
        <v>17</v>
      </c>
      <c r="S37" s="778">
        <f t="shared" si="10"/>
        <v>100</v>
      </c>
      <c r="T37" s="777" t="s">
        <v>17</v>
      </c>
      <c r="U37" s="778">
        <f t="shared" si="11"/>
        <v>100</v>
      </c>
      <c r="V37" s="777" t="s">
        <v>17</v>
      </c>
      <c r="W37" s="778">
        <f t="shared" si="12"/>
        <v>100</v>
      </c>
      <c r="X37" s="779"/>
      <c r="Y37" s="3216"/>
      <c r="Z37" s="780">
        <f t="shared" si="13"/>
        <v>111</v>
      </c>
      <c r="AA37" s="1814">
        <f t="shared" si="3"/>
        <v>1</v>
      </c>
      <c r="AB37" s="1814">
        <f t="shared" si="4"/>
        <v>1</v>
      </c>
      <c r="AC37" s="1814">
        <f t="shared" si="5"/>
        <v>1</v>
      </c>
    </row>
    <row r="38" spans="1:29" ht="15.6">
      <c r="A38" s="472" t="s">
        <v>2563</v>
      </c>
      <c r="B38" s="456" t="s">
        <v>2751</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16"/>
      <c r="Q38" s="1813" t="str">
        <f>B38</f>
        <v>宗地面积</v>
      </c>
      <c r="R38" s="774" t="s">
        <v>17</v>
      </c>
      <c r="S38" s="775" t="e">
        <f t="shared" si="10"/>
        <v>#N/A</v>
      </c>
      <c r="T38" s="774" t="s">
        <v>17</v>
      </c>
      <c r="U38" s="775" t="e">
        <f t="shared" si="11"/>
        <v>#N/A</v>
      </c>
      <c r="V38" s="774" t="s">
        <v>17</v>
      </c>
      <c r="W38" s="775" t="e">
        <f t="shared" si="12"/>
        <v>#N/A</v>
      </c>
      <c r="X38" s="1816"/>
      <c r="Y38" s="3216"/>
      <c r="Z38" s="1817" t="str">
        <f t="shared" si="13"/>
        <v>宗地面积</v>
      </c>
      <c r="AA38" s="1814" t="e">
        <f t="shared" si="3"/>
        <v>#N/A</v>
      </c>
      <c r="AB38" s="1814" t="e">
        <f t="shared" si="4"/>
        <v>#N/A</v>
      </c>
      <c r="AC38" s="1814" t="e">
        <f t="shared" si="5"/>
        <v>#N/A</v>
      </c>
    </row>
    <row r="39" spans="1:29" ht="15">
      <c r="A39" s="472"/>
      <c r="B39" s="422" t="s">
        <v>2752</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16"/>
      <c r="Q39" s="1813" t="str">
        <f t="shared" ref="Q39:Q45" si="14">B39</f>
        <v>宗地形状</v>
      </c>
      <c r="R39" s="774" t="s">
        <v>17</v>
      </c>
      <c r="S39" s="775">
        <f t="shared" si="10"/>
        <v>100</v>
      </c>
      <c r="T39" s="774" t="s">
        <v>17</v>
      </c>
      <c r="U39" s="775">
        <f t="shared" si="11"/>
        <v>100</v>
      </c>
      <c r="V39" s="774" t="s">
        <v>17</v>
      </c>
      <c r="W39" s="775">
        <f t="shared" si="12"/>
        <v>100</v>
      </c>
      <c r="X39" s="1816"/>
      <c r="Y39" s="3216"/>
      <c r="Z39" s="1817" t="str">
        <f t="shared" si="13"/>
        <v>宗地形状</v>
      </c>
      <c r="AA39" s="1814">
        <f t="shared" si="3"/>
        <v>1</v>
      </c>
      <c r="AB39" s="1814">
        <f t="shared" si="4"/>
        <v>1</v>
      </c>
      <c r="AC39" s="1814">
        <f t="shared" si="5"/>
        <v>1</v>
      </c>
    </row>
    <row r="40" spans="1:29" ht="15">
      <c r="A40" s="472"/>
      <c r="B40" s="422" t="s">
        <v>2753</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16"/>
      <c r="Q40" s="1813" t="str">
        <f t="shared" si="14"/>
        <v>临街宽度及深度</v>
      </c>
      <c r="R40" s="774" t="s">
        <v>17</v>
      </c>
      <c r="S40" s="775">
        <f t="shared" si="10"/>
        <v>100</v>
      </c>
      <c r="T40" s="774" t="s">
        <v>17</v>
      </c>
      <c r="U40" s="775">
        <f t="shared" si="11"/>
        <v>100</v>
      </c>
      <c r="V40" s="774" t="s">
        <v>17</v>
      </c>
      <c r="W40" s="775">
        <f t="shared" si="12"/>
        <v>100</v>
      </c>
      <c r="X40" s="1816"/>
      <c r="Y40" s="3216"/>
      <c r="Z40" s="1817" t="str">
        <f t="shared" si="13"/>
        <v>临街宽度及深度</v>
      </c>
      <c r="AA40" s="1814">
        <f t="shared" si="3"/>
        <v>1</v>
      </c>
      <c r="AB40" s="1814">
        <f t="shared" si="4"/>
        <v>1</v>
      </c>
      <c r="AC40" s="1814">
        <f t="shared" si="5"/>
        <v>1</v>
      </c>
    </row>
    <row r="41" spans="1:29" s="117" customFormat="1" ht="15">
      <c r="A41" s="473"/>
      <c r="B41" s="422" t="s">
        <v>2754</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16"/>
      <c r="Q41" s="1813" t="str">
        <f t="shared" si="14"/>
        <v>宗地开发程度</v>
      </c>
      <c r="R41" s="770" t="s">
        <v>17</v>
      </c>
      <c r="S41" s="771">
        <f t="shared" si="10"/>
        <v>100</v>
      </c>
      <c r="T41" s="770" t="s">
        <v>17</v>
      </c>
      <c r="U41" s="771">
        <f t="shared" si="11"/>
        <v>100</v>
      </c>
      <c r="V41" s="770" t="s">
        <v>17</v>
      </c>
      <c r="W41" s="771">
        <f t="shared" si="12"/>
        <v>100</v>
      </c>
      <c r="X41" s="772"/>
      <c r="Y41" s="3216"/>
      <c r="Z41" s="55" t="str">
        <f t="shared" si="13"/>
        <v>宗地开发程度</v>
      </c>
      <c r="AA41" s="773">
        <f t="shared" si="3"/>
        <v>1</v>
      </c>
      <c r="AB41" s="773">
        <f t="shared" si="4"/>
        <v>1</v>
      </c>
      <c r="AC41" s="773">
        <f t="shared" si="5"/>
        <v>1</v>
      </c>
    </row>
    <row r="42" spans="1:29" ht="15">
      <c r="A42" s="472"/>
      <c r="B42" s="422" t="s">
        <v>2755</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16" t="s">
        <v>2565</v>
      </c>
      <c r="Q42" s="1813" t="str">
        <f t="shared" si="14"/>
        <v>工程地质条件</v>
      </c>
      <c r="R42" s="774" t="s">
        <v>17</v>
      </c>
      <c r="S42" s="775">
        <f t="shared" si="10"/>
        <v>100</v>
      </c>
      <c r="T42" s="774" t="s">
        <v>17</v>
      </c>
      <c r="U42" s="775">
        <f t="shared" si="11"/>
        <v>100</v>
      </c>
      <c r="V42" s="774" t="s">
        <v>17</v>
      </c>
      <c r="W42" s="775">
        <f t="shared" si="12"/>
        <v>100</v>
      </c>
      <c r="X42" s="1816"/>
      <c r="Y42" s="3216" t="s">
        <v>2565</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16"/>
      <c r="Q43" s="1813">
        <f t="shared" si="14"/>
        <v>111</v>
      </c>
      <c r="R43" s="774" t="s">
        <v>17</v>
      </c>
      <c r="S43" s="775">
        <f t="shared" si="10"/>
        <v>100</v>
      </c>
      <c r="T43" s="774" t="s">
        <v>17</v>
      </c>
      <c r="U43" s="775">
        <f t="shared" si="11"/>
        <v>100</v>
      </c>
      <c r="V43" s="774" t="s">
        <v>17</v>
      </c>
      <c r="W43" s="775">
        <f t="shared" si="12"/>
        <v>100</v>
      </c>
      <c r="X43" s="1816"/>
      <c r="Y43" s="321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16"/>
      <c r="Q44" s="1813">
        <f t="shared" si="14"/>
        <v>111</v>
      </c>
      <c r="R44" s="774" t="s">
        <v>17</v>
      </c>
      <c r="S44" s="775">
        <f t="shared" si="10"/>
        <v>100</v>
      </c>
      <c r="T44" s="774" t="s">
        <v>17</v>
      </c>
      <c r="U44" s="775">
        <f t="shared" si="11"/>
        <v>100</v>
      </c>
      <c r="V44" s="774" t="s">
        <v>17</v>
      </c>
      <c r="W44" s="775">
        <f t="shared" si="12"/>
        <v>100</v>
      </c>
      <c r="X44" s="1816"/>
      <c r="Y44" s="3216"/>
      <c r="Z44" s="1817">
        <f t="shared" si="13"/>
        <v>111</v>
      </c>
      <c r="AA44" s="1814">
        <f t="shared" si="3"/>
        <v>1</v>
      </c>
      <c r="AB44" s="1814">
        <f t="shared" si="4"/>
        <v>1</v>
      </c>
      <c r="AC44" s="1814">
        <f t="shared" si="5"/>
        <v>1</v>
      </c>
    </row>
    <row r="45" spans="1:29" s="471" customFormat="1" ht="15.6"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16"/>
      <c r="Q45" s="1813">
        <f t="shared" si="14"/>
        <v>111</v>
      </c>
      <c r="R45" s="777" t="s">
        <v>17</v>
      </c>
      <c r="S45" s="778">
        <f t="shared" si="10"/>
        <v>100</v>
      </c>
      <c r="T45" s="777" t="s">
        <v>17</v>
      </c>
      <c r="U45" s="778">
        <f t="shared" si="11"/>
        <v>100</v>
      </c>
      <c r="V45" s="777" t="s">
        <v>17</v>
      </c>
      <c r="W45" s="778">
        <f t="shared" si="12"/>
        <v>100</v>
      </c>
      <c r="X45" s="779"/>
      <c r="Y45" s="3216"/>
      <c r="Z45" s="780">
        <f t="shared" si="13"/>
        <v>111</v>
      </c>
      <c r="AA45" s="1814">
        <f t="shared" si="3"/>
        <v>1</v>
      </c>
      <c r="AB45" s="1814">
        <f t="shared" si="4"/>
        <v>1</v>
      </c>
      <c r="AC45" s="1814">
        <f t="shared" si="5"/>
        <v>1</v>
      </c>
    </row>
    <row r="46" spans="1:29" ht="14.4">
      <c r="A46" s="479" t="s">
        <v>2720</v>
      </c>
      <c r="B46" s="2708" t="s">
        <v>2756</v>
      </c>
      <c r="C46" s="682" t="s">
        <v>1</v>
      </c>
      <c r="D46" s="481"/>
      <c r="E46" s="482"/>
      <c r="F46" s="483"/>
      <c r="G46" s="484"/>
      <c r="H46" s="485"/>
      <c r="I46" s="482"/>
      <c r="J46" s="485"/>
      <c r="K46" s="783"/>
      <c r="L46" s="1146"/>
      <c r="M46" s="1147"/>
      <c r="N46" s="1134"/>
      <c r="O46" s="1147"/>
      <c r="P46" s="3209" t="str">
        <f>A46</f>
        <v>成交单价</v>
      </c>
      <c r="Q46" s="3209"/>
      <c r="R46" s="3204">
        <f>E46</f>
        <v>0</v>
      </c>
      <c r="S46" s="3204"/>
      <c r="T46" s="3204">
        <f>G46</f>
        <v>0</v>
      </c>
      <c r="U46" s="3204"/>
      <c r="V46" s="3204">
        <f>I46</f>
        <v>0</v>
      </c>
      <c r="W46" s="3204"/>
      <c r="X46" s="759"/>
      <c r="Y46" s="781"/>
      <c r="Z46" s="759"/>
      <c r="AA46" s="759"/>
      <c r="AB46" s="759"/>
      <c r="AC46" s="759"/>
    </row>
    <row r="47" spans="1:29" ht="15" thickBot="1">
      <c r="A47" s="486" t="s">
        <v>2669</v>
      </c>
      <c r="B47" s="683"/>
      <c r="C47" s="490" t="e">
        <f>R48</f>
        <v>#DIV/0!</v>
      </c>
      <c r="D47" s="489"/>
      <c r="E47" s="490" t="e">
        <f>R47</f>
        <v>#DIV/0!</v>
      </c>
      <c r="F47" s="491"/>
      <c r="G47" s="488" t="e">
        <f>T47</f>
        <v>#DIV/0!</v>
      </c>
      <c r="H47" s="489"/>
      <c r="I47" s="490" t="e">
        <f>V47</f>
        <v>#DIV/0!</v>
      </c>
      <c r="J47" s="489"/>
      <c r="K47" s="784"/>
      <c r="L47" s="1146"/>
      <c r="M47" s="1147"/>
      <c r="N47" s="1147"/>
      <c r="O47" s="1147"/>
      <c r="P47" s="3209" t="str">
        <f>A47</f>
        <v>比较价值（元/平方米）</v>
      </c>
      <c r="Q47" s="3209"/>
      <c r="R47" s="3236" t="e">
        <f>ROUND(PRODUCT(R46,AA7:AA45),0)</f>
        <v>#DIV/0!</v>
      </c>
      <c r="S47" s="3236"/>
      <c r="T47" s="3236" t="e">
        <f>ROUND(PRODUCT(T46,AB7:AB45),0)</f>
        <v>#DIV/0!</v>
      </c>
      <c r="U47" s="3236"/>
      <c r="V47" s="3236" t="e">
        <f>ROUND(PRODUCT(V46,AC7:AC45),0)</f>
        <v>#DIV/0!</v>
      </c>
      <c r="W47" s="3236"/>
      <c r="X47" s="759"/>
      <c r="Y47" s="759"/>
      <c r="Z47" s="759"/>
      <c r="AA47" s="759"/>
      <c r="AB47" s="759"/>
      <c r="AC47" s="759"/>
    </row>
    <row r="48" spans="1:29" ht="15" thickBot="1">
      <c r="A48" s="492" t="s">
        <v>2757</v>
      </c>
      <c r="B48" s="493"/>
      <c r="C48" s="494" t="e">
        <f>R48</f>
        <v>#DIV/0!</v>
      </c>
      <c r="D48" s="494"/>
      <c r="E48" s="494"/>
      <c r="F48" s="494"/>
      <c r="G48" s="494"/>
      <c r="H48" s="494"/>
      <c r="I48" s="494"/>
      <c r="J48" s="494"/>
      <c r="K48" s="785"/>
      <c r="L48" s="1146"/>
      <c r="M48" s="1147"/>
      <c r="N48" s="1147"/>
      <c r="O48" s="1147"/>
      <c r="P48" s="3206" t="str">
        <f>A48</f>
        <v>估价对象XX用房的比较价值（楼面单价，元/平方米）</v>
      </c>
      <c r="Q48" s="3207"/>
      <c r="R48" s="3237" t="e">
        <f>ROUND(AVERAGE(R47:V47),0)</f>
        <v>#DIV/0!</v>
      </c>
      <c r="S48" s="3237"/>
      <c r="T48" s="3237"/>
      <c r="U48" s="3237"/>
      <c r="V48" s="3237"/>
      <c r="W48" s="323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4.4"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09" t="s">
        <v>2760</v>
      </c>
      <c r="D55" s="2710" t="s">
        <v>2761</v>
      </c>
      <c r="E55" s="686" t="s">
        <v>2762</v>
      </c>
      <c r="F55" s="1110" t="s">
        <v>2763</v>
      </c>
      <c r="G55" s="3192" t="s">
        <v>2764</v>
      </c>
      <c r="H55" s="3238"/>
      <c r="I55" s="144" t="s">
        <v>2765</v>
      </c>
      <c r="J55" s="2711" t="str">
        <f>项目基本情况!F35</f>
        <v>河北省</v>
      </c>
      <c r="K55" s="2712" t="s">
        <v>2766</v>
      </c>
      <c r="L55" s="1109"/>
      <c r="M55" s="1147"/>
      <c r="N55" s="1147"/>
      <c r="O55" s="1147"/>
    </row>
    <row r="56" spans="1:15" s="692" customFormat="1">
      <c r="A56" s="688" t="s">
        <v>2767</v>
      </c>
      <c r="B56" s="689" t="e">
        <f>C48</f>
        <v>#DIV/0!</v>
      </c>
      <c r="C56" s="690">
        <v>1</v>
      </c>
      <c r="D56" s="1166">
        <v>1</v>
      </c>
      <c r="E56" s="690">
        <f>'数据-汇总表'!E8+'数据-汇总表'!E9</f>
        <v>36762</v>
      </c>
      <c r="F56" s="1106" t="e">
        <f t="shared" ref="F56:F65" si="15">ROUND(B56*E56/10000,0)</f>
        <v>#DIV/0!</v>
      </c>
      <c r="G56" s="3191"/>
      <c r="H56" s="3209"/>
      <c r="I56" s="1111">
        <v>1</v>
      </c>
      <c r="J56" s="1114">
        <v>1</v>
      </c>
      <c r="K56" s="1148"/>
      <c r="L56" s="944"/>
      <c r="M56" s="944"/>
      <c r="N56" s="944"/>
      <c r="O56" s="944"/>
    </row>
    <row r="57" spans="1:15" s="692" customFormat="1">
      <c r="A57" s="693" t="s">
        <v>2768</v>
      </c>
      <c r="B57" s="262" t="e">
        <f>ROUND($C$48*C57*D57,0)</f>
        <v>#DIV/0!</v>
      </c>
      <c r="C57" s="200">
        <f t="shared" ref="C57:C65" si="16">IF($C$55="北京市系数",I57,J57)</f>
        <v>0</v>
      </c>
      <c r="D57" s="1167">
        <v>0.25</v>
      </c>
      <c r="E57" s="694"/>
      <c r="F57" s="1106" t="e">
        <f t="shared" si="15"/>
        <v>#DIV/0!</v>
      </c>
      <c r="G57" s="3239" t="s">
        <v>2769</v>
      </c>
      <c r="H57" s="1107">
        <f>项目基本情况!B37</f>
        <v>0</v>
      </c>
      <c r="I57" s="1111">
        <f>SUMIF(修正!A45:A56,H57,修正!B45:B56)</f>
        <v>0</v>
      </c>
      <c r="J57" s="1115"/>
      <c r="K57" s="1147"/>
      <c r="L57" s="944"/>
      <c r="M57" s="944"/>
      <c r="N57" s="944"/>
      <c r="O57" s="944"/>
    </row>
    <row r="58" spans="1:15" s="692" customFormat="1">
      <c r="A58" s="693" t="s">
        <v>2770</v>
      </c>
      <c r="B58" s="262" t="e">
        <f t="shared" ref="B58:B65" si="17">ROUND($C$48*C58*D58,0)</f>
        <v>#DIV/0!</v>
      </c>
      <c r="C58" s="200">
        <f t="shared" si="16"/>
        <v>0</v>
      </c>
      <c r="D58" s="1167">
        <v>0.25</v>
      </c>
      <c r="E58" s="694"/>
      <c r="F58" s="1106" t="e">
        <f t="shared" si="15"/>
        <v>#DIV/0!</v>
      </c>
      <c r="G58" s="3239"/>
      <c r="H58" s="1107">
        <f>项目基本情况!B37</f>
        <v>0</v>
      </c>
      <c r="I58" s="1111">
        <f>SUMIF(修正!A45:A56,H58,修正!C45:C56)</f>
        <v>0</v>
      </c>
      <c r="J58" s="1115"/>
      <c r="K58" s="1148"/>
      <c r="L58" s="944"/>
      <c r="M58" s="944"/>
      <c r="N58" s="944"/>
      <c r="O58" s="944"/>
    </row>
    <row r="59" spans="1:15" s="692" customFormat="1">
      <c r="A59" s="693" t="s">
        <v>2771</v>
      </c>
      <c r="B59" s="262" t="e">
        <f t="shared" si="17"/>
        <v>#DIV/0!</v>
      </c>
      <c r="C59" s="200">
        <f t="shared" si="16"/>
        <v>0</v>
      </c>
      <c r="D59" s="1167">
        <v>0.25</v>
      </c>
      <c r="E59" s="694"/>
      <c r="F59" s="1106" t="e">
        <f t="shared" si="15"/>
        <v>#DIV/0!</v>
      </c>
      <c r="G59" s="3239"/>
      <c r="H59" s="1107">
        <f>项目基本情况!B37</f>
        <v>0</v>
      </c>
      <c r="I59" s="1111">
        <f>SUMIF(修正!A45:A56,H59,修正!D45:D56)</f>
        <v>0</v>
      </c>
      <c r="J59" s="1115"/>
      <c r="K59" s="1147"/>
      <c r="L59" s="944"/>
      <c r="M59" s="944"/>
      <c r="N59" s="944"/>
      <c r="O59" s="944"/>
    </row>
    <row r="60" spans="1:15" s="692" customFormat="1">
      <c r="A60" s="693" t="s">
        <v>2772</v>
      </c>
      <c r="B60" s="262" t="e">
        <f t="shared" si="17"/>
        <v>#DIV/0!</v>
      </c>
      <c r="C60" s="200">
        <f t="shared" si="16"/>
        <v>0</v>
      </c>
      <c r="D60" s="1167">
        <v>0.25</v>
      </c>
      <c r="E60" s="694"/>
      <c r="F60" s="1106" t="e">
        <f t="shared" si="15"/>
        <v>#DIV/0!</v>
      </c>
      <c r="G60" s="3239"/>
      <c r="H60" s="1107">
        <f>项目基本情况!B37</f>
        <v>0</v>
      </c>
      <c r="I60" s="1111">
        <f>SUMIF(修正!A45:A56,H60,修正!E45:E56)</f>
        <v>0</v>
      </c>
      <c r="J60" s="1115"/>
      <c r="K60" s="1148"/>
      <c r="L60" s="944"/>
      <c r="M60" s="944"/>
      <c r="N60" s="944"/>
      <c r="O60" s="944"/>
    </row>
    <row r="61" spans="1:15" s="692" customFormat="1">
      <c r="A61" s="693" t="s">
        <v>2773</v>
      </c>
      <c r="B61" s="262" t="e">
        <f t="shared" si="17"/>
        <v>#DIV/0!</v>
      </c>
      <c r="C61" s="200">
        <f t="shared" si="16"/>
        <v>0</v>
      </c>
      <c r="D61" s="1167">
        <v>0.25</v>
      </c>
      <c r="E61" s="261">
        <f>'数据-汇总表'!E11</f>
        <v>0</v>
      </c>
      <c r="F61" s="1106" t="e">
        <f t="shared" si="15"/>
        <v>#DIV/0!</v>
      </c>
      <c r="G61" s="2713" t="s">
        <v>2774</v>
      </c>
      <c r="H61" s="1107">
        <f>项目基本情况!C37</f>
        <v>0</v>
      </c>
      <c r="I61" s="1111">
        <f>SUMIF(修正!A45:A56,H61,修正!F45:F56)</f>
        <v>0</v>
      </c>
      <c r="J61" s="1115"/>
      <c r="K61" s="1147"/>
      <c r="L61" s="944"/>
      <c r="M61" s="944"/>
      <c r="N61" s="944"/>
      <c r="O61" s="944"/>
    </row>
    <row r="62" spans="1:15" s="692" customFormat="1">
      <c r="A62" s="693" t="s">
        <v>2775</v>
      </c>
      <c r="B62" s="262" t="e">
        <f t="shared" si="17"/>
        <v>#DIV/0!</v>
      </c>
      <c r="C62" s="200">
        <f t="shared" si="16"/>
        <v>0</v>
      </c>
      <c r="D62" s="1167">
        <v>0.25</v>
      </c>
      <c r="E62" s="261">
        <f>'数据-汇总表'!E12</f>
        <v>0</v>
      </c>
      <c r="F62" s="1106" t="e">
        <f t="shared" si="15"/>
        <v>#DIV/0!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t="e">
        <f t="shared" si="17"/>
        <v>#DIV/0!</v>
      </c>
      <c r="C63" s="200">
        <f t="shared" si="16"/>
        <v>0</v>
      </c>
      <c r="D63" s="1167">
        <v>0.25</v>
      </c>
      <c r="E63" s="261">
        <f>'数据-汇总表'!E13</f>
        <v>0</v>
      </c>
      <c r="F63" s="1106" t="e">
        <f t="shared" si="15"/>
        <v>#DIV/0!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t="e">
        <f t="shared" si="17"/>
        <v>#DIV/0!</v>
      </c>
      <c r="C64" s="200">
        <f t="shared" si="16"/>
        <v>0</v>
      </c>
      <c r="D64" s="1167">
        <v>0.25</v>
      </c>
      <c r="E64" s="261">
        <f>'数据-汇总表'!E14</f>
        <v>0</v>
      </c>
      <c r="F64" s="1106" t="e">
        <f t="shared" si="15"/>
        <v>#DIV/0!</v>
      </c>
      <c r="G64" s="2713" t="s">
        <v>2769</v>
      </c>
      <c r="H64" s="1107">
        <f>项目基本情况!B37</f>
        <v>0</v>
      </c>
      <c r="I64" s="1111">
        <f>SUMIF(修正!A45:A56,H64,修正!H45:H56)</f>
        <v>0</v>
      </c>
      <c r="J64" s="1115"/>
      <c r="K64" s="1148"/>
      <c r="L64" s="944"/>
      <c r="M64" s="944"/>
      <c r="N64" s="944"/>
      <c r="O64" s="944"/>
    </row>
    <row r="65" spans="1:17" s="692" customFormat="1" ht="14.4" thickBot="1">
      <c r="A65" s="693" t="s">
        <v>2780</v>
      </c>
      <c r="B65" s="262" t="e">
        <f t="shared" si="17"/>
        <v>#DIV/0!</v>
      </c>
      <c r="C65" s="200">
        <f t="shared" si="16"/>
        <v>0</v>
      </c>
      <c r="D65" s="1167">
        <v>0.25</v>
      </c>
      <c r="E65" s="261">
        <f>'数据-汇总表'!E15</f>
        <v>0</v>
      </c>
      <c r="F65" s="1106" t="e">
        <f t="shared" si="15"/>
        <v>#DIV/0!</v>
      </c>
      <c r="G65" s="2714" t="s">
        <v>2774</v>
      </c>
      <c r="H65" s="1117">
        <f>项目基本情况!C37</f>
        <v>0</v>
      </c>
      <c r="I65" s="1113">
        <f>SUMIF(修正!A45:A56,H65,修正!H45:H56)</f>
        <v>0</v>
      </c>
      <c r="J65" s="1116"/>
      <c r="K65" s="1147"/>
      <c r="L65" s="944"/>
      <c r="M65" s="944"/>
      <c r="N65" s="944"/>
      <c r="O65" s="944"/>
    </row>
    <row r="66" spans="1:17" s="692" customFormat="1" thickBot="1">
      <c r="A66" s="695" t="s">
        <v>2781</v>
      </c>
      <c r="B66" s="696" t="s">
        <v>28</v>
      </c>
      <c r="C66" s="696" t="s">
        <v>29</v>
      </c>
      <c r="D66" s="696" t="s">
        <v>1029</v>
      </c>
      <c r="E66" s="696">
        <f>IF(B46="楼面地价",SUM(E56:E65),'数据-汇总表'!D3)</f>
        <v>36762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2.2" thickBot="1">
      <c r="A69" s="763" t="s">
        <v>2674</v>
      </c>
      <c r="B69" s="759"/>
      <c r="C69" s="764"/>
      <c r="D69" s="764"/>
      <c r="E69" s="764"/>
      <c r="F69" s="765"/>
      <c r="G69" s="765"/>
      <c r="H69" s="764"/>
      <c r="I69" s="764"/>
      <c r="J69" s="1162"/>
      <c r="K69" s="1163"/>
      <c r="L69" s="1164"/>
      <c r="M69" s="1162"/>
      <c r="N69" s="1162"/>
      <c r="O69" s="1162"/>
      <c r="P69" s="503"/>
      <c r="Q69" s="504"/>
    </row>
    <row r="70" spans="1:17" s="508" customFormat="1" ht="14.4">
      <c r="A70" s="2715" t="s">
        <v>2782</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6" t="s">
        <v>2783</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70"/>
      <c r="N71" s="595"/>
      <c r="O71" s="1571"/>
      <c r="P71" s="504"/>
    </row>
    <row r="72" spans="1:17" s="117" customFormat="1" ht="15" thickBot="1">
      <c r="A72" s="515" t="s">
        <v>2585</v>
      </c>
      <c r="B72" s="516"/>
      <c r="C72" s="517"/>
      <c r="D72" s="518"/>
      <c r="E72" s="518"/>
      <c r="F72" s="518"/>
      <c r="G72" s="518"/>
      <c r="H72" s="518"/>
      <c r="I72" s="518"/>
      <c r="J72" s="518"/>
      <c r="K72" s="518"/>
      <c r="L72" s="518"/>
      <c r="M72" s="519"/>
      <c r="N72" s="518"/>
      <c r="O72" s="1165"/>
      <c r="P72" s="504"/>
      <c r="Q72" s="504"/>
    </row>
    <row r="73" spans="1:17" s="117" customFormat="1" ht="14.4">
      <c r="A73" s="521" t="s">
        <v>2550</v>
      </c>
      <c r="B73" s="510"/>
      <c r="C73" s="522" t="s">
        <v>2652</v>
      </c>
      <c r="D73" s="523"/>
      <c r="E73" s="523"/>
      <c r="F73" s="523"/>
      <c r="G73" s="523"/>
      <c r="H73" s="523"/>
      <c r="I73" s="523"/>
      <c r="J73" s="523"/>
      <c r="K73" s="523"/>
      <c r="L73" s="524"/>
      <c r="M73" s="525"/>
      <c r="N73" s="1154"/>
      <c r="O73" s="1154"/>
      <c r="P73" s="526"/>
      <c r="Q73" s="504"/>
    </row>
    <row r="74" spans="1:17" s="117" customFormat="1" ht="14.4" thickBot="1">
      <c r="A74" s="521"/>
      <c r="B74" s="510"/>
      <c r="C74" s="639">
        <v>100</v>
      </c>
      <c r="D74" s="512"/>
      <c r="E74" s="512"/>
      <c r="F74" s="512"/>
      <c r="G74" s="512"/>
      <c r="H74" s="512"/>
      <c r="I74" s="512"/>
      <c r="J74" s="512"/>
      <c r="K74" s="512"/>
      <c r="L74" s="512"/>
      <c r="M74" s="514"/>
      <c r="N74" s="1154"/>
      <c r="O74" s="1154"/>
      <c r="P74" s="504"/>
      <c r="Q74" s="504"/>
    </row>
    <row r="75" spans="1:17" ht="14.4">
      <c r="A75" s="527" t="s">
        <v>2588</v>
      </c>
      <c r="B75" s="528" t="s">
        <v>2554</v>
      </c>
      <c r="C75" s="530"/>
      <c r="D75" s="530"/>
      <c r="E75" s="530"/>
      <c r="F75" s="530"/>
      <c r="G75" s="530"/>
      <c r="H75" s="530"/>
      <c r="I75" s="530"/>
      <c r="J75" s="530"/>
      <c r="K75" s="531"/>
      <c r="L75" s="532"/>
      <c r="M75" s="533"/>
      <c r="N75" s="1155"/>
      <c r="O75" s="1155"/>
      <c r="P75" s="45"/>
      <c r="Q75" s="504"/>
    </row>
    <row r="76" spans="1:17" ht="14.4" thickBot="1">
      <c r="A76" s="534"/>
      <c r="B76" s="535"/>
      <c r="C76" s="536"/>
      <c r="D76" s="536"/>
      <c r="E76" s="536"/>
      <c r="F76" s="536"/>
      <c r="G76" s="536"/>
      <c r="H76" s="536"/>
      <c r="I76" s="536"/>
      <c r="J76" s="536"/>
      <c r="K76" s="536"/>
      <c r="L76" s="536"/>
      <c r="M76" s="537"/>
      <c r="N76" s="1156"/>
      <c r="O76" s="1156"/>
      <c r="P76" s="45"/>
      <c r="Q76" s="504"/>
    </row>
    <row r="77" spans="1:17" ht="29.4" thickTop="1">
      <c r="A77" s="534"/>
      <c r="B77" s="538" t="s">
        <v>2557</v>
      </c>
      <c r="C77" s="539"/>
      <c r="D77" s="539"/>
      <c r="E77" s="539"/>
      <c r="F77" s="539"/>
      <c r="G77" s="539"/>
      <c r="H77" s="539"/>
      <c r="I77" s="539"/>
      <c r="J77" s="539"/>
      <c r="K77" s="540"/>
      <c r="L77" s="541"/>
      <c r="M77" s="542"/>
      <c r="N77" s="1155"/>
      <c r="O77" s="1155"/>
      <c r="P77" s="45"/>
      <c r="Q77" s="504"/>
    </row>
    <row r="78" spans="1:17" ht="14.4" thickBot="1">
      <c r="A78" s="534"/>
      <c r="B78" s="543"/>
      <c r="C78" s="544"/>
      <c r="D78" s="544"/>
      <c r="E78" s="544"/>
      <c r="F78" s="544"/>
      <c r="G78" s="544"/>
      <c r="H78" s="544"/>
      <c r="I78" s="544"/>
      <c r="J78" s="544"/>
      <c r="K78" s="544"/>
      <c r="L78" s="544"/>
      <c r="M78" s="545"/>
      <c r="N78" s="1156"/>
      <c r="O78" s="1156"/>
      <c r="P78" s="45"/>
      <c r="Q78" s="504"/>
    </row>
    <row r="79" spans="1:17" ht="15" thickTop="1">
      <c r="A79" s="534"/>
      <c r="B79" s="546" t="s">
        <v>2558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c r="A80" s="534"/>
      <c r="B80" s="548"/>
      <c r="C80" s="549"/>
      <c r="D80" s="549"/>
      <c r="E80" s="549"/>
      <c r="F80" s="549"/>
      <c r="G80" s="549"/>
      <c r="H80" s="549"/>
      <c r="I80" s="549"/>
      <c r="J80" s="549"/>
      <c r="K80" s="550"/>
      <c r="L80" s="551"/>
      <c r="M80" s="552"/>
      <c r="N80" s="1155"/>
      <c r="O80" s="1155"/>
      <c r="P80" s="45"/>
      <c r="Q80" s="504"/>
    </row>
    <row r="81" spans="1:17" ht="14.4"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4.4"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4.4" thickBot="1">
      <c r="A83" s="553"/>
      <c r="B83" s="543"/>
      <c r="C83" s="560"/>
      <c r="D83" s="536"/>
      <c r="E83" s="536"/>
      <c r="F83" s="536"/>
      <c r="G83" s="536"/>
      <c r="H83" s="536"/>
      <c r="I83" s="536"/>
      <c r="J83" s="536"/>
      <c r="K83" s="536"/>
      <c r="L83" s="536"/>
      <c r="M83" s="537"/>
      <c r="N83" s="1156"/>
      <c r="O83" s="1156"/>
      <c r="P83" s="558"/>
      <c r="Q83" s="559"/>
    </row>
    <row r="84" spans="1:17" s="471" customFormat="1" ht="14.4" thickTop="1">
      <c r="A84" s="553"/>
      <c r="B84" s="538">
        <f>B13</f>
        <v>111</v>
      </c>
      <c r="C84" s="554"/>
      <c r="D84" s="554"/>
      <c r="E84" s="554"/>
      <c r="F84" s="554"/>
      <c r="G84" s="554"/>
      <c r="H84" s="555"/>
      <c r="I84" s="555"/>
      <c r="J84" s="555"/>
      <c r="K84" s="555"/>
      <c r="L84" s="556"/>
      <c r="M84" s="557"/>
      <c r="N84" s="1157"/>
      <c r="O84" s="1157"/>
      <c r="P84" s="470"/>
      <c r="Q84" s="561"/>
    </row>
    <row r="85" spans="1:17" s="471" customFormat="1" ht="14.4" thickBot="1">
      <c r="A85" s="553"/>
      <c r="B85" s="543"/>
      <c r="C85" s="560"/>
      <c r="D85" s="560"/>
      <c r="E85" s="560"/>
      <c r="F85" s="560"/>
      <c r="G85" s="560"/>
      <c r="H85" s="562"/>
      <c r="I85" s="562"/>
      <c r="J85" s="562"/>
      <c r="K85" s="562"/>
      <c r="L85" s="562"/>
      <c r="M85" s="563"/>
      <c r="N85" s="1157"/>
      <c r="O85" s="1157"/>
      <c r="P85" s="558"/>
      <c r="Q85" s="559"/>
    </row>
    <row r="86" spans="1:17" s="471" customFormat="1" ht="14.4" thickTop="1">
      <c r="A86" s="553"/>
      <c r="B86" s="546">
        <f>B14</f>
        <v>111</v>
      </c>
      <c r="C86" s="523"/>
      <c r="D86" s="523"/>
      <c r="E86" s="523"/>
      <c r="F86" s="523"/>
      <c r="G86" s="523"/>
      <c r="H86" s="564"/>
      <c r="I86" s="564"/>
      <c r="J86" s="564"/>
      <c r="K86" s="564"/>
      <c r="L86" s="565"/>
      <c r="M86" s="566"/>
      <c r="N86" s="1157"/>
      <c r="O86" s="1157"/>
      <c r="P86" s="567"/>
      <c r="Q86" s="559"/>
    </row>
    <row r="87" spans="1:17" s="471" customFormat="1" ht="14.4" thickBot="1">
      <c r="A87" s="568"/>
      <c r="B87" s="569"/>
      <c r="C87" s="570"/>
      <c r="D87" s="570"/>
      <c r="E87" s="570"/>
      <c r="F87" s="570"/>
      <c r="G87" s="570"/>
      <c r="H87" s="571"/>
      <c r="I87" s="571"/>
      <c r="J87" s="571"/>
      <c r="K87" s="571"/>
      <c r="L87" s="571"/>
      <c r="M87" s="572"/>
      <c r="N87" s="1157"/>
      <c r="O87" s="1157"/>
      <c r="P87" s="558"/>
      <c r="Q87" s="559"/>
    </row>
    <row r="88" spans="1:17" ht="14.4">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4.4"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 thickTop="1">
      <c r="A90" s="534"/>
      <c r="B90" s="538" t="s">
        <v>2784</v>
      </c>
      <c r="C90" s="578" t="s">
        <v>2597</v>
      </c>
      <c r="D90" s="578" t="s">
        <v>2598</v>
      </c>
      <c r="E90" s="578" t="s">
        <v>2599</v>
      </c>
      <c r="F90" s="578" t="s">
        <v>2600</v>
      </c>
      <c r="G90" s="578" t="s">
        <v>2601</v>
      </c>
      <c r="H90" s="539"/>
      <c r="I90" s="539"/>
      <c r="J90" s="539"/>
      <c r="K90" s="540"/>
      <c r="L90" s="541"/>
      <c r="M90" s="542"/>
      <c r="N90" s="1155"/>
      <c r="O90" s="1155"/>
      <c r="P90" s="45"/>
      <c r="Q90" s="504"/>
    </row>
    <row r="91" spans="1:17" ht="14.4"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4.4"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29.4" thickTop="1">
      <c r="A96" s="579"/>
      <c r="B96" s="538" t="s">
        <v>2785</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4.4"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9.4" thickTop="1">
      <c r="A98" s="579"/>
      <c r="B98" s="538" t="s">
        <v>2786</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4.4"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4.4"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 thickTop="1">
      <c r="A102" s="553"/>
      <c r="B102" s="546" t="s">
        <v>2655</v>
      </c>
      <c r="C102" s="660" t="s">
        <v>2675</v>
      </c>
      <c r="D102" s="660" t="s">
        <v>2676</v>
      </c>
      <c r="E102" s="660" t="s">
        <v>2677</v>
      </c>
      <c r="F102" s="660" t="s">
        <v>2678</v>
      </c>
      <c r="G102" s="660" t="s">
        <v>2679</v>
      </c>
      <c r="H102" s="600"/>
      <c r="I102" s="600"/>
      <c r="J102" s="600"/>
      <c r="K102" s="600"/>
      <c r="L102" s="600"/>
      <c r="M102" s="1388"/>
      <c r="N102" s="1157"/>
      <c r="O102" s="1157"/>
      <c r="P102" s="558"/>
      <c r="Q102" s="559"/>
    </row>
    <row r="103" spans="1:17" s="471" customFormat="1" ht="14.4"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9.4" thickTop="1">
      <c r="A106" s="534"/>
      <c r="B106" s="538" t="s">
        <v>2691</v>
      </c>
      <c r="C106" s="554"/>
      <c r="D106" s="554"/>
      <c r="E106" s="554"/>
      <c r="F106" s="554"/>
      <c r="G106" s="554"/>
      <c r="H106" s="583"/>
      <c r="I106" s="583"/>
      <c r="J106" s="583"/>
      <c r="K106" s="584"/>
      <c r="L106" s="585"/>
      <c r="M106" s="586"/>
      <c r="N106" s="1155"/>
      <c r="O106" s="1155"/>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 thickTop="1">
      <c r="A108" s="534"/>
      <c r="B108" s="538" t="s">
        <v>2750</v>
      </c>
      <c r="C108" s="583"/>
      <c r="D108" s="583"/>
      <c r="E108" s="583"/>
      <c r="F108" s="583"/>
      <c r="G108" s="583"/>
      <c r="H108" s="583"/>
      <c r="I108" s="583"/>
      <c r="J108" s="583"/>
      <c r="K108" s="584"/>
      <c r="L108" s="585"/>
      <c r="M108" s="586"/>
      <c r="N108" s="1155"/>
      <c r="O108" s="1155"/>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4.4" thickTop="1">
      <c r="A110" s="534"/>
      <c r="B110" s="546">
        <f>B35</f>
        <v>111</v>
      </c>
      <c r="C110" s="554"/>
      <c r="D110" s="554"/>
      <c r="E110" s="554"/>
      <c r="F110" s="554"/>
      <c r="G110" s="587"/>
      <c r="H110" s="587"/>
      <c r="I110" s="587"/>
      <c r="J110" s="587"/>
      <c r="K110" s="588"/>
      <c r="L110" s="589"/>
      <c r="M110" s="590"/>
      <c r="N110" s="1155"/>
      <c r="O110" s="1155"/>
      <c r="P110" s="45"/>
      <c r="Q110" s="504"/>
    </row>
    <row r="111" spans="1:17" ht="14.4" thickBot="1">
      <c r="A111" s="534"/>
      <c r="B111" s="569"/>
      <c r="C111" s="560"/>
      <c r="D111" s="560"/>
      <c r="E111" s="560"/>
      <c r="F111" s="560"/>
      <c r="G111" s="591"/>
      <c r="H111" s="591"/>
      <c r="I111" s="591"/>
      <c r="J111" s="591"/>
      <c r="K111" s="591"/>
      <c r="L111" s="591"/>
      <c r="M111" s="592"/>
      <c r="N111" s="1156"/>
      <c r="O111" s="1156"/>
      <c r="P111" s="45"/>
      <c r="Q111" s="504"/>
    </row>
    <row r="112" spans="1:17" ht="14.4" thickTop="1">
      <c r="A112" s="675"/>
      <c r="B112" s="538">
        <f>B36</f>
        <v>111</v>
      </c>
      <c r="C112" s="523"/>
      <c r="D112" s="523"/>
      <c r="E112" s="523"/>
      <c r="F112" s="523"/>
      <c r="G112" s="583"/>
      <c r="H112" s="583"/>
      <c r="I112" s="583"/>
      <c r="J112" s="583"/>
      <c r="K112" s="584"/>
      <c r="L112" s="585"/>
      <c r="M112" s="586"/>
      <c r="N112" s="1155"/>
      <c r="O112" s="1155"/>
      <c r="P112" s="45"/>
      <c r="Q112" s="504"/>
    </row>
    <row r="113" spans="1:17" ht="14.4" thickBot="1">
      <c r="A113" s="534"/>
      <c r="B113" s="543"/>
      <c r="C113" s="570"/>
      <c r="D113" s="570"/>
      <c r="E113" s="570"/>
      <c r="F113" s="570"/>
      <c r="G113" s="536"/>
      <c r="H113" s="536"/>
      <c r="I113" s="536"/>
      <c r="J113" s="536"/>
      <c r="K113" s="536"/>
      <c r="L113" s="536"/>
      <c r="M113" s="537"/>
      <c r="N113" s="1156"/>
      <c r="O113" s="1156"/>
      <c r="P113" s="45"/>
      <c r="Q113" s="504"/>
    </row>
    <row r="114" spans="1:17" s="471" customFormat="1" ht="14.4"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4.4" thickBot="1">
      <c r="A115" s="553"/>
      <c r="B115" s="546"/>
      <c r="C115" s="512"/>
      <c r="D115" s="677"/>
      <c r="E115" s="677"/>
      <c r="F115" s="677"/>
      <c r="G115" s="677"/>
      <c r="H115" s="677"/>
      <c r="I115" s="677"/>
      <c r="J115" s="677"/>
      <c r="K115" s="677"/>
      <c r="L115" s="677"/>
      <c r="M115" s="699"/>
      <c r="N115" s="1156"/>
      <c r="O115" s="1156"/>
      <c r="P115" s="558"/>
      <c r="Q115" s="559"/>
    </row>
    <row r="116" spans="1:17" ht="14.4">
      <c r="A116" s="527" t="s">
        <v>2563</v>
      </c>
      <c r="B116" s="528" t="s">
        <v>2791</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c r="A117" s="534"/>
      <c r="B117" s="546"/>
      <c r="C117" s="595"/>
      <c r="D117" s="595"/>
      <c r="E117" s="595"/>
      <c r="F117" s="595"/>
      <c r="G117" s="595"/>
      <c r="H117" s="595"/>
      <c r="I117" s="595"/>
      <c r="J117" s="596"/>
      <c r="K117" s="596"/>
      <c r="L117" s="597"/>
      <c r="M117" s="598"/>
      <c r="N117" s="1155"/>
      <c r="O117" s="1155"/>
      <c r="P117" s="45"/>
      <c r="Q117" s="504"/>
    </row>
    <row r="118" spans="1:17" ht="14.4"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2792</v>
      </c>
      <c r="C119" s="583"/>
      <c r="D119" s="583"/>
      <c r="E119" s="583"/>
      <c r="F119" s="583"/>
      <c r="G119" s="583"/>
      <c r="H119" s="583"/>
      <c r="I119" s="583"/>
      <c r="J119" s="583"/>
      <c r="K119" s="584"/>
      <c r="L119" s="585"/>
      <c r="M119" s="586"/>
      <c r="N119" s="1155"/>
      <c r="O119" s="1155"/>
      <c r="P119" s="45"/>
      <c r="Q119" s="504"/>
    </row>
    <row r="120" spans="1:17" ht="14.4"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4.4"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554"/>
      <c r="D123" s="554"/>
      <c r="E123" s="554"/>
      <c r="F123" s="554"/>
      <c r="G123" s="554"/>
      <c r="H123" s="583"/>
      <c r="I123" s="583"/>
      <c r="J123" s="583"/>
      <c r="K123" s="584"/>
      <c r="L123" s="585"/>
      <c r="M123" s="586"/>
      <c r="N123" s="1157"/>
      <c r="O123" s="1157"/>
      <c r="P123" s="558"/>
      <c r="Q123" s="559"/>
    </row>
    <row r="124" spans="1:17" s="471" customFormat="1" ht="14.4"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4.4" thickTop="1">
      <c r="A127" s="599"/>
      <c r="B127" s="538">
        <f>B43</f>
        <v>111</v>
      </c>
      <c r="C127" s="554"/>
      <c r="D127" s="554"/>
      <c r="E127" s="554"/>
      <c r="F127" s="554"/>
      <c r="G127" s="554"/>
      <c r="H127" s="583"/>
      <c r="I127" s="583"/>
      <c r="J127" s="583"/>
      <c r="K127" s="584"/>
      <c r="L127" s="585"/>
      <c r="M127" s="586"/>
      <c r="N127" s="1155"/>
      <c r="O127" s="1155"/>
      <c r="P127" s="45"/>
      <c r="Q127" s="504"/>
    </row>
    <row r="128" spans="1:17" ht="14.4" thickBot="1">
      <c r="A128" s="534"/>
      <c r="B128" s="543"/>
      <c r="C128" s="560"/>
      <c r="D128" s="560"/>
      <c r="E128" s="560"/>
      <c r="F128" s="560"/>
      <c r="G128" s="536"/>
      <c r="H128" s="536"/>
      <c r="I128" s="536"/>
      <c r="J128" s="536"/>
      <c r="K128" s="536"/>
      <c r="L128" s="536"/>
      <c r="M128" s="537"/>
      <c r="N128" s="1156"/>
      <c r="O128" s="1156"/>
      <c r="P128" s="45"/>
      <c r="Q128" s="504"/>
    </row>
    <row r="129" spans="1:17" ht="14.4" thickTop="1">
      <c r="A129" s="599"/>
      <c r="B129" s="538">
        <f>B44</f>
        <v>111</v>
      </c>
      <c r="C129" s="523"/>
      <c r="D129" s="523"/>
      <c r="E129" s="523"/>
      <c r="F129" s="523"/>
      <c r="G129" s="583"/>
      <c r="H129" s="583"/>
      <c r="I129" s="583"/>
      <c r="J129" s="583"/>
      <c r="K129" s="584"/>
      <c r="L129" s="585"/>
      <c r="M129" s="586"/>
      <c r="N129" s="1155"/>
      <c r="O129" s="1155"/>
      <c r="P129" s="45"/>
      <c r="Q129" s="504"/>
    </row>
    <row r="130" spans="1:17" ht="14.4" thickBot="1">
      <c r="A130" s="534"/>
      <c r="B130" s="543"/>
      <c r="C130" s="570"/>
      <c r="D130" s="570"/>
      <c r="E130" s="570"/>
      <c r="F130" s="570"/>
      <c r="G130" s="536"/>
      <c r="H130" s="536"/>
      <c r="I130" s="536"/>
      <c r="J130" s="536"/>
      <c r="K130" s="536"/>
      <c r="L130" s="536"/>
      <c r="M130" s="537"/>
      <c r="N130" s="1156"/>
      <c r="O130" s="1156"/>
      <c r="P130" s="45"/>
      <c r="Q130" s="504"/>
    </row>
    <row r="131" spans="1:17" s="471" customFormat="1" ht="14.4"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4.4"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19" zoomScale="85" zoomScaleNormal="85" workbookViewId="0">
      <selection activeCell="C21" sqref="C21:K23"/>
    </sheetView>
  </sheetViews>
  <sheetFormatPr defaultColWidth="9" defaultRowHeight="13.8"/>
  <cols>
    <col min="1" max="1" width="14.33203125" style="403" customWidth="1"/>
    <col min="2" max="2" width="15.77734375" style="403" customWidth="1"/>
    <col min="3" max="3" width="16"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2327</v>
      </c>
      <c r="B2" s="671">
        <f>F61</f>
        <v>2170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2329</v>
      </c>
      <c r="B3" s="609">
        <f>ROUND(IF(D3="",B2*10000/'数据-汇总表'!E3,B2*10000/D3),0)</f>
        <v>590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4.4">
      <c r="A4" s="401" t="s">
        <v>2645</v>
      </c>
      <c r="B4" s="402"/>
      <c r="C4" s="3192" t="s">
        <v>2646</v>
      </c>
      <c r="D4" s="3193"/>
      <c r="E4" s="3194" t="s">
        <v>2647</v>
      </c>
      <c r="F4" s="3195"/>
      <c r="G4" s="3192" t="s">
        <v>2648</v>
      </c>
      <c r="H4" s="3193"/>
      <c r="I4" s="3192" t="s">
        <v>2649</v>
      </c>
      <c r="J4" s="3193"/>
      <c r="K4" s="610" t="s">
        <v>2650</v>
      </c>
      <c r="L4" s="1133"/>
      <c r="M4" s="1134"/>
      <c r="N4" s="1134"/>
      <c r="O4" s="1134"/>
      <c r="P4" s="3196" t="s">
        <v>2651</v>
      </c>
      <c r="Q4" s="3197"/>
      <c r="R4" s="3179" t="s">
        <v>2647</v>
      </c>
      <c r="S4" s="3180"/>
      <c r="T4" s="3179" t="s">
        <v>2648</v>
      </c>
      <c r="U4" s="3180"/>
      <c r="V4" s="3204" t="s">
        <v>2649</v>
      </c>
      <c r="W4" s="3204"/>
      <c r="X4" s="1816"/>
      <c r="Y4" s="3179" t="s">
        <v>2651</v>
      </c>
      <c r="Z4" s="3180"/>
      <c r="AA4" s="3174" t="s">
        <v>2647</v>
      </c>
      <c r="AB4" s="3175" t="s">
        <v>2648</v>
      </c>
      <c r="AC4" s="3174" t="s">
        <v>2649</v>
      </c>
    </row>
    <row r="5" spans="1:29">
      <c r="A5" s="404"/>
      <c r="B5" s="405"/>
      <c r="C5" s="3240" t="s">
        <v>3194</v>
      </c>
      <c r="D5" s="3186"/>
      <c r="E5" s="3183" t="str">
        <f>土地案例!A2</f>
        <v>工业三路北侧、福喜五路西侧</v>
      </c>
      <c r="F5" s="3184"/>
      <c r="G5" s="3185" t="str">
        <f>土地案例!A3</f>
        <v>首创大街东侧、工业三路北侧</v>
      </c>
      <c r="H5" s="3186"/>
      <c r="I5" s="3185" t="str">
        <f>土地案例!A4</f>
        <v>金隅路东侧、兴旺街北侧</v>
      </c>
      <c r="J5" s="3186"/>
      <c r="K5" s="610"/>
      <c r="L5" s="1133"/>
      <c r="M5" s="1134"/>
      <c r="N5" s="1134"/>
      <c r="O5" s="1134"/>
      <c r="P5" s="3198"/>
      <c r="Q5" s="3199"/>
      <c r="R5" s="3181"/>
      <c r="S5" s="3182"/>
      <c r="T5" s="3181"/>
      <c r="U5" s="3182"/>
      <c r="V5" s="3204"/>
      <c r="W5" s="3204"/>
      <c r="X5" s="1816"/>
      <c r="Y5" s="3181"/>
      <c r="Z5" s="3182"/>
      <c r="AA5" s="3175"/>
      <c r="AB5" s="3175"/>
      <c r="AC5" s="3175"/>
    </row>
    <row r="6" spans="1:29" ht="15" thickBot="1">
      <c r="A6" s="406"/>
      <c r="B6" s="407"/>
      <c r="C6" s="3241" t="s">
        <v>3195</v>
      </c>
      <c r="D6" s="3242"/>
      <c r="E6" s="3241" t="s">
        <v>3195</v>
      </c>
      <c r="F6" s="3242"/>
      <c r="G6" s="3241" t="s">
        <v>3195</v>
      </c>
      <c r="H6" s="3242"/>
      <c r="I6" s="3241" t="s">
        <v>3195</v>
      </c>
      <c r="J6" s="3242"/>
      <c r="K6" s="610" t="s">
        <v>2547</v>
      </c>
      <c r="L6" s="1133"/>
      <c r="M6" s="1134"/>
      <c r="N6" s="1134"/>
      <c r="O6" s="1134"/>
      <c r="P6" s="3200"/>
      <c r="Q6" s="3201"/>
      <c r="R6" s="3181"/>
      <c r="S6" s="3182"/>
      <c r="T6" s="3202"/>
      <c r="U6" s="3203"/>
      <c r="V6" s="3204"/>
      <c r="W6" s="3204"/>
      <c r="X6" s="1816"/>
      <c r="Y6" s="3202"/>
      <c r="Z6" s="3203"/>
      <c r="AA6" s="3176"/>
      <c r="AB6" s="3176"/>
      <c r="AC6" s="3176"/>
    </row>
    <row r="7" spans="1:29" s="117" customFormat="1" ht="15" thickBot="1">
      <c r="A7" s="408" t="s">
        <v>2548</v>
      </c>
      <c r="B7" s="409"/>
      <c r="C7" s="410">
        <f>'数据-取费表'!B2</f>
        <v>43339</v>
      </c>
      <c r="D7" s="411">
        <v>100</v>
      </c>
      <c r="E7" s="412" t="str">
        <f>土地案例!AA2</f>
        <v>2018-01-12</v>
      </c>
      <c r="F7" s="413">
        <f>SUMIF(65:65,YEAR(E7)&amp;"-"&amp;INT((MONTH(E7)+2)/3),66:66)</f>
        <v>98</v>
      </c>
      <c r="G7" s="2700" t="str">
        <f>土地案例!AA3</f>
        <v>2018-01-12</v>
      </c>
      <c r="H7" s="411">
        <f>SUMIF(65:65,YEAR(G7)&amp;"-"&amp;INT((MONTH(G7)+2)/3),66:66)</f>
        <v>98</v>
      </c>
      <c r="I7" s="2700" t="str">
        <f>土地案例!AA4</f>
        <v>2018-01-12</v>
      </c>
      <c r="J7" s="411">
        <f>SUMIF(65:65,YEAR(I7)&amp;"-"&amp;INT((MONTH(I7)+2)/3),66:66)</f>
        <v>98</v>
      </c>
      <c r="K7" s="611"/>
      <c r="L7" s="1135"/>
      <c r="M7" s="1136"/>
      <c r="N7" s="1136"/>
      <c r="O7" s="1136"/>
      <c r="P7" s="3177" t="s">
        <v>2549</v>
      </c>
      <c r="Q7" s="3205"/>
      <c r="R7" s="770" t="s">
        <v>17</v>
      </c>
      <c r="S7" s="771">
        <f t="shared" ref="S7:S15" si="0">F7</f>
        <v>98</v>
      </c>
      <c r="T7" s="770" t="s">
        <v>17</v>
      </c>
      <c r="U7" s="771">
        <f t="shared" ref="U7:U15" si="1">H7</f>
        <v>98</v>
      </c>
      <c r="V7" s="770" t="s">
        <v>17</v>
      </c>
      <c r="W7" s="771">
        <f t="shared" ref="W7:W15" si="2">J7</f>
        <v>98</v>
      </c>
      <c r="X7" s="772"/>
      <c r="Y7" s="3177" t="s">
        <v>2549</v>
      </c>
      <c r="Z7" s="3178"/>
      <c r="AA7" s="773">
        <f>D7/F7</f>
        <v>1.0204081632653061</v>
      </c>
      <c r="AB7" s="773">
        <f>D7/H7</f>
        <v>1.0204081632653061</v>
      </c>
      <c r="AC7" s="773">
        <f>D7/J7</f>
        <v>1.0204081632653061</v>
      </c>
    </row>
    <row r="8" spans="1:29" s="117" customFormat="1" ht="15" thickBot="1">
      <c r="A8" s="408" t="s">
        <v>2550</v>
      </c>
      <c r="B8" s="409"/>
      <c r="C8" s="414" t="s">
        <v>2551</v>
      </c>
      <c r="D8" s="411">
        <v>100</v>
      </c>
      <c r="E8" s="414" t="s">
        <v>3196</v>
      </c>
      <c r="F8" s="413">
        <f>SUMIF(68:68,E8,69:69)-SUMIF(68:68,C8,69:69)+100</f>
        <v>100</v>
      </c>
      <c r="G8" s="414" t="s">
        <v>3196</v>
      </c>
      <c r="H8" s="411">
        <f>SUMIF(68:68,G8,69:69)-SUMIF(68:68,C8,69:69)+100</f>
        <v>100</v>
      </c>
      <c r="I8" s="414" t="s">
        <v>3196</v>
      </c>
      <c r="J8" s="411">
        <f>SUMIF(68:68,I8,69:69)-SUMIF(68:68,C8,69:69)+100</f>
        <v>100</v>
      </c>
      <c r="K8" s="611"/>
      <c r="L8" s="1135"/>
      <c r="M8" s="1136"/>
      <c r="N8" s="1136"/>
      <c r="O8" s="1136"/>
      <c r="P8" s="3177" t="s">
        <v>2552</v>
      </c>
      <c r="Q8" s="3178"/>
      <c r="R8" s="770" t="s">
        <v>17</v>
      </c>
      <c r="S8" s="771">
        <f t="shared" si="0"/>
        <v>100</v>
      </c>
      <c r="T8" s="770" t="s">
        <v>17</v>
      </c>
      <c r="U8" s="771">
        <f t="shared" si="1"/>
        <v>100</v>
      </c>
      <c r="V8" s="770" t="s">
        <v>17</v>
      </c>
      <c r="W8" s="771">
        <f t="shared" si="2"/>
        <v>100</v>
      </c>
      <c r="X8" s="772"/>
      <c r="Y8" s="3177" t="s">
        <v>2552</v>
      </c>
      <c r="Z8" s="3178"/>
      <c r="AA8" s="773">
        <f t="shared" ref="AA8:AA40" si="3">D8/F8</f>
        <v>1</v>
      </c>
      <c r="AB8" s="773">
        <f t="shared" ref="AB8:AB40" si="4">D8/H8</f>
        <v>1</v>
      </c>
      <c r="AC8" s="773">
        <f t="shared" ref="AC8:AC40" si="5">D8/J8</f>
        <v>1</v>
      </c>
    </row>
    <row r="9" spans="1:29" s="117" customFormat="1" ht="14.4">
      <c r="A9" s="415" t="s">
        <v>2553</v>
      </c>
      <c r="B9" s="71" t="s">
        <v>2554</v>
      </c>
      <c r="C9" s="2703" t="s">
        <v>6</v>
      </c>
      <c r="D9" s="135">
        <v>100</v>
      </c>
      <c r="E9" s="2703" t="s">
        <v>6</v>
      </c>
      <c r="F9" s="135">
        <f>SUMIF(70:70,E9,71:71)-SUMIF(70:70,C9,71:71)+100</f>
        <v>100</v>
      </c>
      <c r="G9" s="2703" t="s">
        <v>6</v>
      </c>
      <c r="H9" s="135">
        <f>SUMIF(70:70,G9,71:71)-SUMIF(70:70,C9,71:71)+100</f>
        <v>100</v>
      </c>
      <c r="I9" s="2703" t="s">
        <v>6</v>
      </c>
      <c r="J9" s="135">
        <f>SUMIF(70:70,I9,71:71)-SUMIF(70:70,C9,71:71)+100</f>
        <v>100</v>
      </c>
      <c r="K9" s="611"/>
      <c r="L9" s="1135"/>
      <c r="M9" s="1136"/>
      <c r="N9" s="1136"/>
      <c r="O9" s="1137"/>
      <c r="P9" s="3209" t="s">
        <v>2555</v>
      </c>
      <c r="Q9" s="1798" t="str">
        <f t="shared" ref="Q9:Q15" si="6">B9</f>
        <v>用途</v>
      </c>
      <c r="R9" s="770" t="s">
        <v>17</v>
      </c>
      <c r="S9" s="771">
        <f t="shared" si="0"/>
        <v>100</v>
      </c>
      <c r="T9" s="770" t="s">
        <v>17</v>
      </c>
      <c r="U9" s="771">
        <f t="shared" si="1"/>
        <v>100</v>
      </c>
      <c r="V9" s="770" t="s">
        <v>17</v>
      </c>
      <c r="W9" s="771">
        <f t="shared" si="2"/>
        <v>100</v>
      </c>
      <c r="X9" s="772"/>
      <c r="Y9" s="3024" t="s">
        <v>2556</v>
      </c>
      <c r="Z9" s="55" t="str">
        <f t="shared" ref="Z9:Z15" si="7">Q9</f>
        <v>用途</v>
      </c>
      <c r="AA9" s="773">
        <f t="shared" si="3"/>
        <v>1</v>
      </c>
      <c r="AB9" s="773">
        <f t="shared" si="4"/>
        <v>1</v>
      </c>
      <c r="AC9" s="773">
        <f t="shared" si="5"/>
        <v>1</v>
      </c>
    </row>
    <row r="10" spans="1:29" s="427" customFormat="1" ht="28.8">
      <c r="A10" s="421"/>
      <c r="B10" s="422" t="s">
        <v>2557</v>
      </c>
      <c r="C10" s="432">
        <f>项目基本情况!F16</f>
        <v>43.87</v>
      </c>
      <c r="D10" s="136">
        <v>100</v>
      </c>
      <c r="E10" s="432">
        <v>50</v>
      </c>
      <c r="F10" s="136">
        <f>ROUND(100/'数据-取费表'!G16,0)</f>
        <v>103</v>
      </c>
      <c r="G10" s="432">
        <v>50</v>
      </c>
      <c r="H10" s="136">
        <f>ROUND(100/'数据-取费表'!G16,0)</f>
        <v>103</v>
      </c>
      <c r="I10" s="432">
        <v>50</v>
      </c>
      <c r="J10" s="136">
        <f>ROUND(100/'数据-取费表'!G16,0)</f>
        <v>103</v>
      </c>
      <c r="K10" s="672"/>
      <c r="L10" s="1138"/>
      <c r="M10" s="1139"/>
      <c r="N10" s="1139"/>
      <c r="O10" s="1140"/>
      <c r="P10" s="3209"/>
      <c r="Q10" s="1798" t="str">
        <f t="shared" si="6"/>
        <v>土地使用年限（年）</v>
      </c>
      <c r="R10" s="770" t="s">
        <v>17</v>
      </c>
      <c r="S10" s="771">
        <f t="shared" si="0"/>
        <v>103</v>
      </c>
      <c r="T10" s="770" t="s">
        <v>17</v>
      </c>
      <c r="U10" s="771">
        <f t="shared" si="1"/>
        <v>103</v>
      </c>
      <c r="V10" s="770" t="s">
        <v>17</v>
      </c>
      <c r="W10" s="771">
        <f t="shared" si="2"/>
        <v>103</v>
      </c>
      <c r="X10" s="772"/>
      <c r="Y10" s="3024"/>
      <c r="Z10" s="55" t="str">
        <f t="shared" si="7"/>
        <v>土地使用年限（年）</v>
      </c>
      <c r="AA10" s="773">
        <f t="shared" si="3"/>
        <v>0.970873786407767</v>
      </c>
      <c r="AB10" s="773">
        <f t="shared" si="4"/>
        <v>0.970873786407767</v>
      </c>
      <c r="AC10" s="773">
        <f t="shared" si="5"/>
        <v>0.970873786407767</v>
      </c>
    </row>
    <row r="11" spans="1:29" ht="15">
      <c r="A11" s="428"/>
      <c r="B11" s="422" t="s">
        <v>2558</v>
      </c>
      <c r="C11" s="429">
        <f>'数据-汇总表'!I6</f>
        <v>1.38</v>
      </c>
      <c r="D11" s="136">
        <v>100</v>
      </c>
      <c r="E11" s="429">
        <v>2.5</v>
      </c>
      <c r="F11" s="136">
        <f>LOOKUP(E11,75:75,76:76)-LOOKUP(C11,75:75,76:76)+100</f>
        <v>101</v>
      </c>
      <c r="G11" s="430">
        <v>2.5</v>
      </c>
      <c r="H11" s="136">
        <f>LOOKUP(G11,75:75,76:76)-LOOKUP(C11,75:75,76:76)+100</f>
        <v>101</v>
      </c>
      <c r="I11" s="429">
        <v>2.5</v>
      </c>
      <c r="J11" s="136">
        <f>LOOKUP(I11,75:75,76:76)-LOOKUP(C11,75:75,76:76)+100</f>
        <v>101</v>
      </c>
      <c r="K11" s="673">
        <v>1</v>
      </c>
      <c r="L11" s="1141"/>
      <c r="M11" s="1134"/>
      <c r="N11" s="1134"/>
      <c r="O11" s="1142"/>
      <c r="P11" s="3209"/>
      <c r="Q11" s="1798" t="str">
        <f t="shared" si="6"/>
        <v>容积率</v>
      </c>
      <c r="R11" s="770" t="s">
        <v>17</v>
      </c>
      <c r="S11" s="771">
        <f t="shared" si="0"/>
        <v>101</v>
      </c>
      <c r="T11" s="770" t="s">
        <v>17</v>
      </c>
      <c r="U11" s="771">
        <f t="shared" si="1"/>
        <v>101</v>
      </c>
      <c r="V11" s="770" t="s">
        <v>17</v>
      </c>
      <c r="W11" s="771">
        <f t="shared" si="2"/>
        <v>101</v>
      </c>
      <c r="X11" s="772"/>
      <c r="Y11" s="3024"/>
      <c r="Z11" s="55" t="str">
        <f t="shared" si="7"/>
        <v>容积率</v>
      </c>
      <c r="AA11" s="773">
        <f t="shared" si="3"/>
        <v>0.99009900990099009</v>
      </c>
      <c r="AB11" s="773">
        <f t="shared" si="4"/>
        <v>0.99009900990099009</v>
      </c>
      <c r="AC11" s="773">
        <f t="shared" si="5"/>
        <v>0.99009900990099009</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9"/>
      <c r="Q12" s="1798">
        <f t="shared" si="6"/>
        <v>111</v>
      </c>
      <c r="R12" s="770" t="s">
        <v>17</v>
      </c>
      <c r="S12" s="771">
        <f t="shared" si="0"/>
        <v>100</v>
      </c>
      <c r="T12" s="770" t="s">
        <v>17</v>
      </c>
      <c r="U12" s="771">
        <f t="shared" si="1"/>
        <v>100</v>
      </c>
      <c r="V12" s="770" t="s">
        <v>17</v>
      </c>
      <c r="W12" s="771">
        <f t="shared" si="2"/>
        <v>100</v>
      </c>
      <c r="X12" s="772"/>
      <c r="Y12" s="3024"/>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9"/>
      <c r="Q13" s="1798">
        <f t="shared" si="6"/>
        <v>111</v>
      </c>
      <c r="R13" s="770" t="s">
        <v>17</v>
      </c>
      <c r="S13" s="771">
        <f t="shared" si="0"/>
        <v>100</v>
      </c>
      <c r="T13" s="770" t="s">
        <v>17</v>
      </c>
      <c r="U13" s="771">
        <f t="shared" si="1"/>
        <v>100</v>
      </c>
      <c r="V13" s="770" t="s">
        <v>17</v>
      </c>
      <c r="W13" s="771">
        <f t="shared" si="2"/>
        <v>100</v>
      </c>
      <c r="X13" s="772"/>
      <c r="Y13" s="3024"/>
      <c r="Z13" s="55">
        <f t="shared" si="7"/>
        <v>111</v>
      </c>
      <c r="AA13" s="773">
        <f t="shared" si="3"/>
        <v>1</v>
      </c>
      <c r="AB13" s="773">
        <f t="shared" si="4"/>
        <v>1</v>
      </c>
      <c r="AC13" s="773">
        <f t="shared" si="5"/>
        <v>1</v>
      </c>
    </row>
    <row r="14" spans="1:29" ht="15.6"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9"/>
      <c r="Q14" s="1798">
        <f t="shared" si="6"/>
        <v>111</v>
      </c>
      <c r="R14" s="770" t="s">
        <v>17</v>
      </c>
      <c r="S14" s="771">
        <f t="shared" si="0"/>
        <v>100</v>
      </c>
      <c r="T14" s="770" t="s">
        <v>17</v>
      </c>
      <c r="U14" s="771">
        <f t="shared" si="1"/>
        <v>100</v>
      </c>
      <c r="V14" s="770" t="s">
        <v>17</v>
      </c>
      <c r="W14" s="771">
        <f t="shared" si="2"/>
        <v>100</v>
      </c>
      <c r="X14" s="772"/>
      <c r="Y14" s="3024"/>
      <c r="Z14" s="55">
        <f t="shared" si="7"/>
        <v>111</v>
      </c>
      <c r="AA14" s="773">
        <f t="shared" si="3"/>
        <v>1</v>
      </c>
      <c r="AB14" s="773">
        <f t="shared" si="4"/>
        <v>1</v>
      </c>
      <c r="AC14" s="773">
        <f t="shared" si="5"/>
        <v>1</v>
      </c>
    </row>
    <row r="15" spans="1:29" ht="55.2">
      <c r="A15" s="440" t="s">
        <v>2559</v>
      </c>
      <c r="B15" s="629" t="s">
        <v>2797</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v>2</v>
      </c>
      <c r="L15" s="1143"/>
      <c r="M15" s="1134"/>
      <c r="N15" s="1134"/>
      <c r="O15" s="1142"/>
      <c r="P15" s="3211" t="s">
        <v>2560</v>
      </c>
      <c r="Q15" s="1813" t="str">
        <f t="shared" si="6"/>
        <v>产业集聚程度</v>
      </c>
      <c r="R15" s="774" t="s">
        <v>17</v>
      </c>
      <c r="S15" s="775">
        <f t="shared" si="0"/>
        <v>100</v>
      </c>
      <c r="T15" s="774" t="s">
        <v>17</v>
      </c>
      <c r="U15" s="775">
        <f t="shared" si="1"/>
        <v>100</v>
      </c>
      <c r="V15" s="774" t="s">
        <v>17</v>
      </c>
      <c r="W15" s="775">
        <f t="shared" si="2"/>
        <v>100</v>
      </c>
      <c r="X15" s="1816"/>
      <c r="Y15" s="3211" t="s">
        <v>2560</v>
      </c>
      <c r="Z15" s="1817" t="str">
        <f t="shared" si="7"/>
        <v>产业集聚程度</v>
      </c>
      <c r="AA15" s="1814">
        <f t="shared" si="3"/>
        <v>1</v>
      </c>
      <c r="AB15" s="1814">
        <f t="shared" si="4"/>
        <v>1</v>
      </c>
      <c r="AC15" s="1814">
        <f t="shared" si="5"/>
        <v>1</v>
      </c>
    </row>
    <row r="16" spans="1:29" ht="15">
      <c r="A16" s="428"/>
      <c r="B16" s="630"/>
      <c r="C16" s="447" t="s">
        <v>3199</v>
      </c>
      <c r="D16" s="448"/>
      <c r="E16" s="447" t="s">
        <v>3199</v>
      </c>
      <c r="F16" s="448"/>
      <c r="G16" s="447" t="s">
        <v>3199</v>
      </c>
      <c r="H16" s="450"/>
      <c r="I16" s="447" t="s">
        <v>3199</v>
      </c>
      <c r="J16" s="448"/>
      <c r="K16" s="672"/>
      <c r="L16" s="1143"/>
      <c r="M16" s="1134"/>
      <c r="N16" s="1134"/>
      <c r="O16" s="1142"/>
      <c r="P16" s="3212"/>
      <c r="Q16" s="1813"/>
      <c r="R16" s="774"/>
      <c r="S16" s="775"/>
      <c r="T16" s="774"/>
      <c r="U16" s="775"/>
      <c r="V16" s="774"/>
      <c r="W16" s="775"/>
      <c r="X16" s="1816"/>
      <c r="Y16" s="3212"/>
      <c r="Z16" s="1817"/>
      <c r="AA16" s="1814">
        <v>1</v>
      </c>
      <c r="AB16" s="1814">
        <v>1</v>
      </c>
      <c r="AC16" s="1814">
        <v>1</v>
      </c>
    </row>
    <row r="17" spans="1:29" ht="82.8">
      <c r="A17" s="428"/>
      <c r="B17" s="631" t="s">
        <v>2709</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v>2</v>
      </c>
      <c r="L17" s="1143"/>
      <c r="M17" s="1134"/>
      <c r="N17" s="1134"/>
      <c r="O17" s="1142"/>
      <c r="P17" s="3212"/>
      <c r="Q17" s="1813" t="str">
        <f>B17</f>
        <v>交通便捷度</v>
      </c>
      <c r="R17" s="774" t="s">
        <v>17</v>
      </c>
      <c r="S17" s="775">
        <f>F17</f>
        <v>100</v>
      </c>
      <c r="T17" s="774" t="s">
        <v>17</v>
      </c>
      <c r="U17" s="775">
        <f>H17</f>
        <v>100</v>
      </c>
      <c r="V17" s="774" t="s">
        <v>17</v>
      </c>
      <c r="W17" s="775">
        <f>J17</f>
        <v>100</v>
      </c>
      <c r="X17" s="1816"/>
      <c r="Y17" s="3212"/>
      <c r="Z17" s="1817" t="str">
        <f>Q17</f>
        <v>交通便捷度</v>
      </c>
      <c r="AA17" s="1814">
        <f t="shared" si="3"/>
        <v>1</v>
      </c>
      <c r="AB17" s="1814">
        <f t="shared" si="4"/>
        <v>1</v>
      </c>
      <c r="AC17" s="1814">
        <f t="shared" si="5"/>
        <v>1</v>
      </c>
    </row>
    <row r="18" spans="1:29" ht="15">
      <c r="A18" s="428"/>
      <c r="B18" s="632"/>
      <c r="C18" s="447" t="s">
        <v>3200</v>
      </c>
      <c r="D18" s="448"/>
      <c r="E18" s="447" t="s">
        <v>3200</v>
      </c>
      <c r="F18" s="448"/>
      <c r="G18" s="447" t="s">
        <v>3200</v>
      </c>
      <c r="H18" s="448"/>
      <c r="I18" s="447" t="s">
        <v>3200</v>
      </c>
      <c r="J18" s="448"/>
      <c r="K18" s="672"/>
      <c r="L18" s="1143"/>
      <c r="M18" s="1134"/>
      <c r="N18" s="1134"/>
      <c r="O18" s="1142"/>
      <c r="P18" s="3212"/>
      <c r="Q18" s="1813"/>
      <c r="R18" s="774"/>
      <c r="S18" s="775"/>
      <c r="T18" s="774"/>
      <c r="U18" s="775"/>
      <c r="V18" s="774"/>
      <c r="W18" s="775"/>
      <c r="X18" s="1816"/>
      <c r="Y18" s="3212"/>
      <c r="Z18" s="1817"/>
      <c r="AA18" s="1814">
        <v>1</v>
      </c>
      <c r="AB18" s="1814">
        <v>1</v>
      </c>
      <c r="AC18" s="1814">
        <v>1</v>
      </c>
    </row>
    <row r="19" spans="1:29" ht="28.8">
      <c r="A19" s="428"/>
      <c r="B19" s="631" t="s">
        <v>2748</v>
      </c>
      <c r="C19" s="2611">
        <f>估价对象房地状况!G17</f>
        <v>0</v>
      </c>
      <c r="D19" s="450">
        <v>100</v>
      </c>
      <c r="E19" s="2953">
        <f>估价对象房地状况!I17</f>
        <v>0</v>
      </c>
      <c r="F19" s="455">
        <f>SUMIF(87:87,E20,88:88)-SUMIF(87:87,C20,88:88)+100</f>
        <v>100</v>
      </c>
      <c r="G19" s="2953">
        <f>估价对象房地状况!K17</f>
        <v>0</v>
      </c>
      <c r="H19" s="455">
        <f>SUMIF(87:87,G20,88:88)-SUMIF(87:87,C20,88:88)+100</f>
        <v>100</v>
      </c>
      <c r="I19" s="2953">
        <f>估价对象房地状况!M17</f>
        <v>0</v>
      </c>
      <c r="J19" s="455">
        <f>SUMIF(87:87,I20,88:88)-SUMIF(87:87,C20,88:88)+100</f>
        <v>100</v>
      </c>
      <c r="K19" s="673">
        <v>1</v>
      </c>
      <c r="L19" s="1143"/>
      <c r="M19" s="1134"/>
      <c r="N19" s="1134"/>
      <c r="O19" s="1142"/>
      <c r="P19" s="3212"/>
      <c r="Q19" s="1813" t="str">
        <f t="shared" ref="Q19:Q33" si="8">B19</f>
        <v>区域土地利用方向</v>
      </c>
      <c r="R19" s="774" t="s">
        <v>17</v>
      </c>
      <c r="S19" s="775">
        <f>F19</f>
        <v>100</v>
      </c>
      <c r="T19" s="774" t="s">
        <v>17</v>
      </c>
      <c r="U19" s="775">
        <f>H19</f>
        <v>100</v>
      </c>
      <c r="V19" s="774" t="s">
        <v>17</v>
      </c>
      <c r="W19" s="775">
        <f>J19</f>
        <v>100</v>
      </c>
      <c r="X19" s="1816"/>
      <c r="Y19" s="3212"/>
      <c r="Z19" s="1817" t="str">
        <f>Q19</f>
        <v>区域土地利用方向</v>
      </c>
      <c r="AA19" s="1814">
        <f t="shared" si="3"/>
        <v>1</v>
      </c>
      <c r="AB19" s="1814">
        <f t="shared" si="4"/>
        <v>1</v>
      </c>
      <c r="AC19" s="1814">
        <f t="shared" si="5"/>
        <v>1</v>
      </c>
    </row>
    <row r="20" spans="1:29" ht="15">
      <c r="A20" s="404"/>
      <c r="B20" s="632"/>
      <c r="C20" s="447" t="s">
        <v>3199</v>
      </c>
      <c r="D20" s="448"/>
      <c r="E20" s="447" t="s">
        <v>3199</v>
      </c>
      <c r="F20" s="448"/>
      <c r="G20" s="447" t="s">
        <v>3199</v>
      </c>
      <c r="H20" s="448"/>
      <c r="I20" s="447" t="s">
        <v>3199</v>
      </c>
      <c r="J20" s="448"/>
      <c r="K20" s="812"/>
      <c r="L20" s="1143"/>
      <c r="M20" s="1134"/>
      <c r="N20" s="1134"/>
      <c r="O20" s="1142"/>
      <c r="P20" s="3212"/>
      <c r="Q20" s="1813"/>
      <c r="R20" s="774"/>
      <c r="S20" s="775"/>
      <c r="T20" s="774"/>
      <c r="U20" s="775"/>
      <c r="V20" s="774"/>
      <c r="W20" s="775"/>
      <c r="X20" s="1816"/>
      <c r="Y20" s="3212"/>
      <c r="Z20" s="1817"/>
      <c r="AA20" s="1814"/>
      <c r="AB20" s="1814"/>
      <c r="AC20" s="1814"/>
    </row>
    <row r="21" spans="1:29" ht="69">
      <c r="A21" s="404"/>
      <c r="B21" s="631" t="s">
        <v>2798</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v>1</v>
      </c>
      <c r="L21" s="1143"/>
      <c r="M21" s="1134"/>
      <c r="N21" s="1134"/>
      <c r="O21" s="1142"/>
      <c r="P21" s="3212"/>
      <c r="Q21" s="1813" t="str">
        <f t="shared" si="8"/>
        <v>环境状况</v>
      </c>
      <c r="R21" s="774" t="s">
        <v>17</v>
      </c>
      <c r="S21" s="775">
        <f>F21</f>
        <v>100</v>
      </c>
      <c r="T21" s="774" t="s">
        <v>17</v>
      </c>
      <c r="U21" s="775">
        <f>H21</f>
        <v>100</v>
      </c>
      <c r="V21" s="774" t="s">
        <v>17</v>
      </c>
      <c r="W21" s="775">
        <f>J21</f>
        <v>100</v>
      </c>
      <c r="X21" s="1816"/>
      <c r="Y21" s="3212"/>
      <c r="Z21" s="1817" t="str">
        <f>Q21</f>
        <v>环境状况</v>
      </c>
      <c r="AA21" s="1814">
        <f t="shared" si="3"/>
        <v>1</v>
      </c>
      <c r="AB21" s="1814">
        <f t="shared" si="4"/>
        <v>1</v>
      </c>
      <c r="AC21" s="1814">
        <f t="shared" si="5"/>
        <v>1</v>
      </c>
    </row>
    <row r="22" spans="1:29" ht="15">
      <c r="A22" s="404"/>
      <c r="B22" s="632"/>
      <c r="C22" s="447" t="s">
        <v>3199</v>
      </c>
      <c r="D22" s="448"/>
      <c r="E22" s="447" t="s">
        <v>3199</v>
      </c>
      <c r="F22" s="448"/>
      <c r="G22" s="447" t="s">
        <v>3199</v>
      </c>
      <c r="H22" s="448"/>
      <c r="I22" s="447" t="s">
        <v>3199</v>
      </c>
      <c r="J22" s="448"/>
      <c r="K22" s="672"/>
      <c r="L22" s="1143"/>
      <c r="M22" s="1134"/>
      <c r="N22" s="1134"/>
      <c r="O22" s="1142"/>
      <c r="P22" s="3212"/>
      <c r="Q22" s="1813"/>
      <c r="R22" s="774"/>
      <c r="S22" s="775"/>
      <c r="T22" s="774"/>
      <c r="U22" s="775"/>
      <c r="V22" s="774"/>
      <c r="W22" s="775"/>
      <c r="X22" s="1816"/>
      <c r="Y22" s="3212"/>
      <c r="Z22" s="1817"/>
      <c r="AA22" s="1814">
        <v>1</v>
      </c>
      <c r="AB22" s="1814">
        <v>1</v>
      </c>
      <c r="AC22" s="1814">
        <v>1</v>
      </c>
    </row>
    <row r="23" spans="1:29" s="117" customFormat="1" ht="41.4">
      <c r="A23" s="649"/>
      <c r="B23" s="633" t="s">
        <v>2654</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v>1</v>
      </c>
      <c r="L23" s="1135"/>
      <c r="M23" s="1136"/>
      <c r="N23" s="1136"/>
      <c r="O23" s="1137"/>
      <c r="P23" s="3212"/>
      <c r="Q23" s="1798" t="str">
        <f t="shared" si="8"/>
        <v>公共配套设施</v>
      </c>
      <c r="R23" s="770" t="s">
        <v>17</v>
      </c>
      <c r="S23" s="771">
        <f>F23</f>
        <v>100</v>
      </c>
      <c r="T23" s="770" t="s">
        <v>17</v>
      </c>
      <c r="U23" s="771">
        <f>H23</f>
        <v>100</v>
      </c>
      <c r="V23" s="770" t="s">
        <v>17</v>
      </c>
      <c r="W23" s="771">
        <f>J23</f>
        <v>100</v>
      </c>
      <c r="X23" s="772"/>
      <c r="Y23" s="3212"/>
      <c r="Z23" s="55" t="str">
        <f>Q23</f>
        <v>公共配套设施</v>
      </c>
      <c r="AA23" s="1814">
        <f>D23/F23</f>
        <v>1</v>
      </c>
      <c r="AB23" s="1814">
        <f>D23/H23</f>
        <v>1</v>
      </c>
      <c r="AC23" s="1814">
        <f>D23/J23</f>
        <v>1</v>
      </c>
    </row>
    <row r="24" spans="1:29" s="117" customFormat="1" ht="15">
      <c r="A24" s="649"/>
      <c r="B24" s="632"/>
      <c r="C24" s="2704" t="s">
        <v>3200</v>
      </c>
      <c r="D24" s="448"/>
      <c r="E24" s="2704" t="s">
        <v>3200</v>
      </c>
      <c r="F24" s="448"/>
      <c r="G24" s="2704" t="s">
        <v>3200</v>
      </c>
      <c r="H24" s="448"/>
      <c r="I24" s="2704" t="s">
        <v>3200</v>
      </c>
      <c r="J24" s="448"/>
      <c r="K24" s="672"/>
      <c r="L24" s="1135"/>
      <c r="M24" s="1136"/>
      <c r="N24" s="1136"/>
      <c r="O24" s="1137"/>
      <c r="P24" s="3212"/>
      <c r="Q24" s="1798"/>
      <c r="R24" s="770"/>
      <c r="S24" s="771"/>
      <c r="T24" s="770"/>
      <c r="U24" s="771"/>
      <c r="V24" s="770"/>
      <c r="W24" s="771"/>
      <c r="X24" s="772"/>
      <c r="Y24" s="3212"/>
      <c r="Z24" s="55"/>
      <c r="AA24" s="773">
        <v>1</v>
      </c>
      <c r="AB24" s="773">
        <v>1</v>
      </c>
      <c r="AC24" s="773">
        <v>1</v>
      </c>
    </row>
    <row r="25" spans="1:29" s="117" customFormat="1" ht="27.6">
      <c r="A25" s="649"/>
      <c r="B25" s="633" t="s">
        <v>2655</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v>1</v>
      </c>
      <c r="L25" s="1135"/>
      <c r="M25" s="1136"/>
      <c r="N25" s="1136"/>
      <c r="O25" s="1137"/>
      <c r="P25" s="3212"/>
      <c r="Q25" s="1798" t="str">
        <f t="shared" ref="Q25" si="9">B25</f>
        <v>基础设施水平</v>
      </c>
      <c r="R25" s="770" t="s">
        <v>17</v>
      </c>
      <c r="S25" s="771">
        <f>F25</f>
        <v>100</v>
      </c>
      <c r="T25" s="770" t="s">
        <v>17</v>
      </c>
      <c r="U25" s="771">
        <f>H25</f>
        <v>100</v>
      </c>
      <c r="V25" s="770" t="s">
        <v>17</v>
      </c>
      <c r="W25" s="771">
        <f>J25</f>
        <v>100</v>
      </c>
      <c r="X25" s="772"/>
      <c r="Y25" s="3212"/>
      <c r="Z25" s="55" t="str">
        <f>Q25</f>
        <v>基础设施水平</v>
      </c>
      <c r="AA25" s="1814">
        <f>D25/F25</f>
        <v>1</v>
      </c>
      <c r="AB25" s="1814">
        <f>D25/H25</f>
        <v>1</v>
      </c>
      <c r="AC25" s="1814">
        <f>D25/J25</f>
        <v>1</v>
      </c>
    </row>
    <row r="26" spans="1:29" s="117" customFormat="1" ht="15">
      <c r="A26" s="649"/>
      <c r="B26" s="632"/>
      <c r="C26" s="2704" t="s">
        <v>3201</v>
      </c>
      <c r="D26" s="448"/>
      <c r="E26" s="2704" t="s">
        <v>3201</v>
      </c>
      <c r="F26" s="448"/>
      <c r="G26" s="2704" t="s">
        <v>3201</v>
      </c>
      <c r="H26" s="448"/>
      <c r="I26" s="2704" t="s">
        <v>3201</v>
      </c>
      <c r="J26" s="448"/>
      <c r="K26" s="672"/>
      <c r="L26" s="1135"/>
      <c r="M26" s="1136"/>
      <c r="N26" s="1136"/>
      <c r="O26" s="1137"/>
      <c r="P26" s="3212"/>
      <c r="Q26" s="1798"/>
      <c r="R26" s="770"/>
      <c r="S26" s="771"/>
      <c r="T26" s="770"/>
      <c r="U26" s="771"/>
      <c r="V26" s="770"/>
      <c r="W26" s="771"/>
      <c r="X26" s="772"/>
      <c r="Y26" s="3212"/>
      <c r="Z26" s="55"/>
      <c r="AA26" s="773">
        <v>1</v>
      </c>
      <c r="AB26" s="773">
        <v>1</v>
      </c>
      <c r="AC26" s="773">
        <v>1</v>
      </c>
    </row>
    <row r="27" spans="1:29" ht="15">
      <c r="A27" s="428"/>
      <c r="B27" s="632" t="s">
        <v>2656</v>
      </c>
      <c r="C27" s="616" t="s">
        <v>3203</v>
      </c>
      <c r="D27" s="435">
        <v>100</v>
      </c>
      <c r="E27" s="616" t="s">
        <v>3203</v>
      </c>
      <c r="F27" s="435">
        <f>SUMIF(95:95,E27,96:96)-SUMIF(95:95,C27,96:96)+100</f>
        <v>100</v>
      </c>
      <c r="G27" s="616" t="s">
        <v>3203</v>
      </c>
      <c r="H27" s="435">
        <f>SUMIF(95:95,G27,96:96)-SUMIF(95:95,C27,96:96)+100</f>
        <v>100</v>
      </c>
      <c r="I27" s="616" t="s">
        <v>3203</v>
      </c>
      <c r="J27" s="435">
        <f>SUMIF(95:95,I27,96:96)-SUMIF(95:95,C27,96:96)+100</f>
        <v>100</v>
      </c>
      <c r="K27" s="673">
        <v>1</v>
      </c>
      <c r="L27" s="1143"/>
      <c r="M27" s="1134"/>
      <c r="N27" s="1134"/>
      <c r="O27" s="1142"/>
      <c r="P27" s="321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2"/>
      <c r="Z27" s="1817" t="str">
        <f t="shared" ref="Z27:Z40" si="13">Q27</f>
        <v>临街状况</v>
      </c>
      <c r="AA27" s="1814">
        <f t="shared" si="3"/>
        <v>1</v>
      </c>
      <c r="AB27" s="1814">
        <f t="shared" si="4"/>
        <v>1</v>
      </c>
      <c r="AC27" s="1814">
        <f t="shared" si="5"/>
        <v>1</v>
      </c>
    </row>
    <row r="28" spans="1:29" ht="28.8">
      <c r="A28" s="428"/>
      <c r="B28" s="633" t="s">
        <v>2691</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v>1</v>
      </c>
      <c r="L28" s="1143"/>
      <c r="M28" s="1134"/>
      <c r="N28" s="1134"/>
      <c r="O28" s="1142"/>
      <c r="P28" s="3212"/>
      <c r="Q28" s="1813" t="str">
        <f t="shared" si="8"/>
        <v>毗邻道路的类型与等级</v>
      </c>
      <c r="R28" s="774" t="s">
        <v>17</v>
      </c>
      <c r="S28" s="775">
        <f t="shared" si="10"/>
        <v>100</v>
      </c>
      <c r="T28" s="774" t="s">
        <v>17</v>
      </c>
      <c r="U28" s="775">
        <f t="shared" si="11"/>
        <v>100</v>
      </c>
      <c r="V28" s="774" t="s">
        <v>17</v>
      </c>
      <c r="W28" s="775">
        <f t="shared" si="12"/>
        <v>100</v>
      </c>
      <c r="X28" s="1816"/>
      <c r="Y28" s="3212"/>
      <c r="Z28" s="1817" t="str">
        <f t="shared" si="13"/>
        <v>毗邻道路的类型与等级</v>
      </c>
      <c r="AA28" s="1814">
        <f t="shared" si="3"/>
        <v>1</v>
      </c>
      <c r="AB28" s="1814">
        <f t="shared" si="4"/>
        <v>1</v>
      </c>
      <c r="AC28" s="1814">
        <f t="shared" si="5"/>
        <v>1</v>
      </c>
    </row>
    <row r="29" spans="1:29" ht="15">
      <c r="A29" s="428"/>
      <c r="B29" s="632"/>
      <c r="C29" s="447" t="s">
        <v>3207</v>
      </c>
      <c r="D29" s="448"/>
      <c r="E29" s="447" t="s">
        <v>3207</v>
      </c>
      <c r="F29" s="448"/>
      <c r="G29" s="447" t="s">
        <v>3207</v>
      </c>
      <c r="H29" s="448"/>
      <c r="I29" s="447" t="s">
        <v>3207</v>
      </c>
      <c r="J29" s="448"/>
      <c r="K29" s="613"/>
      <c r="L29" s="1143"/>
      <c r="M29" s="1134"/>
      <c r="N29" s="1134"/>
      <c r="O29" s="1142"/>
      <c r="P29" s="3212"/>
      <c r="Q29" s="1813"/>
      <c r="R29" s="774"/>
      <c r="S29" s="775"/>
      <c r="T29" s="774"/>
      <c r="U29" s="775"/>
      <c r="V29" s="774"/>
      <c r="W29" s="775"/>
      <c r="X29" s="1816"/>
      <c r="Y29" s="3212"/>
      <c r="Z29" s="1817"/>
      <c r="AA29" s="1814">
        <v>1</v>
      </c>
      <c r="AB29" s="1814">
        <v>1</v>
      </c>
      <c r="AC29" s="1814">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2"/>
      <c r="Q30" s="1813" t="str">
        <f t="shared" si="8"/>
        <v>土地级别</v>
      </c>
      <c r="R30" s="774" t="s">
        <v>17</v>
      </c>
      <c r="S30" s="775">
        <f t="shared" si="10"/>
        <v>100</v>
      </c>
      <c r="T30" s="774" t="s">
        <v>17</v>
      </c>
      <c r="U30" s="775">
        <f t="shared" si="11"/>
        <v>100</v>
      </c>
      <c r="V30" s="774" t="s">
        <v>17</v>
      </c>
      <c r="W30" s="775">
        <f t="shared" si="12"/>
        <v>100</v>
      </c>
      <c r="X30" s="1816"/>
      <c r="Y30" s="3212"/>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2"/>
      <c r="Q31" s="1813">
        <f t="shared" si="8"/>
        <v>111</v>
      </c>
      <c r="R31" s="774" t="s">
        <v>17</v>
      </c>
      <c r="S31" s="775">
        <f t="shared" si="10"/>
        <v>100</v>
      </c>
      <c r="T31" s="774" t="s">
        <v>17</v>
      </c>
      <c r="U31" s="775">
        <f t="shared" si="11"/>
        <v>100</v>
      </c>
      <c r="V31" s="774" t="s">
        <v>17</v>
      </c>
      <c r="W31" s="775">
        <f t="shared" si="12"/>
        <v>100</v>
      </c>
      <c r="X31" s="1816"/>
      <c r="Y31" s="3212"/>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5" t="s">
        <v>2565</v>
      </c>
      <c r="Q32" s="1813">
        <f t="shared" si="8"/>
        <v>111</v>
      </c>
      <c r="R32" s="774" t="s">
        <v>17</v>
      </c>
      <c r="S32" s="775">
        <f t="shared" si="10"/>
        <v>100</v>
      </c>
      <c r="T32" s="774" t="s">
        <v>17</v>
      </c>
      <c r="U32" s="775">
        <f t="shared" si="11"/>
        <v>100</v>
      </c>
      <c r="V32" s="774" t="s">
        <v>17</v>
      </c>
      <c r="W32" s="775">
        <f t="shared" si="12"/>
        <v>100</v>
      </c>
      <c r="X32" s="1816"/>
      <c r="Y32" s="3216" t="s">
        <v>2565</v>
      </c>
      <c r="Z32" s="1817">
        <f t="shared" si="13"/>
        <v>111</v>
      </c>
      <c r="AA32" s="1814">
        <f t="shared" si="3"/>
        <v>1</v>
      </c>
      <c r="AB32" s="1814">
        <f t="shared" si="4"/>
        <v>1</v>
      </c>
      <c r="AC32" s="1814">
        <f t="shared" si="5"/>
        <v>1</v>
      </c>
    </row>
    <row r="33" spans="1:29" s="471" customFormat="1" ht="15.6"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16"/>
      <c r="Q33" s="1813">
        <f t="shared" si="8"/>
        <v>111</v>
      </c>
      <c r="R33" s="777" t="s">
        <v>17</v>
      </c>
      <c r="S33" s="778">
        <f t="shared" si="10"/>
        <v>100</v>
      </c>
      <c r="T33" s="777" t="s">
        <v>17</v>
      </c>
      <c r="U33" s="778">
        <f t="shared" si="11"/>
        <v>100</v>
      </c>
      <c r="V33" s="777" t="s">
        <v>17</v>
      </c>
      <c r="W33" s="778">
        <f t="shared" si="12"/>
        <v>100</v>
      </c>
      <c r="X33" s="779"/>
      <c r="Y33" s="3216"/>
      <c r="Z33" s="780">
        <f t="shared" si="13"/>
        <v>111</v>
      </c>
      <c r="AA33" s="1814">
        <f t="shared" si="3"/>
        <v>1</v>
      </c>
      <c r="AB33" s="1814">
        <f t="shared" si="4"/>
        <v>1</v>
      </c>
      <c r="AC33" s="1814">
        <f t="shared" si="5"/>
        <v>1</v>
      </c>
    </row>
    <row r="34" spans="1:29" ht="15">
      <c r="A34" s="440" t="s">
        <v>2563</v>
      </c>
      <c r="B34" s="456" t="s">
        <v>2751</v>
      </c>
      <c r="C34" s="679">
        <f>'数据-基础表'!A3</f>
        <v>26594.63</v>
      </c>
      <c r="D34" s="467">
        <v>100</v>
      </c>
      <c r="E34" s="679">
        <f>土地案例!J2</f>
        <v>23328.35</v>
      </c>
      <c r="F34" s="467">
        <f>LOOKUP(E34,108:108,109:109)-LOOKUP(C34,108:108,109:109)+100</f>
        <v>100</v>
      </c>
      <c r="G34" s="679">
        <f>土地案例!J3</f>
        <v>6313.08</v>
      </c>
      <c r="H34" s="467">
        <f>LOOKUP(G34,108:108,109:109)-LOOKUP(C34,108:108,109:109)+100</f>
        <v>99</v>
      </c>
      <c r="I34" s="530">
        <f>土地案例!J4</f>
        <v>57370.43</v>
      </c>
      <c r="J34" s="467">
        <f>LOOKUP(I34,108:108,109:109)-LOOKUP(C34,108:108,109:109)+100</f>
        <v>101.5</v>
      </c>
      <c r="K34" s="613"/>
      <c r="L34" s="1143"/>
      <c r="M34" s="1134"/>
      <c r="N34" s="1134"/>
      <c r="O34" s="1142"/>
      <c r="P34" s="3216"/>
      <c r="Q34" s="1813" t="str">
        <f>B34</f>
        <v>宗地面积</v>
      </c>
      <c r="R34" s="774" t="s">
        <v>17</v>
      </c>
      <c r="S34" s="775">
        <f t="shared" si="10"/>
        <v>100</v>
      </c>
      <c r="T34" s="774" t="s">
        <v>17</v>
      </c>
      <c r="U34" s="775">
        <f t="shared" si="11"/>
        <v>99</v>
      </c>
      <c r="V34" s="774" t="s">
        <v>17</v>
      </c>
      <c r="W34" s="775">
        <f t="shared" si="12"/>
        <v>101.5</v>
      </c>
      <c r="X34" s="1816"/>
      <c r="Y34" s="3216"/>
      <c r="Z34" s="1817" t="str">
        <f t="shared" si="13"/>
        <v>宗地面积</v>
      </c>
      <c r="AA34" s="1814">
        <f t="shared" si="3"/>
        <v>1</v>
      </c>
      <c r="AB34" s="1814">
        <f t="shared" si="4"/>
        <v>1.0101010101010102</v>
      </c>
      <c r="AC34" s="1814">
        <f t="shared" si="5"/>
        <v>0.98522167487684731</v>
      </c>
    </row>
    <row r="35" spans="1:29" ht="15">
      <c r="A35" s="472"/>
      <c r="B35" s="422" t="s">
        <v>2752</v>
      </c>
      <c r="C35" s="2617" t="s">
        <v>3211</v>
      </c>
      <c r="D35" s="435">
        <v>100</v>
      </c>
      <c r="E35" s="2617" t="s">
        <v>3211</v>
      </c>
      <c r="F35" s="435">
        <f>SUMIF(110:110,E35,111:111)-SUMIF(110:110,C35,111:111)+100</f>
        <v>100</v>
      </c>
      <c r="G35" s="2617" t="s">
        <v>3211</v>
      </c>
      <c r="H35" s="435">
        <f>SUMIF(110:110,G35,111:111)-SUMIF(110:110,C35,111:111)+100</f>
        <v>100</v>
      </c>
      <c r="I35" s="2617" t="s">
        <v>3211</v>
      </c>
      <c r="J35" s="435">
        <f>SUMIF(110:110,I35,111:111)-SUMIF(110:110,C35,111:111)+100</f>
        <v>100</v>
      </c>
      <c r="K35" s="612">
        <v>1</v>
      </c>
      <c r="L35" s="1143"/>
      <c r="M35" s="1134"/>
      <c r="N35" s="1134"/>
      <c r="O35" s="1142"/>
      <c r="P35" s="3216"/>
      <c r="Q35" s="1813" t="str">
        <f t="shared" ref="Q35:Q40" si="14">B35</f>
        <v>宗地形状</v>
      </c>
      <c r="R35" s="774" t="s">
        <v>17</v>
      </c>
      <c r="S35" s="775">
        <f t="shared" si="10"/>
        <v>100</v>
      </c>
      <c r="T35" s="774" t="s">
        <v>17</v>
      </c>
      <c r="U35" s="775">
        <f t="shared" si="11"/>
        <v>100</v>
      </c>
      <c r="V35" s="774" t="s">
        <v>17</v>
      </c>
      <c r="W35" s="775">
        <f t="shared" si="12"/>
        <v>100</v>
      </c>
      <c r="X35" s="1816"/>
      <c r="Y35" s="3216"/>
      <c r="Z35" s="1817" t="str">
        <f t="shared" si="13"/>
        <v>宗地形状</v>
      </c>
      <c r="AA35" s="1814">
        <f t="shared" si="3"/>
        <v>1</v>
      </c>
      <c r="AB35" s="1814">
        <f t="shared" si="4"/>
        <v>1</v>
      </c>
      <c r="AC35" s="1814">
        <f t="shared" si="5"/>
        <v>1</v>
      </c>
    </row>
    <row r="36" spans="1:29" s="117" customFormat="1" ht="15">
      <c r="A36" s="473"/>
      <c r="B36" s="422" t="s">
        <v>2754</v>
      </c>
      <c r="C36" s="2706" t="s">
        <v>3202</v>
      </c>
      <c r="D36" s="136">
        <v>100</v>
      </c>
      <c r="E36" s="2706" t="s">
        <v>3202</v>
      </c>
      <c r="F36" s="435">
        <f>SUMIF(112:112,E36,113:113)-SUMIF(112:112,C36,113:113)+100</f>
        <v>100</v>
      </c>
      <c r="G36" s="2706" t="s">
        <v>3202</v>
      </c>
      <c r="H36" s="435">
        <f>SUMIF(112:112,G36,113:113)-SUMIF(112:112,C36,113:113)+100</f>
        <v>100</v>
      </c>
      <c r="I36" s="2706" t="s">
        <v>3202</v>
      </c>
      <c r="J36" s="435">
        <f>SUMIF(112:112,I36,113:113)-SUMIF(112:112,C36,113:113)+100</f>
        <v>100</v>
      </c>
      <c r="K36" s="612">
        <v>1</v>
      </c>
      <c r="L36" s="1135"/>
      <c r="M36" s="1136"/>
      <c r="N36" s="1136"/>
      <c r="O36" s="1137"/>
      <c r="P36" s="3216"/>
      <c r="Q36" s="1813" t="str">
        <f t="shared" si="14"/>
        <v>宗地开发程度</v>
      </c>
      <c r="R36" s="770" t="s">
        <v>17</v>
      </c>
      <c r="S36" s="771">
        <f t="shared" si="10"/>
        <v>100</v>
      </c>
      <c r="T36" s="770" t="s">
        <v>17</v>
      </c>
      <c r="U36" s="771">
        <f t="shared" si="11"/>
        <v>100</v>
      </c>
      <c r="V36" s="770" t="s">
        <v>17</v>
      </c>
      <c r="W36" s="771">
        <f t="shared" si="12"/>
        <v>100</v>
      </c>
      <c r="X36" s="772"/>
      <c r="Y36" s="3216"/>
      <c r="Z36" s="55" t="str">
        <f t="shared" si="13"/>
        <v>宗地开发程度</v>
      </c>
      <c r="AA36" s="773">
        <f t="shared" si="3"/>
        <v>1</v>
      </c>
      <c r="AB36" s="773">
        <f t="shared" si="4"/>
        <v>1</v>
      </c>
      <c r="AC36" s="773">
        <f t="shared" si="5"/>
        <v>1</v>
      </c>
    </row>
    <row r="37" spans="1:29" ht="15">
      <c r="A37" s="472"/>
      <c r="B37" s="422" t="s">
        <v>2755</v>
      </c>
      <c r="C37" s="2617" t="s">
        <v>3199</v>
      </c>
      <c r="D37" s="435">
        <v>100</v>
      </c>
      <c r="E37" s="2617" t="s">
        <v>3199</v>
      </c>
      <c r="F37" s="435">
        <f>SUMIF(114:114,E37,115:115)-SUMIF(114:114,C37,115:115)+100</f>
        <v>100</v>
      </c>
      <c r="G37" s="2617" t="s">
        <v>3199</v>
      </c>
      <c r="H37" s="435">
        <f>SUMIF(114:114,G37,115:115)-SUMIF(114:114,C37,115:115)+100</f>
        <v>100</v>
      </c>
      <c r="I37" s="2617" t="s">
        <v>3199</v>
      </c>
      <c r="J37" s="435">
        <f>SUMIF(114:114,I37,115:115)-SUMIF(114:114,C37,115:115)+100</f>
        <v>100</v>
      </c>
      <c r="K37" s="612">
        <v>1</v>
      </c>
      <c r="L37" s="1143"/>
      <c r="M37" s="1134"/>
      <c r="N37" s="1134"/>
      <c r="O37" s="1142"/>
      <c r="P37" s="3216" t="s">
        <v>2565</v>
      </c>
      <c r="Q37" s="1813" t="str">
        <f t="shared" si="14"/>
        <v>工程地质条件</v>
      </c>
      <c r="R37" s="774" t="s">
        <v>17</v>
      </c>
      <c r="S37" s="775">
        <f t="shared" si="10"/>
        <v>100</v>
      </c>
      <c r="T37" s="774" t="s">
        <v>17</v>
      </c>
      <c r="U37" s="775">
        <f t="shared" si="11"/>
        <v>100</v>
      </c>
      <c r="V37" s="774" t="s">
        <v>17</v>
      </c>
      <c r="W37" s="775">
        <f t="shared" si="12"/>
        <v>100</v>
      </c>
      <c r="X37" s="1816"/>
      <c r="Y37" s="3216" t="s">
        <v>2565</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16"/>
      <c r="Q38" s="1813">
        <f t="shared" si="14"/>
        <v>111</v>
      </c>
      <c r="R38" s="774" t="s">
        <v>17</v>
      </c>
      <c r="S38" s="775">
        <f t="shared" si="10"/>
        <v>100</v>
      </c>
      <c r="T38" s="774" t="s">
        <v>17</v>
      </c>
      <c r="U38" s="775">
        <f t="shared" si="11"/>
        <v>100</v>
      </c>
      <c r="V38" s="774" t="s">
        <v>17</v>
      </c>
      <c r="W38" s="775">
        <f t="shared" si="12"/>
        <v>100</v>
      </c>
      <c r="X38" s="1816"/>
      <c r="Y38" s="321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16"/>
      <c r="Q39" s="1813">
        <f t="shared" si="14"/>
        <v>111</v>
      </c>
      <c r="R39" s="774" t="s">
        <v>17</v>
      </c>
      <c r="S39" s="775">
        <f t="shared" si="10"/>
        <v>100</v>
      </c>
      <c r="T39" s="774" t="s">
        <v>17</v>
      </c>
      <c r="U39" s="775">
        <f t="shared" si="11"/>
        <v>100</v>
      </c>
      <c r="V39" s="774" t="s">
        <v>17</v>
      </c>
      <c r="W39" s="775">
        <f t="shared" si="12"/>
        <v>100</v>
      </c>
      <c r="X39" s="1816"/>
      <c r="Y39" s="3216"/>
      <c r="Z39" s="1817">
        <f t="shared" si="13"/>
        <v>111</v>
      </c>
      <c r="AA39" s="1814">
        <f t="shared" si="3"/>
        <v>1</v>
      </c>
      <c r="AB39" s="1814">
        <f t="shared" si="4"/>
        <v>1</v>
      </c>
      <c r="AC39" s="1814">
        <f t="shared" si="5"/>
        <v>1</v>
      </c>
    </row>
    <row r="40" spans="1:29" s="471" customFormat="1" ht="15.6"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16"/>
      <c r="Q40" s="1813">
        <f t="shared" si="14"/>
        <v>111</v>
      </c>
      <c r="R40" s="777" t="s">
        <v>17</v>
      </c>
      <c r="S40" s="778">
        <f t="shared" si="10"/>
        <v>100</v>
      </c>
      <c r="T40" s="777" t="s">
        <v>17</v>
      </c>
      <c r="U40" s="778">
        <f t="shared" si="11"/>
        <v>100</v>
      </c>
      <c r="V40" s="777" t="s">
        <v>17</v>
      </c>
      <c r="W40" s="778">
        <f t="shared" si="12"/>
        <v>100</v>
      </c>
      <c r="X40" s="779"/>
      <c r="Y40" s="3216"/>
      <c r="Z40" s="780">
        <f t="shared" si="13"/>
        <v>111</v>
      </c>
      <c r="AA40" s="1814">
        <f t="shared" si="3"/>
        <v>1</v>
      </c>
      <c r="AB40" s="1814">
        <f t="shared" si="4"/>
        <v>1</v>
      </c>
      <c r="AC40" s="1814">
        <f t="shared" si="5"/>
        <v>1</v>
      </c>
    </row>
    <row r="41" spans="1:29" ht="14.4">
      <c r="A41" s="479" t="s">
        <v>2720</v>
      </c>
      <c r="B41" s="2708" t="s">
        <v>3198</v>
      </c>
      <c r="C41" s="682" t="s">
        <v>1</v>
      </c>
      <c r="D41" s="481"/>
      <c r="E41" s="482">
        <f>土地案例!AS2</f>
        <v>842</v>
      </c>
      <c r="F41" s="483"/>
      <c r="G41" s="484">
        <f>土地案例!AS3</f>
        <v>847</v>
      </c>
      <c r="H41" s="485"/>
      <c r="I41" s="482">
        <f>土地案例!AS4</f>
        <v>810</v>
      </c>
      <c r="J41" s="485"/>
      <c r="K41" s="783"/>
      <c r="L41" s="1146"/>
      <c r="M41" s="1134"/>
      <c r="N41" s="1134"/>
      <c r="O41" s="1147"/>
      <c r="P41" s="3209" t="str">
        <f>A41</f>
        <v>成交单价</v>
      </c>
      <c r="Q41" s="3209"/>
      <c r="R41" s="3204">
        <f>E41</f>
        <v>842</v>
      </c>
      <c r="S41" s="3204"/>
      <c r="T41" s="3204">
        <f>G41</f>
        <v>847</v>
      </c>
      <c r="U41" s="3204"/>
      <c r="V41" s="3204">
        <f>I41</f>
        <v>810</v>
      </c>
      <c r="W41" s="3204"/>
      <c r="X41" s="759"/>
      <c r="Y41" s="781"/>
      <c r="Z41" s="759"/>
      <c r="AA41" s="759"/>
      <c r="AB41" s="759"/>
      <c r="AC41" s="759"/>
    </row>
    <row r="42" spans="1:29" ht="15" thickBot="1">
      <c r="A42" s="486" t="s">
        <v>2669</v>
      </c>
      <c r="B42" s="683"/>
      <c r="C42" s="490">
        <f>R43</f>
        <v>816</v>
      </c>
      <c r="D42" s="489"/>
      <c r="E42" s="490">
        <f>R42</f>
        <v>826</v>
      </c>
      <c r="F42" s="491"/>
      <c r="G42" s="488">
        <f>T42</f>
        <v>839</v>
      </c>
      <c r="H42" s="489"/>
      <c r="I42" s="490">
        <f>V42</f>
        <v>783</v>
      </c>
      <c r="J42" s="489"/>
      <c r="K42" s="784"/>
      <c r="L42" s="1146"/>
      <c r="M42" s="1134"/>
      <c r="N42" s="1134"/>
      <c r="O42" s="1147"/>
      <c r="P42" s="3209" t="str">
        <f>A42</f>
        <v>比较价值（元/平方米）</v>
      </c>
      <c r="Q42" s="3209"/>
      <c r="R42" s="3236">
        <f>ROUND(PRODUCT(R41,AA7:AA40),0)</f>
        <v>826</v>
      </c>
      <c r="S42" s="3236"/>
      <c r="T42" s="3236">
        <f>ROUND(PRODUCT(T41,AB7:AB40),0)</f>
        <v>839</v>
      </c>
      <c r="U42" s="3236"/>
      <c r="V42" s="3236">
        <f>ROUND(PRODUCT(V41,AC7:AC40),0)</f>
        <v>783</v>
      </c>
      <c r="W42" s="3236"/>
      <c r="X42" s="759"/>
      <c r="Y42" s="759"/>
      <c r="Z42" s="759"/>
      <c r="AA42" s="759"/>
      <c r="AB42" s="759"/>
      <c r="AC42" s="759"/>
    </row>
    <row r="43" spans="1:29" ht="15" thickBot="1">
      <c r="A43" s="492" t="s">
        <v>2670</v>
      </c>
      <c r="B43" s="493"/>
      <c r="C43" s="494">
        <f>R43</f>
        <v>816</v>
      </c>
      <c r="D43" s="494"/>
      <c r="E43" s="494"/>
      <c r="F43" s="494"/>
      <c r="G43" s="494"/>
      <c r="H43" s="494"/>
      <c r="I43" s="494"/>
      <c r="J43" s="494"/>
      <c r="K43" s="785"/>
      <c r="L43" s="1146"/>
      <c r="M43" s="1134"/>
      <c r="N43" s="1134"/>
      <c r="O43" s="1147"/>
      <c r="P43" s="3206" t="str">
        <f>A43</f>
        <v>估价对象XX用房的比较价值（楼面单价，元/平方米）</v>
      </c>
      <c r="Q43" s="3207"/>
      <c r="R43" s="3237">
        <f>ROUND(AVERAGE(R42:V42),0)</f>
        <v>816</v>
      </c>
      <c r="S43" s="3237"/>
      <c r="T43" s="3237"/>
      <c r="U43" s="3237"/>
      <c r="V43" s="3237"/>
      <c r="W43" s="323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f>IF(E41&lt;E42,E42/E41-1,E41/E42-1)</f>
        <v>1.937046004842613E-2</v>
      </c>
      <c r="F46" s="500" t="str">
        <f>IF(OR(E46&gt;=0.3,E46&lt;=-0.3),"超过30%","")</f>
        <v/>
      </c>
      <c r="G46" s="499">
        <f>IF(G41&lt;G42,G42/G41-1,G41/G42-1)</f>
        <v>9.5351609058402786E-3</v>
      </c>
      <c r="H46" s="500" t="str">
        <f>IF(OR(G46&gt;=0.3,G46&lt;=-0.3),"超过30%","")</f>
        <v/>
      </c>
      <c r="I46" s="499">
        <f>IF(I41&lt;I42,I42/I41-1,I41/I42-1)</f>
        <v>3.4482758620689724E-2</v>
      </c>
      <c r="J46" s="500" t="str">
        <f>IF(OR(I46&gt;=0.3,I46&lt;=-0.3),"超过30%","")</f>
        <v/>
      </c>
      <c r="K46" s="1108"/>
      <c r="L46" s="1109"/>
      <c r="M46" s="1134"/>
      <c r="N46" s="1134"/>
      <c r="O46" s="1147"/>
    </row>
    <row r="47" spans="1:29" ht="13.5" customHeight="1">
      <c r="A47" s="1147"/>
      <c r="B47" s="1147"/>
      <c r="C47" s="497" t="s">
        <v>2672</v>
      </c>
      <c r="D47" s="501"/>
      <c r="E47" s="499">
        <f>IF(E42&lt;G42,G42/E42-1,E42/G42-1)</f>
        <v>1.57384987893463E-2</v>
      </c>
      <c r="F47" s="500" t="str">
        <f>IF(OR(E47&gt;=0.2,E47&lt;=-0.2),"超过20%","")</f>
        <v/>
      </c>
      <c r="G47" s="499">
        <f>IF(G42&lt;I42,I42/G42-1,G42/I42-1)</f>
        <v>7.1519795657726704E-2</v>
      </c>
      <c r="H47" s="500" t="str">
        <f>IF(OR(G47&gt;=0.2,G47&lt;=-0.2),"超过20%","")</f>
        <v/>
      </c>
      <c r="I47" s="499">
        <f>IF(I42&lt;E42,E42/I42-1,I42/E42-1)</f>
        <v>5.4916985951468655E-2</v>
      </c>
      <c r="J47" s="500" t="str">
        <f>IF(OR(I47&gt;=0.2,I47&lt;=-0.2),"超过20%","")</f>
        <v/>
      </c>
      <c r="K47" s="1108"/>
      <c r="L47" s="1109"/>
      <c r="M47" s="1147"/>
      <c r="N47" s="1147"/>
      <c r="O47" s="1147"/>
    </row>
    <row r="48" spans="1:29" s="502" customFormat="1" ht="13.5" customHeight="1">
      <c r="A48" s="1148"/>
      <c r="B48" s="1148"/>
      <c r="C48" s="497" t="s">
        <v>2673</v>
      </c>
      <c r="D48" s="501"/>
      <c r="E48" s="499">
        <f>IF(E41&lt;G41,G41/E41-1,E41/G41-1)</f>
        <v>5.9382422802849444E-3</v>
      </c>
      <c r="F48" s="500" t="str">
        <f>IF(OR(E48&gt;=0.3,E48&lt;=-0.3),"超过30%","")</f>
        <v/>
      </c>
      <c r="G48" s="499">
        <f>IF(G41&lt;I41,I41/G41-1,G41/I41-1)</f>
        <v>4.5679012345678949E-2</v>
      </c>
      <c r="H48" s="500" t="str">
        <f>IF(OR(G48&gt;=0.3,G48&lt;=-0.3),"超过30%","")</f>
        <v/>
      </c>
      <c r="I48" s="499">
        <f>IF(I41&lt;E41,E41/I41-1,I41/E41-1)</f>
        <v>3.9506172839506082E-2</v>
      </c>
      <c r="J48" s="500" t="str">
        <f>IF(OR(I48&gt;=0.3,I48&lt;=-0.3),"超过30%","")</f>
        <v/>
      </c>
      <c r="K48" s="1151"/>
      <c r="L48" s="1152"/>
      <c r="M48" s="1148"/>
      <c r="N48" s="1148"/>
      <c r="O48" s="1148"/>
    </row>
    <row r="49" spans="1:17" s="502" customFormat="1" ht="14.4" thickBot="1">
      <c r="A49" s="1148"/>
      <c r="B49" s="1149"/>
      <c r="C49" s="762"/>
      <c r="D49" s="760"/>
      <c r="E49" s="760"/>
      <c r="F49" s="760"/>
      <c r="G49" s="760"/>
      <c r="H49" s="760"/>
      <c r="I49" s="760"/>
      <c r="J49" s="760"/>
      <c r="K49" s="1151"/>
      <c r="L49" s="1152"/>
      <c r="M49" s="1148"/>
      <c r="N49" s="1148"/>
      <c r="O49" s="1148"/>
    </row>
    <row r="50" spans="1:17" ht="28.8">
      <c r="A50" s="684" t="s">
        <v>2758</v>
      </c>
      <c r="B50" s="685" t="s">
        <v>2759</v>
      </c>
      <c r="C50" s="2709" t="s">
        <v>2760</v>
      </c>
      <c r="D50" s="2710" t="s">
        <v>2761</v>
      </c>
      <c r="E50" s="686" t="s">
        <v>2762</v>
      </c>
      <c r="F50" s="687" t="s">
        <v>2763</v>
      </c>
      <c r="G50" s="3192" t="s">
        <v>2764</v>
      </c>
      <c r="H50" s="3238"/>
      <c r="I50" s="1817" t="s">
        <v>2799</v>
      </c>
      <c r="J50" s="1817" t="str">
        <f>项目基本情况!F35</f>
        <v>河北省</v>
      </c>
      <c r="K50" s="2712" t="s">
        <v>2766</v>
      </c>
      <c r="L50" s="1109"/>
      <c r="M50" s="1147"/>
      <c r="N50" s="1147"/>
      <c r="O50" s="1147"/>
    </row>
    <row r="51" spans="1:17" s="692" customFormat="1">
      <c r="A51" s="688" t="s">
        <v>2767</v>
      </c>
      <c r="B51" s="689">
        <f>C43</f>
        <v>816</v>
      </c>
      <c r="C51" s="690">
        <v>1</v>
      </c>
      <c r="D51" s="1166">
        <v>1</v>
      </c>
      <c r="E51" s="690">
        <f>'数据-汇总表'!E8+'数据-汇总表'!E9</f>
        <v>36762</v>
      </c>
      <c r="F51" s="691">
        <f t="shared" ref="F51:F60" si="15">ROUND(B51*E51/10000,0)</f>
        <v>3000</v>
      </c>
      <c r="G51" s="3191"/>
      <c r="H51" s="3209"/>
      <c r="I51" s="945">
        <v>1</v>
      </c>
      <c r="J51" s="945">
        <v>1</v>
      </c>
      <c r="K51" s="1148"/>
      <c r="L51" s="944"/>
      <c r="M51" s="944"/>
      <c r="N51" s="944"/>
      <c r="O51" s="944"/>
    </row>
    <row r="52" spans="1:17" s="692" customFormat="1">
      <c r="A52" s="693" t="s">
        <v>2768</v>
      </c>
      <c r="B52" s="262">
        <f>ROUND($C$43*C52*D52,0)</f>
        <v>0</v>
      </c>
      <c r="C52" s="200">
        <f t="shared" ref="C52:C60" si="16">IF($C$50="北京市系数",I52,J52)</f>
        <v>0</v>
      </c>
      <c r="D52" s="1167">
        <v>0.25</v>
      </c>
      <c r="E52" s="694"/>
      <c r="F52" s="691">
        <f t="shared" si="15"/>
        <v>0</v>
      </c>
      <c r="G52" s="3239" t="s">
        <v>2769</v>
      </c>
      <c r="H52" s="1107">
        <f>项目基本情况!B37</f>
        <v>0</v>
      </c>
      <c r="I52" s="945">
        <f>SUMIF(修正!A45:A56,H52,修正!B45:B56)</f>
        <v>0</v>
      </c>
      <c r="J52" s="946"/>
      <c r="K52" s="1147"/>
      <c r="L52" s="944"/>
      <c r="M52" s="944"/>
      <c r="N52" s="944"/>
      <c r="O52" s="944"/>
    </row>
    <row r="53" spans="1:17" s="692" customFormat="1">
      <c r="A53" s="693" t="s">
        <v>2770</v>
      </c>
      <c r="B53" s="262">
        <f t="shared" ref="B53:B60" si="17">ROUND($C$43*C53*D53,0)</f>
        <v>0</v>
      </c>
      <c r="C53" s="200">
        <f t="shared" si="16"/>
        <v>0</v>
      </c>
      <c r="D53" s="1167">
        <v>0.25</v>
      </c>
      <c r="E53" s="694"/>
      <c r="F53" s="691">
        <f t="shared" si="15"/>
        <v>0</v>
      </c>
      <c r="G53" s="3239"/>
      <c r="H53" s="1107">
        <f>项目基本情况!B37</f>
        <v>0</v>
      </c>
      <c r="I53" s="945">
        <f>SUMIF(修正!A45:A56,H53,修正!C45:C56)</f>
        <v>0</v>
      </c>
      <c r="J53" s="946"/>
      <c r="K53" s="1148"/>
      <c r="L53" s="944"/>
      <c r="M53" s="944"/>
      <c r="N53" s="944"/>
      <c r="O53" s="944"/>
    </row>
    <row r="54" spans="1:17" s="692" customFormat="1">
      <c r="A54" s="693" t="s">
        <v>2771</v>
      </c>
      <c r="B54" s="262">
        <f t="shared" si="17"/>
        <v>0</v>
      </c>
      <c r="C54" s="200">
        <f t="shared" si="16"/>
        <v>0</v>
      </c>
      <c r="D54" s="1167">
        <v>0.25</v>
      </c>
      <c r="E54" s="694"/>
      <c r="F54" s="691">
        <f t="shared" si="15"/>
        <v>0</v>
      </c>
      <c r="G54" s="3239"/>
      <c r="H54" s="1107">
        <f>项目基本情况!B37</f>
        <v>0</v>
      </c>
      <c r="I54" s="945">
        <f>SUMIF(修正!A45:A56,H54,修正!D45:D56)</f>
        <v>0</v>
      </c>
      <c r="J54" s="946"/>
      <c r="K54" s="1147"/>
      <c r="L54" s="944"/>
      <c r="M54" s="944"/>
      <c r="N54" s="944"/>
      <c r="O54" s="944"/>
    </row>
    <row r="55" spans="1:17" s="692" customFormat="1">
      <c r="A55" s="693" t="s">
        <v>2772</v>
      </c>
      <c r="B55" s="262">
        <f t="shared" si="17"/>
        <v>0</v>
      </c>
      <c r="C55" s="200">
        <f t="shared" si="16"/>
        <v>0</v>
      </c>
      <c r="D55" s="1167">
        <v>0.25</v>
      </c>
      <c r="E55" s="694"/>
      <c r="F55" s="691">
        <f t="shared" si="15"/>
        <v>0</v>
      </c>
      <c r="G55" s="3239"/>
      <c r="H55" s="1107">
        <f>项目基本情况!B37</f>
        <v>0</v>
      </c>
      <c r="I55" s="945">
        <f>SUMIF(修正!A45:A56,H55,修正!E45:E56)</f>
        <v>0</v>
      </c>
      <c r="J55" s="946"/>
      <c r="K55" s="1148"/>
      <c r="L55" s="944"/>
      <c r="M55" s="944"/>
      <c r="N55" s="944"/>
      <c r="O55" s="944"/>
    </row>
    <row r="56" spans="1:17" s="692" customFormat="1">
      <c r="A56" s="693" t="s">
        <v>2773</v>
      </c>
      <c r="B56" s="262">
        <f t="shared" si="17"/>
        <v>0</v>
      </c>
      <c r="C56" s="200">
        <f t="shared" si="16"/>
        <v>0</v>
      </c>
      <c r="D56" s="1167">
        <v>0.25</v>
      </c>
      <c r="E56" s="261">
        <f>'数据-汇总表'!E11</f>
        <v>0</v>
      </c>
      <c r="F56" s="691">
        <f t="shared" si="15"/>
        <v>0</v>
      </c>
      <c r="G56" s="2713" t="s">
        <v>2774</v>
      </c>
      <c r="H56" s="1107">
        <f>项目基本情况!C37</f>
        <v>0</v>
      </c>
      <c r="I56" s="945">
        <f>SUMIF(修正!A45:A56,H56,修正!F45:F56)</f>
        <v>0</v>
      </c>
      <c r="J56" s="946"/>
      <c r="K56" s="1147"/>
      <c r="L56" s="944"/>
      <c r="M56" s="944"/>
      <c r="N56" s="944"/>
      <c r="O56" s="944"/>
    </row>
    <row r="57" spans="1:17" s="692" customFormat="1">
      <c r="A57" s="693" t="s">
        <v>2775</v>
      </c>
      <c r="B57" s="262">
        <f t="shared" si="17"/>
        <v>0</v>
      </c>
      <c r="C57" s="200">
        <f t="shared" si="16"/>
        <v>0</v>
      </c>
      <c r="D57" s="1167">
        <v>0.25</v>
      </c>
      <c r="E57" s="261">
        <f>'数据-汇总表'!E12</f>
        <v>0</v>
      </c>
      <c r="F57" s="691">
        <f t="shared" si="15"/>
        <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f t="shared" si="17"/>
        <v>0</v>
      </c>
      <c r="C58" s="200">
        <f t="shared" si="16"/>
        <v>0</v>
      </c>
      <c r="D58" s="1167">
        <v>0.25</v>
      </c>
      <c r="E58" s="261">
        <f>'数据-汇总表'!E13</f>
        <v>0</v>
      </c>
      <c r="F58" s="691">
        <f t="shared" si="15"/>
        <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f t="shared" si="17"/>
        <v>0</v>
      </c>
      <c r="C59" s="200">
        <f t="shared" si="16"/>
        <v>0</v>
      </c>
      <c r="D59" s="1167">
        <v>0.25</v>
      </c>
      <c r="E59" s="261">
        <f>'数据-汇总表'!E14</f>
        <v>0</v>
      </c>
      <c r="F59" s="691">
        <f t="shared" si="15"/>
        <v>0</v>
      </c>
      <c r="G59" s="2713" t="s">
        <v>2769</v>
      </c>
      <c r="H59" s="1107">
        <f>项目基本情况!B37</f>
        <v>0</v>
      </c>
      <c r="I59" s="945">
        <f>SUMIF(修正!A45:A56,H59,修正!H45:H56)</f>
        <v>0</v>
      </c>
      <c r="J59" s="946"/>
      <c r="K59" s="1148"/>
      <c r="L59" s="944"/>
      <c r="M59" s="944"/>
      <c r="N59" s="944"/>
      <c r="O59" s="944"/>
    </row>
    <row r="60" spans="1:17" s="692" customFormat="1" ht="14.4" thickBot="1">
      <c r="A60" s="693" t="s">
        <v>2780</v>
      </c>
      <c r="B60" s="262">
        <f t="shared" si="17"/>
        <v>0</v>
      </c>
      <c r="C60" s="200">
        <f t="shared" si="16"/>
        <v>0</v>
      </c>
      <c r="D60" s="1167">
        <v>0.25</v>
      </c>
      <c r="E60" s="261">
        <f>'数据-汇总表'!E15</f>
        <v>0</v>
      </c>
      <c r="F60" s="691">
        <f t="shared" si="15"/>
        <v>0</v>
      </c>
      <c r="G60" s="2714" t="s">
        <v>2774</v>
      </c>
      <c r="H60" s="1117">
        <f>项目基本情况!C37</f>
        <v>0</v>
      </c>
      <c r="I60" s="945">
        <f>SUMIF(修正!A45:A56,H60,修正!H45:H56)</f>
        <v>0</v>
      </c>
      <c r="J60" s="946"/>
      <c r="K60" s="1147"/>
      <c r="L60" s="944"/>
      <c r="M60" s="944"/>
      <c r="N60" s="944"/>
      <c r="O60" s="944"/>
    </row>
    <row r="61" spans="1:17" s="692" customFormat="1" ht="14.4" thickBot="1">
      <c r="A61" s="695" t="s">
        <v>2781</v>
      </c>
      <c r="B61" s="696" t="s">
        <v>28</v>
      </c>
      <c r="C61" s="696" t="s">
        <v>29</v>
      </c>
      <c r="D61" s="696" t="s">
        <v>1029</v>
      </c>
      <c r="E61" s="696">
        <f>IF(B41="楼面地价",SUM(E51:E60),'数据-汇总表'!D3)</f>
        <v>26594.63</v>
      </c>
      <c r="F61" s="697">
        <f>IF(B41="楼面地价",SUM(F51:F60),ROUND(C43*E61/10000,0))</f>
        <v>2170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2.2" thickBot="1">
      <c r="A64" s="763" t="s">
        <v>2674</v>
      </c>
      <c r="B64" s="759"/>
      <c r="C64" s="764"/>
      <c r="D64" s="764"/>
      <c r="E64" s="764"/>
      <c r="F64" s="765"/>
      <c r="G64" s="765"/>
      <c r="H64" s="764"/>
      <c r="I64" s="764"/>
      <c r="J64" s="764"/>
      <c r="K64" s="766"/>
      <c r="L64" s="767"/>
      <c r="M64" s="764"/>
      <c r="N64" s="764"/>
      <c r="O64" s="1162"/>
      <c r="P64" s="503"/>
      <c r="Q64" s="504"/>
    </row>
    <row r="65" spans="1:17" s="508" customFormat="1" ht="14.4">
      <c r="A65" s="2715" t="s">
        <v>2782</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20" t="s">
        <v>2800</v>
      </c>
      <c r="B66" s="332" t="str">
        <f>"北京市平均增长率"&amp;TEXT(基准地价修正!P24,"0.00%")</f>
        <v>北京市平均增长率1.41%</v>
      </c>
      <c r="C66" s="603">
        <v>100</v>
      </c>
      <c r="D66" s="595">
        <v>99</v>
      </c>
      <c r="E66" s="595">
        <v>98</v>
      </c>
      <c r="F66" s="595"/>
      <c r="G66" s="595"/>
      <c r="H66" s="595"/>
      <c r="I66" s="595"/>
      <c r="J66" s="595"/>
      <c r="K66" s="595"/>
      <c r="L66" s="595"/>
      <c r="M66" s="1570"/>
      <c r="N66" s="1570"/>
      <c r="O66" s="1572"/>
      <c r="P66" s="504"/>
    </row>
    <row r="67" spans="1:17" s="117" customFormat="1" ht="15" thickBot="1">
      <c r="A67" s="515" t="s">
        <v>2585</v>
      </c>
      <c r="B67" s="516"/>
      <c r="C67" s="517"/>
      <c r="D67" s="518"/>
      <c r="E67" s="518"/>
      <c r="F67" s="518"/>
      <c r="G67" s="518"/>
      <c r="H67" s="518"/>
      <c r="I67" s="518"/>
      <c r="J67" s="518"/>
      <c r="K67" s="518"/>
      <c r="L67" s="518"/>
      <c r="M67" s="519"/>
      <c r="N67" s="519"/>
      <c r="O67" s="520"/>
      <c r="P67" s="504"/>
      <c r="Q67" s="504"/>
    </row>
    <row r="68" spans="1:17" s="117" customFormat="1" ht="14.4">
      <c r="A68" s="521" t="s">
        <v>2550</v>
      </c>
      <c r="B68" s="510"/>
      <c r="C68" s="522" t="s">
        <v>2652</v>
      </c>
      <c r="D68" s="523"/>
      <c r="E68" s="523"/>
      <c r="F68" s="523"/>
      <c r="G68" s="523"/>
      <c r="H68" s="523"/>
      <c r="I68" s="523"/>
      <c r="J68" s="523"/>
      <c r="K68" s="523"/>
      <c r="L68" s="524"/>
      <c r="M68" s="525"/>
      <c r="N68" s="1154"/>
      <c r="O68" s="1154"/>
      <c r="P68" s="526"/>
      <c r="Q68" s="504"/>
    </row>
    <row r="69" spans="1:17" s="117" customFormat="1" ht="14.4" thickBot="1">
      <c r="A69" s="521"/>
      <c r="B69" s="510"/>
      <c r="C69" s="639">
        <v>100</v>
      </c>
      <c r="D69" s="512"/>
      <c r="E69" s="512"/>
      <c r="F69" s="512"/>
      <c r="G69" s="512"/>
      <c r="H69" s="512"/>
      <c r="I69" s="512"/>
      <c r="J69" s="512"/>
      <c r="K69" s="512"/>
      <c r="L69" s="512"/>
      <c r="M69" s="514"/>
      <c r="N69" s="1154"/>
      <c r="O69" s="1154"/>
      <c r="P69" s="504"/>
      <c r="Q69" s="504"/>
    </row>
    <row r="70" spans="1:17" ht="14.4">
      <c r="A70" s="527" t="s">
        <v>2588</v>
      </c>
      <c r="B70" s="528" t="s">
        <v>2554</v>
      </c>
      <c r="C70" s="2952" t="s">
        <v>3197</v>
      </c>
      <c r="D70" s="530"/>
      <c r="E70" s="530"/>
      <c r="F70" s="530"/>
      <c r="G70" s="530"/>
      <c r="H70" s="530"/>
      <c r="I70" s="530"/>
      <c r="J70" s="530"/>
      <c r="K70" s="531"/>
      <c r="L70" s="532"/>
      <c r="M70" s="533"/>
      <c r="N70" s="1155"/>
      <c r="O70" s="1155"/>
      <c r="P70" s="45"/>
      <c r="Q70" s="504"/>
    </row>
    <row r="71" spans="1:17" ht="14.4" thickBot="1">
      <c r="A71" s="534"/>
      <c r="B71" s="535"/>
      <c r="C71" s="536">
        <v>100</v>
      </c>
      <c r="D71" s="536"/>
      <c r="E71" s="536"/>
      <c r="F71" s="536"/>
      <c r="G71" s="536"/>
      <c r="H71" s="536"/>
      <c r="I71" s="536"/>
      <c r="J71" s="536"/>
      <c r="K71" s="536"/>
      <c r="L71" s="536"/>
      <c r="M71" s="537"/>
      <c r="N71" s="1156"/>
      <c r="O71" s="1156"/>
      <c r="P71" s="45"/>
      <c r="Q71" s="504"/>
    </row>
    <row r="72" spans="1:17" ht="29.4" thickTop="1">
      <c r="A72" s="534"/>
      <c r="B72" s="538" t="s">
        <v>2557</v>
      </c>
      <c r="C72" s="539"/>
      <c r="D72" s="539"/>
      <c r="E72" s="539"/>
      <c r="F72" s="539"/>
      <c r="G72" s="539"/>
      <c r="H72" s="539"/>
      <c r="I72" s="539"/>
      <c r="J72" s="539"/>
      <c r="K72" s="540"/>
      <c r="L72" s="541"/>
      <c r="M72" s="542"/>
      <c r="N72" s="1155"/>
      <c r="O72" s="1155"/>
      <c r="P72" s="45"/>
      <c r="Q72" s="504"/>
    </row>
    <row r="73" spans="1:17" ht="14.4" thickBot="1">
      <c r="A73" s="534"/>
      <c r="B73" s="543"/>
      <c r="C73" s="544"/>
      <c r="D73" s="544"/>
      <c r="E73" s="544"/>
      <c r="F73" s="544"/>
      <c r="G73" s="544"/>
      <c r="H73" s="544"/>
      <c r="I73" s="544"/>
      <c r="J73" s="544"/>
      <c r="K73" s="544"/>
      <c r="L73" s="544"/>
      <c r="M73" s="545"/>
      <c r="N73" s="1156"/>
      <c r="O73" s="1156"/>
      <c r="P73" s="45"/>
      <c r="Q73" s="504"/>
    </row>
    <row r="74" spans="1:17" ht="15" thickTop="1">
      <c r="A74" s="534"/>
      <c r="B74" s="546" t="s">
        <v>2558</v>
      </c>
      <c r="C74" s="547" t="str">
        <f>C75&amp;"（含）"&amp;"-"&amp;D75</f>
        <v>0（含）-1</v>
      </c>
      <c r="D74" s="547" t="str">
        <f t="shared" ref="D74:L74" si="20">D75&amp;"（含）"&amp;"-"&amp;E75</f>
        <v>1（含）-2</v>
      </c>
      <c r="E74" s="547" t="str">
        <f t="shared" si="20"/>
        <v>2（含）-3</v>
      </c>
      <c r="F74" s="547" t="str">
        <f t="shared" si="20"/>
        <v>3（含）-4</v>
      </c>
      <c r="G74" s="547" t="str">
        <f t="shared" si="20"/>
        <v>4（含）-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c r="A75" s="534"/>
      <c r="B75" s="548"/>
      <c r="C75" s="549">
        <v>0</v>
      </c>
      <c r="D75" s="549">
        <v>1</v>
      </c>
      <c r="E75" s="549">
        <v>2</v>
      </c>
      <c r="F75" s="549">
        <v>3</v>
      </c>
      <c r="G75" s="549">
        <v>4</v>
      </c>
      <c r="H75" s="549"/>
      <c r="I75" s="549"/>
      <c r="J75" s="549"/>
      <c r="K75" s="550"/>
      <c r="L75" s="551"/>
      <c r="M75" s="552"/>
      <c r="N75" s="1155"/>
      <c r="O75" s="1155"/>
      <c r="P75" s="45"/>
      <c r="Q75" s="504"/>
    </row>
    <row r="76" spans="1:17" ht="14.4" thickBot="1">
      <c r="A76" s="534"/>
      <c r="B76" s="535"/>
      <c r="C76" s="544">
        <v>100</v>
      </c>
      <c r="D76" s="544">
        <f>IF($B$41="单位面积地价",C76+$K11,C76-$K11)</f>
        <v>101</v>
      </c>
      <c r="E76" s="544">
        <f t="shared" ref="E76:M76" si="21">IF($B$41="单位面积地价",D76+$K11,D76-$K11)</f>
        <v>102</v>
      </c>
      <c r="F76" s="544">
        <f t="shared" si="21"/>
        <v>103</v>
      </c>
      <c r="G76" s="544">
        <f t="shared" si="21"/>
        <v>104</v>
      </c>
      <c r="H76" s="544">
        <f t="shared" si="21"/>
        <v>105</v>
      </c>
      <c r="I76" s="544">
        <f t="shared" si="21"/>
        <v>106</v>
      </c>
      <c r="J76" s="544">
        <f t="shared" si="21"/>
        <v>107</v>
      </c>
      <c r="K76" s="544">
        <f t="shared" si="21"/>
        <v>108</v>
      </c>
      <c r="L76" s="544">
        <f t="shared" si="21"/>
        <v>109</v>
      </c>
      <c r="M76" s="544">
        <f t="shared" si="21"/>
        <v>110</v>
      </c>
      <c r="N76" s="1156"/>
      <c r="O76" s="1156"/>
      <c r="P76" s="45"/>
      <c r="Q76" s="504"/>
    </row>
    <row r="77" spans="1:17" s="471" customFormat="1" ht="14.4" thickTop="1">
      <c r="A77" s="553"/>
      <c r="B77" s="538">
        <f>B12</f>
        <v>111</v>
      </c>
      <c r="C77" s="554"/>
      <c r="D77" s="554"/>
      <c r="E77" s="554"/>
      <c r="F77" s="554"/>
      <c r="G77" s="554"/>
      <c r="H77" s="555"/>
      <c r="I77" s="555"/>
      <c r="J77" s="555"/>
      <c r="K77" s="555"/>
      <c r="L77" s="556"/>
      <c r="M77" s="557"/>
      <c r="N77" s="1157"/>
      <c r="O77" s="1157"/>
      <c r="P77" s="558"/>
      <c r="Q77" s="559"/>
    </row>
    <row r="78" spans="1:17" s="471" customFormat="1" ht="14.4" thickBot="1">
      <c r="A78" s="553"/>
      <c r="B78" s="543"/>
      <c r="C78" s="560"/>
      <c r="D78" s="536"/>
      <c r="E78" s="536"/>
      <c r="F78" s="536"/>
      <c r="G78" s="536"/>
      <c r="H78" s="536"/>
      <c r="I78" s="536"/>
      <c r="J78" s="536"/>
      <c r="K78" s="536"/>
      <c r="L78" s="536"/>
      <c r="M78" s="537"/>
      <c r="N78" s="1156"/>
      <c r="O78" s="1156"/>
      <c r="P78" s="558"/>
      <c r="Q78" s="559"/>
    </row>
    <row r="79" spans="1:17" s="471" customFormat="1" ht="14.4" thickTop="1">
      <c r="A79" s="553"/>
      <c r="B79" s="538">
        <f>B13</f>
        <v>111</v>
      </c>
      <c r="C79" s="554"/>
      <c r="D79" s="554"/>
      <c r="E79" s="554"/>
      <c r="F79" s="554"/>
      <c r="G79" s="554"/>
      <c r="H79" s="555"/>
      <c r="I79" s="555"/>
      <c r="J79" s="555"/>
      <c r="K79" s="555"/>
      <c r="L79" s="556"/>
      <c r="M79" s="557"/>
      <c r="N79" s="1157"/>
      <c r="O79" s="1157"/>
      <c r="P79" s="470"/>
      <c r="Q79" s="561"/>
    </row>
    <row r="80" spans="1:17" s="471" customFormat="1" ht="14.4" thickBot="1">
      <c r="A80" s="553"/>
      <c r="B80" s="543"/>
      <c r="C80" s="560"/>
      <c r="D80" s="560"/>
      <c r="E80" s="560"/>
      <c r="F80" s="560"/>
      <c r="G80" s="560"/>
      <c r="H80" s="562"/>
      <c r="I80" s="562"/>
      <c r="J80" s="562"/>
      <c r="K80" s="562"/>
      <c r="L80" s="562"/>
      <c r="M80" s="563"/>
      <c r="N80" s="1157"/>
      <c r="O80" s="1157"/>
      <c r="P80" s="558"/>
      <c r="Q80" s="559"/>
    </row>
    <row r="81" spans="1:17" s="471" customFormat="1" ht="14.4" thickTop="1">
      <c r="A81" s="553"/>
      <c r="B81" s="546">
        <f>B14</f>
        <v>111</v>
      </c>
      <c r="C81" s="523"/>
      <c r="D81" s="523"/>
      <c r="E81" s="523"/>
      <c r="F81" s="523"/>
      <c r="G81" s="523"/>
      <c r="H81" s="564"/>
      <c r="I81" s="564"/>
      <c r="J81" s="564"/>
      <c r="K81" s="564"/>
      <c r="L81" s="565"/>
      <c r="M81" s="566"/>
      <c r="N81" s="1157"/>
      <c r="O81" s="1157"/>
      <c r="P81" s="567"/>
      <c r="Q81" s="559"/>
    </row>
    <row r="82" spans="1:17" s="471" customFormat="1" ht="14.4" thickBot="1">
      <c r="A82" s="568"/>
      <c r="B82" s="569"/>
      <c r="C82" s="570"/>
      <c r="D82" s="570"/>
      <c r="E82" s="570"/>
      <c r="F82" s="570"/>
      <c r="G82" s="570"/>
      <c r="H82" s="571"/>
      <c r="I82" s="571"/>
      <c r="J82" s="571"/>
      <c r="K82" s="571"/>
      <c r="L82" s="571"/>
      <c r="M82" s="572"/>
      <c r="N82" s="1157"/>
      <c r="O82" s="1157"/>
      <c r="P82" s="558"/>
      <c r="Q82" s="559"/>
    </row>
    <row r="83" spans="1:17" ht="14.4">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4.4" thickBot="1">
      <c r="A84" s="534"/>
      <c r="B84" s="543"/>
      <c r="C84" s="544">
        <v>100</v>
      </c>
      <c r="D84" s="544">
        <f>C84-$K15</f>
        <v>98</v>
      </c>
      <c r="E84" s="544">
        <f>D84-$K15</f>
        <v>96</v>
      </c>
      <c r="F84" s="544">
        <f>E84-$K15</f>
        <v>94</v>
      </c>
      <c r="G84" s="544">
        <f>F84-$K15</f>
        <v>92</v>
      </c>
      <c r="H84" s="544"/>
      <c r="I84" s="544"/>
      <c r="J84" s="544"/>
      <c r="K84" s="544"/>
      <c r="L84" s="544"/>
      <c r="M84" s="545"/>
      <c r="N84" s="1156"/>
      <c r="O84" s="1156"/>
      <c r="P84" s="45"/>
      <c r="Q84" s="504"/>
    </row>
    <row r="85" spans="1:17" ht="1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4.4" thickBot="1">
      <c r="A86" s="534"/>
      <c r="B86" s="543"/>
      <c r="C86" s="544">
        <v>100</v>
      </c>
      <c r="D86" s="544">
        <f>C86-$K17</f>
        <v>98</v>
      </c>
      <c r="E86" s="544">
        <f>D86-$K17</f>
        <v>96</v>
      </c>
      <c r="F86" s="544">
        <f>E86-$K17</f>
        <v>94</v>
      </c>
      <c r="G86" s="544">
        <f>F86-$K17</f>
        <v>92</v>
      </c>
      <c r="H86" s="544"/>
      <c r="I86" s="544"/>
      <c r="J86" s="544"/>
      <c r="K86" s="544"/>
      <c r="L86" s="544"/>
      <c r="M86" s="545"/>
      <c r="N86" s="1156"/>
      <c r="O86" s="1156"/>
      <c r="P86" s="45"/>
      <c r="Q86" s="504"/>
    </row>
    <row r="87" spans="1:17" s="117" customFormat="1" ht="29.4" thickTop="1">
      <c r="A87" s="579"/>
      <c r="B87" s="538" t="s">
        <v>2785</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4.4" thickBot="1">
      <c r="A88" s="579"/>
      <c r="B88" s="543"/>
      <c r="C88" s="582">
        <v>100</v>
      </c>
      <c r="D88" s="544">
        <f>C88-$K19</f>
        <v>99</v>
      </c>
      <c r="E88" s="544">
        <f>D88-$K19</f>
        <v>98</v>
      </c>
      <c r="F88" s="544">
        <f>E88-$K19</f>
        <v>97</v>
      </c>
      <c r="G88" s="544">
        <f>F88-$K19</f>
        <v>96</v>
      </c>
      <c r="H88" s="544"/>
      <c r="I88" s="544"/>
      <c r="J88" s="544"/>
      <c r="K88" s="544"/>
      <c r="L88" s="544"/>
      <c r="M88" s="545"/>
      <c r="N88" s="1156"/>
      <c r="O88" s="1156"/>
      <c r="P88" s="45"/>
      <c r="Q88" s="504"/>
    </row>
    <row r="89" spans="1:17" s="117" customFormat="1" ht="29.4" thickTop="1">
      <c r="A89" s="579"/>
      <c r="B89" s="538" t="s">
        <v>2786</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4.4" thickBot="1">
      <c r="A90" s="579"/>
      <c r="B90" s="543"/>
      <c r="C90" s="544">
        <v>100</v>
      </c>
      <c r="D90" s="544">
        <f>C90-$K21</f>
        <v>99</v>
      </c>
      <c r="E90" s="544">
        <f>D90-$K21</f>
        <v>98</v>
      </c>
      <c r="F90" s="544">
        <f>E90-$K21</f>
        <v>97</v>
      </c>
      <c r="G90" s="544">
        <f>F90-$K21</f>
        <v>96</v>
      </c>
      <c r="H90" s="544"/>
      <c r="I90" s="544"/>
      <c r="J90" s="544"/>
      <c r="K90" s="544"/>
      <c r="L90" s="544"/>
      <c r="M90" s="545"/>
      <c r="N90" s="1156"/>
      <c r="O90" s="1156"/>
      <c r="P90" s="45"/>
      <c r="Q90" s="504"/>
    </row>
    <row r="91" spans="1:17" s="471" customFormat="1" ht="1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4.4" thickBot="1">
      <c r="A92" s="553"/>
      <c r="B92" s="543"/>
      <c r="C92" s="544">
        <v>100</v>
      </c>
      <c r="D92" s="544">
        <f>C92-$K23</f>
        <v>99</v>
      </c>
      <c r="E92" s="544">
        <f>D92-$K23</f>
        <v>98</v>
      </c>
      <c r="F92" s="544">
        <f>E92-$K23</f>
        <v>97</v>
      </c>
      <c r="G92" s="544">
        <f>F92-$K23</f>
        <v>96</v>
      </c>
      <c r="H92" s="607"/>
      <c r="I92" s="607"/>
      <c r="J92" s="607"/>
      <c r="K92" s="607"/>
      <c r="L92" s="607"/>
      <c r="M92" s="608"/>
      <c r="N92" s="1157"/>
      <c r="O92" s="1157"/>
      <c r="P92" s="558"/>
      <c r="Q92" s="559"/>
    </row>
    <row r="93" spans="1:17" s="471" customFormat="1" ht="15" thickTop="1">
      <c r="A93" s="553"/>
      <c r="B93" s="546" t="s">
        <v>2801</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4.4" thickBot="1">
      <c r="A94" s="553"/>
      <c r="B94" s="546"/>
      <c r="C94" s="544">
        <v>100</v>
      </c>
      <c r="D94" s="544">
        <f>C94-$K25</f>
        <v>99</v>
      </c>
      <c r="E94" s="544">
        <f>D94-$K25</f>
        <v>98</v>
      </c>
      <c r="F94" s="544">
        <f>E94-$K25</f>
        <v>97</v>
      </c>
      <c r="G94" s="544">
        <f>F94-$K25</f>
        <v>96</v>
      </c>
      <c r="H94" s="548"/>
      <c r="I94" s="548"/>
      <c r="J94" s="548"/>
      <c r="K94" s="548"/>
      <c r="L94" s="548"/>
      <c r="M94" s="1388"/>
      <c r="N94" s="1157"/>
      <c r="O94" s="1157"/>
      <c r="P94" s="558"/>
      <c r="Q94" s="559"/>
    </row>
    <row r="95" spans="1:17" ht="1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4.4" thickBot="1">
      <c r="A96" s="534"/>
      <c r="B96" s="543"/>
      <c r="C96" s="544">
        <v>100</v>
      </c>
      <c r="D96" s="544">
        <f t="shared" ref="D96:M96" si="22">C96-$K27</f>
        <v>99</v>
      </c>
      <c r="E96" s="544">
        <f t="shared" si="22"/>
        <v>98</v>
      </c>
      <c r="F96" s="544">
        <f t="shared" si="22"/>
        <v>97</v>
      </c>
      <c r="G96" s="544">
        <f t="shared" si="22"/>
        <v>96</v>
      </c>
      <c r="H96" s="544">
        <f t="shared" si="22"/>
        <v>95</v>
      </c>
      <c r="I96" s="544">
        <f t="shared" si="22"/>
        <v>94</v>
      </c>
      <c r="J96" s="544">
        <f t="shared" si="22"/>
        <v>93</v>
      </c>
      <c r="K96" s="544">
        <f t="shared" si="22"/>
        <v>92</v>
      </c>
      <c r="L96" s="544">
        <f t="shared" si="22"/>
        <v>91</v>
      </c>
      <c r="M96" s="544">
        <f t="shared" si="22"/>
        <v>90</v>
      </c>
      <c r="N96" s="1156"/>
      <c r="O96" s="1156"/>
      <c r="P96" s="45"/>
      <c r="Q96" s="504"/>
    </row>
    <row r="97" spans="1:17" ht="29.4" thickTop="1">
      <c r="A97" s="534"/>
      <c r="B97" s="538" t="s">
        <v>2691</v>
      </c>
      <c r="C97" s="2954" t="s">
        <v>3204</v>
      </c>
      <c r="D97" s="2954" t="s">
        <v>3205</v>
      </c>
      <c r="E97" s="2954" t="s">
        <v>3206</v>
      </c>
      <c r="F97" s="2954" t="s">
        <v>3208</v>
      </c>
      <c r="G97" s="2954" t="s">
        <v>3209</v>
      </c>
      <c r="H97" s="583"/>
      <c r="I97" s="583"/>
      <c r="J97" s="583"/>
      <c r="K97" s="584"/>
      <c r="L97" s="585"/>
      <c r="M97" s="586"/>
      <c r="N97" s="1155"/>
      <c r="O97" s="1155"/>
      <c r="P97" s="45"/>
      <c r="Q97" s="504"/>
    </row>
    <row r="98" spans="1:17" ht="14.4" thickBot="1">
      <c r="A98" s="534"/>
      <c r="B98" s="543"/>
      <c r="C98" s="544">
        <v>100</v>
      </c>
      <c r="D98" s="544">
        <f t="shared" ref="D98:M98" si="23">C98-$K28</f>
        <v>99</v>
      </c>
      <c r="E98" s="544">
        <f t="shared" si="23"/>
        <v>98</v>
      </c>
      <c r="F98" s="544">
        <f t="shared" si="23"/>
        <v>97</v>
      </c>
      <c r="G98" s="544">
        <f t="shared" si="23"/>
        <v>96</v>
      </c>
      <c r="H98" s="544">
        <f t="shared" si="23"/>
        <v>95</v>
      </c>
      <c r="I98" s="544">
        <f t="shared" si="23"/>
        <v>94</v>
      </c>
      <c r="J98" s="544">
        <f t="shared" si="23"/>
        <v>93</v>
      </c>
      <c r="K98" s="544">
        <f t="shared" si="23"/>
        <v>92</v>
      </c>
      <c r="L98" s="544">
        <f t="shared" si="23"/>
        <v>91</v>
      </c>
      <c r="M98" s="544">
        <f t="shared" si="23"/>
        <v>90</v>
      </c>
      <c r="N98" s="1156"/>
      <c r="O98" s="1156"/>
      <c r="P98" s="45"/>
      <c r="Q98" s="504"/>
    </row>
    <row r="99" spans="1:17" ht="15" thickTop="1">
      <c r="A99" s="534"/>
      <c r="B99" s="538" t="s">
        <v>2750</v>
      </c>
      <c r="C99" s="583"/>
      <c r="D99" s="583"/>
      <c r="E99" s="583"/>
      <c r="F99" s="583"/>
      <c r="G99" s="583"/>
      <c r="H99" s="583"/>
      <c r="I99" s="583"/>
      <c r="J99" s="583"/>
      <c r="K99" s="584"/>
      <c r="L99" s="585"/>
      <c r="M99" s="586"/>
      <c r="N99" s="1155"/>
      <c r="O99" s="1155"/>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4.4" thickTop="1">
      <c r="A101" s="534"/>
      <c r="B101" s="546">
        <f>B31</f>
        <v>111</v>
      </c>
      <c r="C101" s="554"/>
      <c r="D101" s="554"/>
      <c r="E101" s="554"/>
      <c r="F101" s="554"/>
      <c r="G101" s="587"/>
      <c r="H101" s="587"/>
      <c r="I101" s="587"/>
      <c r="J101" s="587"/>
      <c r="K101" s="588"/>
      <c r="L101" s="589"/>
      <c r="M101" s="590"/>
      <c r="N101" s="1155"/>
      <c r="O101" s="1155"/>
      <c r="P101" s="45"/>
      <c r="Q101" s="504"/>
    </row>
    <row r="102" spans="1:17" ht="14.4" thickBot="1">
      <c r="A102" s="534"/>
      <c r="B102" s="569"/>
      <c r="C102" s="560"/>
      <c r="D102" s="536"/>
      <c r="E102" s="536"/>
      <c r="F102" s="536"/>
      <c r="G102" s="591"/>
      <c r="H102" s="591"/>
      <c r="I102" s="591"/>
      <c r="J102" s="591"/>
      <c r="K102" s="591"/>
      <c r="L102" s="591"/>
      <c r="M102" s="592"/>
      <c r="N102" s="1156"/>
      <c r="O102" s="1156"/>
      <c r="P102" s="45"/>
      <c r="Q102" s="504"/>
    </row>
    <row r="103" spans="1:17" ht="14.4" thickTop="1">
      <c r="A103" s="675"/>
      <c r="B103" s="538">
        <f>B32</f>
        <v>111</v>
      </c>
      <c r="C103" s="554"/>
      <c r="D103" s="554"/>
      <c r="E103" s="554"/>
      <c r="F103" s="554"/>
      <c r="G103" s="583"/>
      <c r="H103" s="583"/>
      <c r="I103" s="583"/>
      <c r="J103" s="583"/>
      <c r="K103" s="584"/>
      <c r="L103" s="585"/>
      <c r="M103" s="586"/>
      <c r="N103" s="1155"/>
      <c r="O103" s="1155"/>
      <c r="P103" s="45"/>
      <c r="Q103" s="504"/>
    </row>
    <row r="104" spans="1:17" ht="14.4" thickBot="1">
      <c r="A104" s="534"/>
      <c r="B104" s="543"/>
      <c r="C104" s="560"/>
      <c r="D104" s="560"/>
      <c r="E104" s="560"/>
      <c r="F104" s="560"/>
      <c r="G104" s="536"/>
      <c r="H104" s="536"/>
      <c r="I104" s="536"/>
      <c r="J104" s="536"/>
      <c r="K104" s="536"/>
      <c r="L104" s="536"/>
      <c r="M104" s="537"/>
      <c r="N104" s="1156"/>
      <c r="O104" s="1156"/>
      <c r="P104" s="45"/>
      <c r="Q104" s="504"/>
    </row>
    <row r="105" spans="1:17" s="471" customFormat="1" ht="14.4"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4.4" thickBot="1">
      <c r="A106" s="553"/>
      <c r="B106" s="546"/>
      <c r="C106" s="570"/>
      <c r="D106" s="570"/>
      <c r="E106" s="570"/>
      <c r="F106" s="570"/>
      <c r="G106" s="677"/>
      <c r="H106" s="677"/>
      <c r="I106" s="677"/>
      <c r="J106" s="677"/>
      <c r="K106" s="677"/>
      <c r="L106" s="677"/>
      <c r="M106" s="699"/>
      <c r="N106" s="1156"/>
      <c r="O106" s="1156"/>
      <c r="P106" s="558"/>
      <c r="Q106" s="559"/>
    </row>
    <row r="107" spans="1:17" ht="27.6">
      <c r="A107" s="527" t="s">
        <v>2563</v>
      </c>
      <c r="B107" s="528" t="s">
        <v>2791</v>
      </c>
      <c r="C107" s="529" t="str">
        <f t="shared" ref="C107:L107" si="25">C108&amp;"(含)"&amp;"-"&amp;D108</f>
        <v>0(含)-10000</v>
      </c>
      <c r="D107" s="529" t="str">
        <f t="shared" si="25"/>
        <v>10000(含)-20000</v>
      </c>
      <c r="E107" s="529" t="str">
        <f t="shared" si="25"/>
        <v>20000(含)-30000</v>
      </c>
      <c r="F107" s="529" t="str">
        <f t="shared" si="25"/>
        <v>30000(含)-40000</v>
      </c>
      <c r="G107" s="529" t="str">
        <f t="shared" si="25"/>
        <v>40000(含)-50000</v>
      </c>
      <c r="H107" s="529" t="str">
        <f t="shared" si="25"/>
        <v>50000(含)-60000</v>
      </c>
      <c r="I107" s="529" t="str">
        <f t="shared" si="25"/>
        <v>60000(含)-</v>
      </c>
      <c r="J107" s="529" t="str">
        <f t="shared" si="25"/>
        <v>(含)-</v>
      </c>
      <c r="K107" s="1769" t="str">
        <f t="shared" si="25"/>
        <v>(含)-</v>
      </c>
      <c r="L107" s="1769" t="str">
        <f t="shared" si="25"/>
        <v>(含)-</v>
      </c>
      <c r="M107" s="1770" t="str">
        <f>M108&amp;"(含)"&amp;"-"&amp;P108</f>
        <v>(含)-</v>
      </c>
      <c r="N107" s="1155"/>
      <c r="O107" s="1155"/>
      <c r="P107" s="45"/>
      <c r="Q107" s="504"/>
    </row>
    <row r="108" spans="1:17">
      <c r="A108" s="534"/>
      <c r="B108" s="546"/>
      <c r="C108" s="595">
        <v>0</v>
      </c>
      <c r="D108" s="595">
        <v>10000</v>
      </c>
      <c r="E108" s="595">
        <v>20000</v>
      </c>
      <c r="F108" s="595">
        <v>30000</v>
      </c>
      <c r="G108" s="595">
        <v>40000</v>
      </c>
      <c r="H108" s="595">
        <v>50000</v>
      </c>
      <c r="I108" s="595">
        <v>60000</v>
      </c>
      <c r="J108" s="596"/>
      <c r="K108" s="596"/>
      <c r="L108" s="597"/>
      <c r="M108" s="598"/>
      <c r="N108" s="1155"/>
      <c r="O108" s="1155"/>
      <c r="P108" s="45"/>
      <c r="Q108" s="504"/>
    </row>
    <row r="109" spans="1:17" ht="14.4" thickBot="1">
      <c r="A109" s="534"/>
      <c r="B109" s="543"/>
      <c r="C109" s="570">
        <v>100</v>
      </c>
      <c r="D109" s="591">
        <v>100.5</v>
      </c>
      <c r="E109" s="591">
        <v>101</v>
      </c>
      <c r="F109" s="591">
        <v>101.5</v>
      </c>
      <c r="G109" s="591">
        <v>102</v>
      </c>
      <c r="H109" s="591">
        <v>102.5</v>
      </c>
      <c r="I109" s="591">
        <v>103</v>
      </c>
      <c r="J109" s="591"/>
      <c r="K109" s="591"/>
      <c r="L109" s="591"/>
      <c r="M109" s="592"/>
      <c r="N109" s="1156"/>
      <c r="O109" s="1156"/>
      <c r="P109" s="45"/>
      <c r="Q109" s="504"/>
    </row>
    <row r="110" spans="1:17" ht="15" thickTop="1">
      <c r="A110" s="599"/>
      <c r="B110" s="538" t="s">
        <v>2792</v>
      </c>
      <c r="C110" s="2955" t="s">
        <v>3210</v>
      </c>
      <c r="D110" s="2955" t="s">
        <v>3212</v>
      </c>
      <c r="E110" s="2955" t="s">
        <v>3213</v>
      </c>
      <c r="F110" s="2955" t="s">
        <v>3214</v>
      </c>
      <c r="G110" s="583"/>
      <c r="H110" s="583"/>
      <c r="I110" s="583"/>
      <c r="J110" s="583"/>
      <c r="K110" s="584"/>
      <c r="L110" s="585"/>
      <c r="M110" s="586"/>
      <c r="N110" s="1155"/>
      <c r="O110" s="1155"/>
      <c r="P110" s="45"/>
      <c r="Q110" s="504"/>
    </row>
    <row r="111" spans="1:17" ht="14.4" thickBot="1">
      <c r="A111" s="534"/>
      <c r="B111" s="543"/>
      <c r="C111" s="544">
        <v>100</v>
      </c>
      <c r="D111" s="544">
        <f t="shared" ref="D111:M111" si="26">C111-$K35</f>
        <v>99</v>
      </c>
      <c r="E111" s="544">
        <f t="shared" si="26"/>
        <v>98</v>
      </c>
      <c r="F111" s="544">
        <f t="shared" si="26"/>
        <v>97</v>
      </c>
      <c r="G111" s="544">
        <f t="shared" si="26"/>
        <v>96</v>
      </c>
      <c r="H111" s="544">
        <f t="shared" si="26"/>
        <v>95</v>
      </c>
      <c r="I111" s="544">
        <f t="shared" si="26"/>
        <v>94</v>
      </c>
      <c r="J111" s="544">
        <f t="shared" si="26"/>
        <v>93</v>
      </c>
      <c r="K111" s="544">
        <f t="shared" si="26"/>
        <v>92</v>
      </c>
      <c r="L111" s="544">
        <f t="shared" si="26"/>
        <v>91</v>
      </c>
      <c r="M111" s="545">
        <f t="shared" si="26"/>
        <v>90</v>
      </c>
      <c r="N111" s="1156"/>
      <c r="O111" s="1156"/>
      <c r="P111" s="45"/>
      <c r="Q111" s="504"/>
    </row>
    <row r="112" spans="1:17" s="471" customFormat="1" ht="15" thickTop="1">
      <c r="A112" s="593"/>
      <c r="B112" s="538" t="s">
        <v>2794</v>
      </c>
      <c r="C112" s="2954" t="s">
        <v>3215</v>
      </c>
      <c r="D112" s="2954" t="s">
        <v>3216</v>
      </c>
      <c r="E112" s="2954" t="s">
        <v>3217</v>
      </c>
      <c r="F112" s="2954" t="s">
        <v>3218</v>
      </c>
      <c r="G112" s="2954" t="s">
        <v>3219</v>
      </c>
      <c r="H112" s="583"/>
      <c r="I112" s="583"/>
      <c r="J112" s="583"/>
      <c r="K112" s="584"/>
      <c r="L112" s="585"/>
      <c r="M112" s="586"/>
      <c r="N112" s="1157"/>
      <c r="O112" s="1157"/>
      <c r="P112" s="558"/>
      <c r="Q112" s="559"/>
    </row>
    <row r="113" spans="1:17" s="471" customFormat="1" ht="14.4" thickBot="1">
      <c r="A113" s="553"/>
      <c r="B113" s="543"/>
      <c r="C113" s="544">
        <v>100</v>
      </c>
      <c r="D113" s="544">
        <f t="shared" ref="D113:M113" si="27">C113-$K36</f>
        <v>99</v>
      </c>
      <c r="E113" s="544">
        <f t="shared" si="27"/>
        <v>98</v>
      </c>
      <c r="F113" s="544">
        <f t="shared" si="27"/>
        <v>97</v>
      </c>
      <c r="G113" s="544">
        <f t="shared" si="27"/>
        <v>96</v>
      </c>
      <c r="H113" s="544">
        <f t="shared" si="27"/>
        <v>95</v>
      </c>
      <c r="I113" s="544">
        <f t="shared" si="27"/>
        <v>94</v>
      </c>
      <c r="J113" s="544">
        <f t="shared" si="27"/>
        <v>93</v>
      </c>
      <c r="K113" s="544">
        <f t="shared" si="27"/>
        <v>92</v>
      </c>
      <c r="L113" s="544">
        <f t="shared" si="27"/>
        <v>91</v>
      </c>
      <c r="M113" s="545">
        <f t="shared" si="27"/>
        <v>90</v>
      </c>
      <c r="N113" s="1157"/>
      <c r="O113" s="1157"/>
      <c r="P113" s="558"/>
      <c r="Q113" s="559"/>
    </row>
    <row r="114" spans="1:17" ht="15" thickTop="1">
      <c r="A114" s="599"/>
      <c r="B114" s="538" t="s">
        <v>2795</v>
      </c>
      <c r="C114" s="2954" t="s">
        <v>3220</v>
      </c>
      <c r="D114" s="2954" t="s">
        <v>3221</v>
      </c>
      <c r="E114" s="2955" t="s">
        <v>3222</v>
      </c>
      <c r="F114" s="2955" t="s">
        <v>3223</v>
      </c>
      <c r="G114" s="2955" t="s">
        <v>3224</v>
      </c>
      <c r="H114" s="583"/>
      <c r="I114" s="583"/>
      <c r="J114" s="583"/>
      <c r="K114" s="584"/>
      <c r="L114" s="585"/>
      <c r="M114" s="586"/>
      <c r="N114" s="1155"/>
      <c r="O114" s="1155"/>
      <c r="P114" s="45"/>
      <c r="Q114" s="504"/>
    </row>
    <row r="115" spans="1:17" ht="14.4" thickBot="1">
      <c r="A115" s="534"/>
      <c r="B115" s="543"/>
      <c r="C115" s="544">
        <v>100</v>
      </c>
      <c r="D115" s="544">
        <f t="shared" ref="D115:M115" si="28">C115-$K37</f>
        <v>99</v>
      </c>
      <c r="E115" s="544">
        <f t="shared" si="28"/>
        <v>98</v>
      </c>
      <c r="F115" s="544">
        <f t="shared" si="28"/>
        <v>97</v>
      </c>
      <c r="G115" s="544">
        <f t="shared" si="28"/>
        <v>96</v>
      </c>
      <c r="H115" s="544">
        <f t="shared" si="28"/>
        <v>95</v>
      </c>
      <c r="I115" s="544">
        <f t="shared" si="28"/>
        <v>94</v>
      </c>
      <c r="J115" s="544">
        <f t="shared" si="28"/>
        <v>93</v>
      </c>
      <c r="K115" s="544">
        <f t="shared" si="28"/>
        <v>92</v>
      </c>
      <c r="L115" s="544">
        <f t="shared" si="28"/>
        <v>91</v>
      </c>
      <c r="M115" s="545">
        <f t="shared" si="28"/>
        <v>90</v>
      </c>
      <c r="N115" s="1156"/>
      <c r="O115" s="1156"/>
      <c r="P115" s="45"/>
      <c r="Q115" s="504"/>
    </row>
    <row r="116" spans="1:17" ht="14.4" thickTop="1">
      <c r="A116" s="599"/>
      <c r="B116" s="538">
        <f>B38</f>
        <v>111</v>
      </c>
      <c r="C116" s="554"/>
      <c r="D116" s="554"/>
      <c r="E116" s="554"/>
      <c r="F116" s="554"/>
      <c r="G116" s="554"/>
      <c r="H116" s="583"/>
      <c r="I116" s="583"/>
      <c r="J116" s="583"/>
      <c r="K116" s="584"/>
      <c r="L116" s="585"/>
      <c r="M116" s="586"/>
      <c r="N116" s="1155"/>
      <c r="O116" s="1155"/>
      <c r="P116" s="45"/>
      <c r="Q116" s="504"/>
    </row>
    <row r="117" spans="1:17" ht="14.4" thickBot="1">
      <c r="A117" s="534"/>
      <c r="B117" s="543"/>
      <c r="C117" s="560"/>
      <c r="D117" s="536"/>
      <c r="E117" s="536"/>
      <c r="F117" s="536"/>
      <c r="G117" s="536"/>
      <c r="H117" s="536"/>
      <c r="I117" s="536"/>
      <c r="J117" s="536"/>
      <c r="K117" s="536"/>
      <c r="L117" s="536"/>
      <c r="M117" s="537"/>
      <c r="N117" s="1156"/>
      <c r="O117" s="1156"/>
      <c r="P117" s="45"/>
      <c r="Q117" s="504"/>
    </row>
    <row r="118" spans="1:17" ht="14.4" thickTop="1">
      <c r="A118" s="599"/>
      <c r="B118" s="538">
        <f>B39</f>
        <v>111</v>
      </c>
      <c r="C118" s="554"/>
      <c r="D118" s="554"/>
      <c r="E118" s="554"/>
      <c r="F118" s="554"/>
      <c r="G118" s="583"/>
      <c r="H118" s="583"/>
      <c r="I118" s="583"/>
      <c r="J118" s="583"/>
      <c r="K118" s="584"/>
      <c r="L118" s="585"/>
      <c r="M118" s="586"/>
      <c r="N118" s="1155"/>
      <c r="O118" s="1155"/>
      <c r="P118" s="45"/>
      <c r="Q118" s="504"/>
    </row>
    <row r="119" spans="1:17" ht="14.4" thickBot="1">
      <c r="A119" s="534"/>
      <c r="B119" s="543"/>
      <c r="C119" s="560"/>
      <c r="D119" s="560"/>
      <c r="E119" s="560"/>
      <c r="F119" s="560"/>
      <c r="G119" s="536"/>
      <c r="H119" s="536"/>
      <c r="I119" s="536"/>
      <c r="J119" s="536"/>
      <c r="K119" s="536"/>
      <c r="L119" s="536"/>
      <c r="M119" s="537"/>
      <c r="N119" s="1156"/>
      <c r="O119" s="1156"/>
      <c r="P119" s="45"/>
      <c r="Q119" s="504"/>
    </row>
    <row r="120" spans="1:17" s="471" customFormat="1" ht="14.4"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4.4"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S16"/>
  <sheetViews>
    <sheetView topLeftCell="Y1" workbookViewId="0">
      <selection activeCell="AI2" sqref="AI2:AI4"/>
    </sheetView>
  </sheetViews>
  <sheetFormatPr defaultRowHeight="14.4"/>
  <sheetData>
    <row r="1" spans="1:45" s="2949" customFormat="1" ht="13.2">
      <c r="A1" s="2949" t="s">
        <v>3068</v>
      </c>
      <c r="B1" s="2949" t="s">
        <v>3069</v>
      </c>
      <c r="C1" s="2949" t="s">
        <v>3070</v>
      </c>
      <c r="D1" s="2949" t="s">
        <v>3071</v>
      </c>
      <c r="E1" s="2949" t="s">
        <v>3072</v>
      </c>
      <c r="F1" s="2949" t="s">
        <v>3073</v>
      </c>
      <c r="G1" s="2949" t="s">
        <v>3074</v>
      </c>
      <c r="H1" s="2949" t="s">
        <v>3075</v>
      </c>
      <c r="I1" s="2949" t="s">
        <v>3076</v>
      </c>
      <c r="J1" s="2949" t="s">
        <v>3077</v>
      </c>
      <c r="K1" s="2949" t="s">
        <v>3078</v>
      </c>
      <c r="L1" s="2949" t="s">
        <v>3079</v>
      </c>
      <c r="M1" s="2949" t="s">
        <v>3080</v>
      </c>
      <c r="N1" s="2949" t="s">
        <v>3081</v>
      </c>
      <c r="O1" s="2949" t="s">
        <v>3082</v>
      </c>
      <c r="P1" s="2949" t="s">
        <v>3083</v>
      </c>
      <c r="Q1" s="2949" t="s">
        <v>3084</v>
      </c>
      <c r="R1" s="2949" t="s">
        <v>3085</v>
      </c>
      <c r="S1" s="2949" t="s">
        <v>3086</v>
      </c>
      <c r="T1" s="2949" t="s">
        <v>3087</v>
      </c>
      <c r="U1" s="2949" t="s">
        <v>3088</v>
      </c>
      <c r="V1" s="2949" t="s">
        <v>3089</v>
      </c>
      <c r="W1" s="2949" t="s">
        <v>3090</v>
      </c>
      <c r="X1" s="2949" t="s">
        <v>3091</v>
      </c>
      <c r="Y1" s="2949" t="s">
        <v>3092</v>
      </c>
      <c r="Z1" s="2949" t="s">
        <v>3093</v>
      </c>
      <c r="AA1" s="2949" t="s">
        <v>3094</v>
      </c>
      <c r="AB1" s="2949" t="s">
        <v>3095</v>
      </c>
      <c r="AC1" s="2949" t="s">
        <v>3096</v>
      </c>
      <c r="AD1" s="2949" t="s">
        <v>3097</v>
      </c>
      <c r="AE1" s="2949" t="s">
        <v>3098</v>
      </c>
      <c r="AF1" s="2949" t="s">
        <v>3099</v>
      </c>
      <c r="AG1" s="2949" t="s">
        <v>3100</v>
      </c>
      <c r="AH1" s="2949" t="s">
        <v>3101</v>
      </c>
      <c r="AI1" s="2949" t="s">
        <v>3102</v>
      </c>
      <c r="AJ1" s="2949" t="s">
        <v>3103</v>
      </c>
      <c r="AK1" s="2949" t="s">
        <v>3104</v>
      </c>
      <c r="AL1" s="2949" t="s">
        <v>3105</v>
      </c>
      <c r="AM1" s="2949" t="s">
        <v>3106</v>
      </c>
      <c r="AN1" s="2949" t="s">
        <v>3107</v>
      </c>
      <c r="AO1" s="2949" t="s">
        <v>3108</v>
      </c>
      <c r="AP1" s="2949" t="s">
        <v>3109</v>
      </c>
      <c r="AQ1" s="2949" t="s">
        <v>3110</v>
      </c>
      <c r="AR1" s="2949" t="s">
        <v>3111</v>
      </c>
      <c r="AS1" s="2946" t="s">
        <v>3112</v>
      </c>
    </row>
    <row r="2" spans="1:45" s="2950" customFormat="1" ht="13.2">
      <c r="A2" s="2950" t="s">
        <v>3113</v>
      </c>
      <c r="B2" s="2950" t="s">
        <v>3114</v>
      </c>
      <c r="C2" s="2950" t="s">
        <v>3115</v>
      </c>
      <c r="D2" s="2950" t="s">
        <v>3116</v>
      </c>
      <c r="E2" s="2950" t="s">
        <v>1331</v>
      </c>
      <c r="F2" s="2950" t="s">
        <v>3113</v>
      </c>
      <c r="G2" s="2950" t="s">
        <v>3117</v>
      </c>
      <c r="H2" s="2950" t="s">
        <v>3118</v>
      </c>
      <c r="I2" s="2950" t="s">
        <v>3115</v>
      </c>
      <c r="J2" s="2950">
        <v>23328.35</v>
      </c>
      <c r="K2" s="2950">
        <v>58320.88</v>
      </c>
      <c r="L2" s="2950" t="s">
        <v>3119</v>
      </c>
      <c r="M2" s="2950" t="s">
        <v>1331</v>
      </c>
      <c r="N2" s="2950" t="s">
        <v>3120</v>
      </c>
      <c r="O2" s="2950" t="s">
        <v>3121</v>
      </c>
      <c r="P2" s="2950" t="s">
        <v>1331</v>
      </c>
      <c r="Q2" s="2950" t="s">
        <v>1331</v>
      </c>
      <c r="R2" s="2950" t="s">
        <v>1331</v>
      </c>
      <c r="S2" s="2950" t="s">
        <v>1331</v>
      </c>
      <c r="T2" s="2950" t="s">
        <v>1331</v>
      </c>
      <c r="U2" s="2950" t="s">
        <v>1331</v>
      </c>
      <c r="V2" s="2950" t="s">
        <v>1331</v>
      </c>
      <c r="W2" s="2950" t="s">
        <v>3122</v>
      </c>
      <c r="X2" s="2950" t="s">
        <v>3123</v>
      </c>
      <c r="Y2" s="2950" t="s">
        <v>3124</v>
      </c>
      <c r="Z2" s="2950" t="s">
        <v>3124</v>
      </c>
      <c r="AA2" s="2950" t="s">
        <v>3124</v>
      </c>
      <c r="AB2" s="2950" t="s">
        <v>3125</v>
      </c>
      <c r="AC2" s="2950" t="s">
        <v>3126</v>
      </c>
      <c r="AD2" s="2950" t="s">
        <v>3127</v>
      </c>
      <c r="AE2" s="2950">
        <v>1000</v>
      </c>
      <c r="AF2" s="2950">
        <v>1965</v>
      </c>
      <c r="AG2" s="2950">
        <v>1965</v>
      </c>
      <c r="AH2" s="2950">
        <v>56.15</v>
      </c>
      <c r="AI2" s="2950">
        <v>56.15</v>
      </c>
      <c r="AJ2" s="2950">
        <v>336.92</v>
      </c>
      <c r="AK2" s="2950">
        <v>336.93</v>
      </c>
      <c r="AL2" s="2950" t="s">
        <v>1331</v>
      </c>
      <c r="AM2" s="2950" t="s">
        <v>1331</v>
      </c>
      <c r="AN2" s="2950">
        <v>0</v>
      </c>
      <c r="AO2" s="2950" t="s">
        <v>3128</v>
      </c>
      <c r="AP2" s="2950" t="s">
        <v>1331</v>
      </c>
      <c r="AQ2" s="2950" t="s">
        <v>1331</v>
      </c>
      <c r="AR2" s="2950" t="s">
        <v>1331</v>
      </c>
      <c r="AS2" s="2950">
        <f>ROUND(AG2/J2*10000,0)</f>
        <v>842</v>
      </c>
    </row>
    <row r="3" spans="1:45" s="2950" customFormat="1" ht="13.2">
      <c r="A3" s="2950" t="s">
        <v>3129</v>
      </c>
      <c r="B3" s="2950" t="s">
        <v>3114</v>
      </c>
      <c r="C3" s="2950" t="s">
        <v>3115</v>
      </c>
      <c r="D3" s="2950" t="s">
        <v>3116</v>
      </c>
      <c r="E3" s="2950" t="s">
        <v>1331</v>
      </c>
      <c r="F3" s="2950" t="s">
        <v>3129</v>
      </c>
      <c r="G3" s="2950" t="s">
        <v>3117</v>
      </c>
      <c r="H3" s="2950" t="s">
        <v>3130</v>
      </c>
      <c r="I3" s="2950" t="s">
        <v>3115</v>
      </c>
      <c r="J3" s="2950">
        <v>6313.08</v>
      </c>
      <c r="K3" s="2950">
        <v>15782.7</v>
      </c>
      <c r="L3" s="2950" t="s">
        <v>3131</v>
      </c>
      <c r="M3" s="2950" t="s">
        <v>1331</v>
      </c>
      <c r="N3" s="2950" t="s">
        <v>3120</v>
      </c>
      <c r="O3" s="2950" t="s">
        <v>3121</v>
      </c>
      <c r="P3" s="2950" t="s">
        <v>1331</v>
      </c>
      <c r="Q3" s="2950" t="s">
        <v>1331</v>
      </c>
      <c r="R3" s="2950" t="s">
        <v>1331</v>
      </c>
      <c r="S3" s="2950" t="s">
        <v>1331</v>
      </c>
      <c r="T3" s="2950" t="s">
        <v>1331</v>
      </c>
      <c r="U3" s="2950" t="s">
        <v>1331</v>
      </c>
      <c r="V3" s="2950" t="s">
        <v>1331</v>
      </c>
      <c r="W3" s="2950" t="s">
        <v>3122</v>
      </c>
      <c r="X3" s="2950" t="s">
        <v>3123</v>
      </c>
      <c r="Y3" s="2950" t="s">
        <v>3124</v>
      </c>
      <c r="Z3" s="2950" t="s">
        <v>3124</v>
      </c>
      <c r="AA3" s="2950" t="s">
        <v>3124</v>
      </c>
      <c r="AB3" s="2950" t="s">
        <v>3125</v>
      </c>
      <c r="AC3" s="2950" t="s">
        <v>3126</v>
      </c>
      <c r="AD3" s="2950" t="s">
        <v>3132</v>
      </c>
      <c r="AE3" s="2950">
        <v>270</v>
      </c>
      <c r="AF3" s="2950">
        <v>535</v>
      </c>
      <c r="AG3" s="2950">
        <v>535</v>
      </c>
      <c r="AH3" s="2950">
        <v>56.5</v>
      </c>
      <c r="AI3" s="2950">
        <v>56.5</v>
      </c>
      <c r="AJ3" s="2950">
        <v>338.97</v>
      </c>
      <c r="AK3" s="2950">
        <v>338.98</v>
      </c>
      <c r="AL3" s="2950" t="s">
        <v>1331</v>
      </c>
      <c r="AM3" s="2950" t="s">
        <v>1331</v>
      </c>
      <c r="AN3" s="2950">
        <v>0</v>
      </c>
      <c r="AO3" s="2950" t="s">
        <v>3128</v>
      </c>
      <c r="AP3" s="2950" t="s">
        <v>1331</v>
      </c>
      <c r="AQ3" s="2950" t="s">
        <v>1331</v>
      </c>
      <c r="AR3" s="2950" t="s">
        <v>1331</v>
      </c>
      <c r="AS3" s="2950">
        <f t="shared" ref="AS3:AS16" si="0">ROUND(AG3/J3*10000,0)</f>
        <v>847</v>
      </c>
    </row>
    <row r="4" spans="1:45" s="2950" customFormat="1" ht="13.2">
      <c r="A4" s="2950" t="s">
        <v>3133</v>
      </c>
      <c r="B4" s="2950" t="s">
        <v>3114</v>
      </c>
      <c r="C4" s="2950" t="s">
        <v>3115</v>
      </c>
      <c r="D4" s="2950" t="s">
        <v>3116</v>
      </c>
      <c r="E4" s="2950" t="s">
        <v>1331</v>
      </c>
      <c r="F4" s="2950" t="s">
        <v>3133</v>
      </c>
      <c r="G4" s="2950" t="s">
        <v>3117</v>
      </c>
      <c r="H4" s="2950" t="s">
        <v>3134</v>
      </c>
      <c r="I4" s="2950" t="s">
        <v>3115</v>
      </c>
      <c r="J4" s="2950">
        <v>57370.43</v>
      </c>
      <c r="K4" s="2950">
        <v>143426.07999999999</v>
      </c>
      <c r="L4" s="2950" t="s">
        <v>3135</v>
      </c>
      <c r="M4" s="2950" t="s">
        <v>1331</v>
      </c>
      <c r="N4" s="2950" t="s">
        <v>3136</v>
      </c>
      <c r="O4" s="2950" t="s">
        <v>3121</v>
      </c>
      <c r="P4" s="2950" t="s">
        <v>1331</v>
      </c>
      <c r="Q4" s="2950" t="s">
        <v>1331</v>
      </c>
      <c r="R4" s="2950" t="s">
        <v>1331</v>
      </c>
      <c r="S4" s="2950" t="s">
        <v>1331</v>
      </c>
      <c r="T4" s="2950" t="s">
        <v>1331</v>
      </c>
      <c r="U4" s="2950" t="s">
        <v>1331</v>
      </c>
      <c r="V4" s="2950" t="s">
        <v>1331</v>
      </c>
      <c r="W4" s="2950" t="s">
        <v>3122</v>
      </c>
      <c r="X4" s="2950" t="s">
        <v>3123</v>
      </c>
      <c r="Y4" s="2950" t="s">
        <v>3124</v>
      </c>
      <c r="Z4" s="2950" t="s">
        <v>3124</v>
      </c>
      <c r="AA4" s="2950" t="s">
        <v>3124</v>
      </c>
      <c r="AB4" s="2950" t="s">
        <v>3125</v>
      </c>
      <c r="AC4" s="2950" t="s">
        <v>3126</v>
      </c>
      <c r="AD4" s="2950" t="s">
        <v>3137</v>
      </c>
      <c r="AE4" s="2950">
        <v>2400</v>
      </c>
      <c r="AF4" s="2950">
        <v>4645</v>
      </c>
      <c r="AG4" s="2950">
        <v>4645</v>
      </c>
      <c r="AH4" s="2950">
        <v>53.98</v>
      </c>
      <c r="AI4" s="2950">
        <v>53.98</v>
      </c>
      <c r="AJ4" s="2950">
        <v>323.86</v>
      </c>
      <c r="AK4" s="2950">
        <v>323.86</v>
      </c>
      <c r="AL4" s="2950" t="s">
        <v>1331</v>
      </c>
      <c r="AM4" s="2950" t="s">
        <v>1331</v>
      </c>
      <c r="AN4" s="2950">
        <v>0</v>
      </c>
      <c r="AO4" s="2950" t="s">
        <v>3128</v>
      </c>
      <c r="AP4" s="2950" t="s">
        <v>1331</v>
      </c>
      <c r="AQ4" s="2950" t="s">
        <v>1331</v>
      </c>
      <c r="AR4" s="2950" t="s">
        <v>1331</v>
      </c>
      <c r="AS4" s="2950">
        <f t="shared" si="0"/>
        <v>810</v>
      </c>
    </row>
    <row r="5" spans="1:45" s="2949" customFormat="1" ht="13.2">
      <c r="A5" s="2949" t="s">
        <v>3138</v>
      </c>
      <c r="B5" s="2949" t="s">
        <v>3114</v>
      </c>
      <c r="C5" s="2949" t="s">
        <v>3115</v>
      </c>
      <c r="D5" s="2949" t="s">
        <v>3116</v>
      </c>
      <c r="E5" s="2949" t="s">
        <v>1331</v>
      </c>
      <c r="F5" s="2949" t="s">
        <v>3138</v>
      </c>
      <c r="G5" s="2949" t="s">
        <v>3139</v>
      </c>
      <c r="H5" s="2949" t="s">
        <v>3140</v>
      </c>
      <c r="I5" s="2949" t="s">
        <v>3115</v>
      </c>
      <c r="J5" s="2949">
        <v>46649.7</v>
      </c>
      <c r="K5" s="2949">
        <v>116624.25</v>
      </c>
      <c r="L5" s="2949" t="s">
        <v>3135</v>
      </c>
      <c r="M5" s="2949" t="s">
        <v>1331</v>
      </c>
      <c r="N5" s="2949" t="s">
        <v>3136</v>
      </c>
      <c r="O5" s="2949" t="s">
        <v>3121</v>
      </c>
      <c r="P5" s="2949" t="s">
        <v>1331</v>
      </c>
      <c r="Q5" s="2949" t="s">
        <v>1331</v>
      </c>
      <c r="R5" s="2949" t="s">
        <v>1331</v>
      </c>
      <c r="S5" s="2949" t="s">
        <v>1331</v>
      </c>
      <c r="T5" s="2949" t="s">
        <v>1331</v>
      </c>
      <c r="U5" s="2949" t="s">
        <v>1331</v>
      </c>
      <c r="V5" s="2949" t="s">
        <v>1331</v>
      </c>
      <c r="W5" s="2949" t="s">
        <v>3141</v>
      </c>
      <c r="X5" s="2949" t="s">
        <v>3142</v>
      </c>
      <c r="Y5" s="2949" t="s">
        <v>3143</v>
      </c>
      <c r="Z5" s="2949" t="s">
        <v>3144</v>
      </c>
      <c r="AA5" s="2949" t="s">
        <v>3144</v>
      </c>
      <c r="AB5" s="2949" t="s">
        <v>3145</v>
      </c>
      <c r="AC5" s="2949" t="s">
        <v>3126</v>
      </c>
      <c r="AD5" s="2949" t="s">
        <v>3137</v>
      </c>
      <c r="AE5" s="2949">
        <v>1900</v>
      </c>
      <c r="AF5" s="2949">
        <v>3735</v>
      </c>
      <c r="AG5" s="2949">
        <v>3735</v>
      </c>
      <c r="AH5" s="2949">
        <v>53.38</v>
      </c>
      <c r="AI5" s="2949">
        <v>53.38</v>
      </c>
      <c r="AJ5" s="2949">
        <v>320.25</v>
      </c>
      <c r="AK5" s="2949">
        <v>320.25</v>
      </c>
      <c r="AL5" s="2949" t="s">
        <v>1331</v>
      </c>
      <c r="AM5" s="2949" t="s">
        <v>1331</v>
      </c>
      <c r="AN5" s="2949">
        <v>0</v>
      </c>
      <c r="AO5" s="2949" t="s">
        <v>3128</v>
      </c>
      <c r="AP5" s="2949" t="s">
        <v>1331</v>
      </c>
      <c r="AQ5" s="2949" t="s">
        <v>1331</v>
      </c>
      <c r="AR5" s="2949" t="s">
        <v>1331</v>
      </c>
      <c r="AS5" s="2949">
        <f t="shared" si="0"/>
        <v>801</v>
      </c>
    </row>
    <row r="6" spans="1:45" s="2949" customFormat="1" ht="13.2">
      <c r="A6" s="2949" t="s">
        <v>3133</v>
      </c>
      <c r="B6" s="2949" t="s">
        <v>3114</v>
      </c>
      <c r="C6" s="2949" t="s">
        <v>3115</v>
      </c>
      <c r="D6" s="2949" t="s">
        <v>3116</v>
      </c>
      <c r="E6" s="2949" t="s">
        <v>1331</v>
      </c>
      <c r="F6" s="2949" t="s">
        <v>3133</v>
      </c>
      <c r="G6" s="2949" t="s">
        <v>3139</v>
      </c>
      <c r="H6" s="2949" t="s">
        <v>3146</v>
      </c>
      <c r="I6" s="2949" t="s">
        <v>3115</v>
      </c>
      <c r="J6" s="2949">
        <v>13338.06</v>
      </c>
      <c r="K6" s="2949">
        <v>33345.15</v>
      </c>
      <c r="L6" s="2949" t="s">
        <v>3147</v>
      </c>
      <c r="M6" s="2949" t="s">
        <v>1331</v>
      </c>
      <c r="N6" s="2949" t="s">
        <v>3136</v>
      </c>
      <c r="O6" s="2949" t="s">
        <v>3121</v>
      </c>
      <c r="P6" s="2949" t="s">
        <v>1331</v>
      </c>
      <c r="Q6" s="2949" t="s">
        <v>1331</v>
      </c>
      <c r="R6" s="2949" t="s">
        <v>1331</v>
      </c>
      <c r="S6" s="2949" t="s">
        <v>1331</v>
      </c>
      <c r="T6" s="2949" t="s">
        <v>1331</v>
      </c>
      <c r="U6" s="2949" t="s">
        <v>1331</v>
      </c>
      <c r="V6" s="2949" t="s">
        <v>1331</v>
      </c>
      <c r="W6" s="2949" t="s">
        <v>3141</v>
      </c>
      <c r="X6" s="2949" t="s">
        <v>3148</v>
      </c>
      <c r="Y6" s="2949" t="s">
        <v>3149</v>
      </c>
      <c r="Z6" s="2949" t="s">
        <v>3150</v>
      </c>
      <c r="AA6" s="2949" t="s">
        <v>3150</v>
      </c>
      <c r="AB6" s="2949" t="s">
        <v>3151</v>
      </c>
      <c r="AC6" s="2949" t="s">
        <v>3126</v>
      </c>
      <c r="AD6" s="2949" t="s">
        <v>3137</v>
      </c>
      <c r="AE6" s="2949">
        <v>550</v>
      </c>
      <c r="AF6" s="2949">
        <v>1050</v>
      </c>
      <c r="AG6" s="2949">
        <v>1050</v>
      </c>
      <c r="AH6" s="2949">
        <v>52.48</v>
      </c>
      <c r="AI6" s="2949">
        <v>52.48</v>
      </c>
      <c r="AJ6" s="2949">
        <v>314.88</v>
      </c>
      <c r="AK6" s="2949">
        <v>314.88</v>
      </c>
      <c r="AL6" s="2949" t="s">
        <v>1331</v>
      </c>
      <c r="AM6" s="2949" t="s">
        <v>1331</v>
      </c>
      <c r="AN6" s="2949">
        <v>0</v>
      </c>
      <c r="AO6" s="2949" t="s">
        <v>3128</v>
      </c>
      <c r="AP6" s="2949" t="s">
        <v>1331</v>
      </c>
      <c r="AQ6" s="2949" t="s">
        <v>1331</v>
      </c>
      <c r="AR6" s="2949" t="s">
        <v>1331</v>
      </c>
      <c r="AS6" s="2949">
        <f t="shared" si="0"/>
        <v>787</v>
      </c>
    </row>
    <row r="7" spans="1:45" s="2949" customFormat="1" ht="13.2">
      <c r="A7" s="2949" t="s">
        <v>3152</v>
      </c>
      <c r="B7" s="2949" t="s">
        <v>3114</v>
      </c>
      <c r="C7" s="2949" t="s">
        <v>3115</v>
      </c>
      <c r="D7" s="2949" t="s">
        <v>3116</v>
      </c>
      <c r="E7" s="2949" t="s">
        <v>1331</v>
      </c>
      <c r="F7" s="2949" t="s">
        <v>3152</v>
      </c>
      <c r="G7" s="2949" t="s">
        <v>3139</v>
      </c>
      <c r="H7" s="2949" t="s">
        <v>3153</v>
      </c>
      <c r="I7" s="2949" t="s">
        <v>3115</v>
      </c>
      <c r="J7" s="2949">
        <v>12020.57</v>
      </c>
      <c r="K7" s="2949">
        <v>30051.43</v>
      </c>
      <c r="L7" s="2949" t="s">
        <v>3135</v>
      </c>
      <c r="M7" s="2949" t="s">
        <v>1331</v>
      </c>
      <c r="N7" s="2949" t="s">
        <v>3120</v>
      </c>
      <c r="O7" s="2949" t="s">
        <v>3121</v>
      </c>
      <c r="P7" s="2949" t="s">
        <v>1331</v>
      </c>
      <c r="Q7" s="2949" t="s">
        <v>1331</v>
      </c>
      <c r="R7" s="2949" t="s">
        <v>1331</v>
      </c>
      <c r="S7" s="2949" t="s">
        <v>1331</v>
      </c>
      <c r="T7" s="2949" t="s">
        <v>1331</v>
      </c>
      <c r="U7" s="2949" t="s">
        <v>1331</v>
      </c>
      <c r="V7" s="2949" t="s">
        <v>1331</v>
      </c>
      <c r="W7" s="2949" t="s">
        <v>3141</v>
      </c>
      <c r="X7" s="2949" t="s">
        <v>3148</v>
      </c>
      <c r="Y7" s="2949" t="s">
        <v>3149</v>
      </c>
      <c r="Z7" s="2949" t="s">
        <v>3150</v>
      </c>
      <c r="AA7" s="2949" t="s">
        <v>3150</v>
      </c>
      <c r="AB7" s="2949" t="s">
        <v>3151</v>
      </c>
      <c r="AC7" s="2949" t="s">
        <v>3126</v>
      </c>
      <c r="AD7" s="2949" t="s">
        <v>3154</v>
      </c>
      <c r="AE7" s="2949">
        <v>550</v>
      </c>
      <c r="AF7" s="2949">
        <v>1005</v>
      </c>
      <c r="AG7" s="2949">
        <v>1005</v>
      </c>
      <c r="AH7" s="2949">
        <v>55.74</v>
      </c>
      <c r="AI7" s="2949">
        <v>55.74</v>
      </c>
      <c r="AJ7" s="2949">
        <v>334.42</v>
      </c>
      <c r="AK7" s="2949">
        <v>334.43</v>
      </c>
      <c r="AL7" s="2949" t="s">
        <v>1331</v>
      </c>
      <c r="AM7" s="2949" t="s">
        <v>1331</v>
      </c>
      <c r="AN7" s="2949">
        <v>0</v>
      </c>
      <c r="AO7" s="2949" t="s">
        <v>3128</v>
      </c>
      <c r="AP7" s="2949" t="s">
        <v>1331</v>
      </c>
      <c r="AQ7" s="2949" t="s">
        <v>1331</v>
      </c>
      <c r="AR7" s="2949" t="s">
        <v>1331</v>
      </c>
      <c r="AS7" s="2949">
        <f t="shared" si="0"/>
        <v>836</v>
      </c>
    </row>
    <row r="8" spans="1:45" s="2949" customFormat="1" ht="13.2">
      <c r="A8" s="2949" t="s">
        <v>3155</v>
      </c>
      <c r="B8" s="2949" t="s">
        <v>3114</v>
      </c>
      <c r="C8" s="2949" t="s">
        <v>3115</v>
      </c>
      <c r="D8" s="2949" t="s">
        <v>3116</v>
      </c>
      <c r="E8" s="2949" t="s">
        <v>1331</v>
      </c>
      <c r="F8" s="2949" t="s">
        <v>3155</v>
      </c>
      <c r="G8" s="2949" t="s">
        <v>3139</v>
      </c>
      <c r="H8" s="2949" t="s">
        <v>3156</v>
      </c>
      <c r="I8" s="2949" t="s">
        <v>3115</v>
      </c>
      <c r="J8" s="2949">
        <v>19623.3</v>
      </c>
      <c r="K8" s="2949">
        <v>49058.25</v>
      </c>
      <c r="L8" s="2949" t="s">
        <v>3131</v>
      </c>
      <c r="M8" s="2949" t="s">
        <v>1331</v>
      </c>
      <c r="N8" s="2949" t="s">
        <v>3136</v>
      </c>
      <c r="O8" s="2949" t="s">
        <v>3121</v>
      </c>
      <c r="P8" s="2949" t="s">
        <v>1331</v>
      </c>
      <c r="Q8" s="2949" t="s">
        <v>1331</v>
      </c>
      <c r="R8" s="2949" t="s">
        <v>1331</v>
      </c>
      <c r="S8" s="2949" t="s">
        <v>1331</v>
      </c>
      <c r="T8" s="2949" t="s">
        <v>1331</v>
      </c>
      <c r="U8" s="2949" t="s">
        <v>1331</v>
      </c>
      <c r="V8" s="2949" t="s">
        <v>1331</v>
      </c>
      <c r="W8" s="2949" t="s">
        <v>3141</v>
      </c>
      <c r="X8" s="2949" t="s">
        <v>3148</v>
      </c>
      <c r="Y8" s="2949" t="s">
        <v>3149</v>
      </c>
      <c r="Z8" s="2949" t="s">
        <v>3150</v>
      </c>
      <c r="AA8" s="2949" t="s">
        <v>3150</v>
      </c>
      <c r="AB8" s="2949" t="s">
        <v>3151</v>
      </c>
      <c r="AC8" s="2949" t="s">
        <v>3126</v>
      </c>
      <c r="AD8" s="2949" t="s">
        <v>3137</v>
      </c>
      <c r="AE8" s="2949">
        <v>800</v>
      </c>
      <c r="AF8" s="2949">
        <v>1570</v>
      </c>
      <c r="AG8" s="2949">
        <v>1570</v>
      </c>
      <c r="AH8" s="2949">
        <v>53.34</v>
      </c>
      <c r="AI8" s="2949">
        <v>53.34</v>
      </c>
      <c r="AJ8" s="2949">
        <v>320.02</v>
      </c>
      <c r="AK8" s="2949">
        <v>320.02</v>
      </c>
      <c r="AL8" s="2949" t="s">
        <v>1331</v>
      </c>
      <c r="AM8" s="2949" t="s">
        <v>1331</v>
      </c>
      <c r="AN8" s="2949">
        <v>0</v>
      </c>
      <c r="AO8" s="2949" t="s">
        <v>3128</v>
      </c>
      <c r="AP8" s="2949" t="s">
        <v>1331</v>
      </c>
      <c r="AQ8" s="2949" t="s">
        <v>1331</v>
      </c>
      <c r="AR8" s="2949" t="s">
        <v>1331</v>
      </c>
      <c r="AS8" s="2949">
        <f t="shared" si="0"/>
        <v>800</v>
      </c>
    </row>
    <row r="9" spans="1:45" s="2949" customFormat="1" ht="13.2">
      <c r="A9" s="2949" t="s">
        <v>3152</v>
      </c>
      <c r="B9" s="2949" t="s">
        <v>3114</v>
      </c>
      <c r="C9" s="2949" t="s">
        <v>3115</v>
      </c>
      <c r="D9" s="2949" t="s">
        <v>3116</v>
      </c>
      <c r="E9" s="2949" t="s">
        <v>1331</v>
      </c>
      <c r="F9" s="2949" t="s">
        <v>3152</v>
      </c>
      <c r="G9" s="2949" t="s">
        <v>3139</v>
      </c>
      <c r="H9" s="2949" t="s">
        <v>3157</v>
      </c>
      <c r="I9" s="2949" t="s">
        <v>3115</v>
      </c>
      <c r="J9" s="2949">
        <v>8116.65</v>
      </c>
      <c r="K9" s="2949">
        <v>20291.63</v>
      </c>
      <c r="L9" s="2949" t="s">
        <v>3135</v>
      </c>
      <c r="M9" s="2949" t="s">
        <v>1331</v>
      </c>
      <c r="N9" s="2949" t="s">
        <v>3120</v>
      </c>
      <c r="O9" s="2949" t="s">
        <v>3121</v>
      </c>
      <c r="P9" s="2949" t="s">
        <v>1331</v>
      </c>
      <c r="Q9" s="2949" t="s">
        <v>1331</v>
      </c>
      <c r="R9" s="2949" t="s">
        <v>1331</v>
      </c>
      <c r="S9" s="2949" t="s">
        <v>1331</v>
      </c>
      <c r="T9" s="2949" t="s">
        <v>1331</v>
      </c>
      <c r="U9" s="2949" t="s">
        <v>1331</v>
      </c>
      <c r="V9" s="2949" t="s">
        <v>1331</v>
      </c>
      <c r="W9" s="2949" t="s">
        <v>3141</v>
      </c>
      <c r="X9" s="2949" t="s">
        <v>3148</v>
      </c>
      <c r="Y9" s="2949" t="s">
        <v>3149</v>
      </c>
      <c r="Z9" s="2949" t="s">
        <v>3150</v>
      </c>
      <c r="AA9" s="2949" t="s">
        <v>3150</v>
      </c>
      <c r="AB9" s="2949" t="s">
        <v>3151</v>
      </c>
      <c r="AC9" s="2949" t="s">
        <v>3126</v>
      </c>
      <c r="AD9" s="2949" t="s">
        <v>3154</v>
      </c>
      <c r="AE9" s="2949">
        <v>350</v>
      </c>
      <c r="AF9" s="2949">
        <v>680</v>
      </c>
      <c r="AG9" s="2949">
        <v>680</v>
      </c>
      <c r="AH9" s="2949">
        <v>55.85</v>
      </c>
      <c r="AI9" s="2949">
        <v>55.85</v>
      </c>
      <c r="AJ9" s="2949">
        <v>335.11</v>
      </c>
      <c r="AK9" s="2949">
        <v>335.11</v>
      </c>
      <c r="AL9" s="2949" t="s">
        <v>1331</v>
      </c>
      <c r="AM9" s="2949" t="s">
        <v>1331</v>
      </c>
      <c r="AN9" s="2949">
        <v>0</v>
      </c>
      <c r="AO9" s="2949" t="s">
        <v>3128</v>
      </c>
      <c r="AP9" s="2949" t="s">
        <v>1331</v>
      </c>
      <c r="AQ9" s="2949" t="s">
        <v>1331</v>
      </c>
      <c r="AR9" s="2949" t="s">
        <v>1331</v>
      </c>
      <c r="AS9" s="2949">
        <f t="shared" si="0"/>
        <v>838</v>
      </c>
    </row>
    <row r="10" spans="1:45" s="2949" customFormat="1" ht="13.2">
      <c r="A10" s="2949" t="s">
        <v>3158</v>
      </c>
      <c r="B10" s="2949" t="s">
        <v>3114</v>
      </c>
      <c r="C10" s="2949" t="s">
        <v>3115</v>
      </c>
      <c r="D10" s="2949" t="s">
        <v>3116</v>
      </c>
      <c r="E10" s="2949" t="s">
        <v>1331</v>
      </c>
      <c r="F10" s="2949" t="s">
        <v>3158</v>
      </c>
      <c r="G10" s="2949" t="s">
        <v>3139</v>
      </c>
      <c r="H10" s="2949" t="s">
        <v>3159</v>
      </c>
      <c r="I10" s="2949" t="s">
        <v>3115</v>
      </c>
      <c r="J10" s="2949">
        <v>9532.32</v>
      </c>
      <c r="K10" s="2949">
        <v>9532.32</v>
      </c>
      <c r="L10" s="2949" t="s">
        <v>3160</v>
      </c>
      <c r="M10" s="2949" t="s">
        <v>1331</v>
      </c>
      <c r="N10" s="2949" t="s">
        <v>3136</v>
      </c>
      <c r="O10" s="2949" t="s">
        <v>3161</v>
      </c>
      <c r="P10" s="2949" t="s">
        <v>1331</v>
      </c>
      <c r="Q10" s="2949" t="s">
        <v>1331</v>
      </c>
      <c r="R10" s="2949" t="s">
        <v>1331</v>
      </c>
      <c r="S10" s="2949" t="s">
        <v>1331</v>
      </c>
      <c r="T10" s="2949" t="s">
        <v>1331</v>
      </c>
      <c r="U10" s="2949" t="s">
        <v>1331</v>
      </c>
      <c r="V10" s="2949" t="s">
        <v>1331</v>
      </c>
      <c r="W10" s="2949" t="s">
        <v>3141</v>
      </c>
      <c r="X10" s="2949" t="s">
        <v>3162</v>
      </c>
      <c r="Y10" s="2949" t="s">
        <v>3163</v>
      </c>
      <c r="Z10" s="2949" t="s">
        <v>3164</v>
      </c>
      <c r="AA10" s="2949" t="s">
        <v>3164</v>
      </c>
      <c r="AB10" s="2949" t="s">
        <v>3165</v>
      </c>
      <c r="AC10" s="2949" t="s">
        <v>3126</v>
      </c>
      <c r="AD10" s="2949" t="s">
        <v>3166</v>
      </c>
      <c r="AE10" s="2949">
        <v>350</v>
      </c>
      <c r="AF10" s="2949">
        <v>620</v>
      </c>
      <c r="AG10" s="2949">
        <v>620</v>
      </c>
      <c r="AH10" s="2949">
        <v>43.36</v>
      </c>
      <c r="AI10" s="2949">
        <v>43.36</v>
      </c>
      <c r="AJ10" s="2949">
        <v>650.41</v>
      </c>
      <c r="AK10" s="2949">
        <v>650.41</v>
      </c>
      <c r="AL10" s="2949" t="s">
        <v>1331</v>
      </c>
      <c r="AM10" s="2949" t="s">
        <v>1331</v>
      </c>
      <c r="AN10" s="2949">
        <v>0</v>
      </c>
      <c r="AO10" s="2949" t="s">
        <v>3128</v>
      </c>
      <c r="AP10" s="2949" t="s">
        <v>1331</v>
      </c>
      <c r="AQ10" s="2949" t="s">
        <v>1331</v>
      </c>
      <c r="AR10" s="2949" t="s">
        <v>1331</v>
      </c>
      <c r="AS10" s="2949">
        <f t="shared" si="0"/>
        <v>650</v>
      </c>
    </row>
    <row r="11" spans="1:45" s="2949" customFormat="1" ht="13.2">
      <c r="A11" s="2949" t="s">
        <v>3167</v>
      </c>
      <c r="B11" s="2949" t="s">
        <v>3114</v>
      </c>
      <c r="C11" s="2949" t="s">
        <v>3115</v>
      </c>
      <c r="D11" s="2949" t="s">
        <v>3116</v>
      </c>
      <c r="E11" s="2949" t="s">
        <v>1331</v>
      </c>
      <c r="F11" s="2949" t="s">
        <v>3167</v>
      </c>
      <c r="G11" s="2949" t="s">
        <v>3139</v>
      </c>
      <c r="H11" s="2949" t="s">
        <v>3168</v>
      </c>
      <c r="I11" s="2949" t="s">
        <v>3115</v>
      </c>
      <c r="J11" s="2949">
        <v>6666.37</v>
      </c>
      <c r="K11" s="2949">
        <v>4666.46</v>
      </c>
      <c r="L11" s="2949" t="s">
        <v>3169</v>
      </c>
      <c r="M11" s="2949" t="s">
        <v>1331</v>
      </c>
      <c r="N11" s="2949" t="s">
        <v>3136</v>
      </c>
      <c r="O11" s="2949" t="s">
        <v>3161</v>
      </c>
      <c r="P11" s="2949" t="s">
        <v>1331</v>
      </c>
      <c r="Q11" s="2949" t="s">
        <v>1331</v>
      </c>
      <c r="R11" s="2949" t="s">
        <v>1331</v>
      </c>
      <c r="S11" s="2949" t="s">
        <v>1331</v>
      </c>
      <c r="T11" s="2949" t="s">
        <v>1331</v>
      </c>
      <c r="U11" s="2949" t="s">
        <v>1331</v>
      </c>
      <c r="V11" s="2949" t="s">
        <v>1331</v>
      </c>
      <c r="W11" s="2949" t="s">
        <v>3141</v>
      </c>
      <c r="X11" s="2949" t="s">
        <v>3162</v>
      </c>
      <c r="Y11" s="2949" t="s">
        <v>3163</v>
      </c>
      <c r="Z11" s="2949" t="s">
        <v>3164</v>
      </c>
      <c r="AA11" s="2949" t="s">
        <v>3164</v>
      </c>
      <c r="AB11" s="2949" t="s">
        <v>3165</v>
      </c>
      <c r="AC11" s="2949" t="s">
        <v>3126</v>
      </c>
      <c r="AD11" s="2949" t="s">
        <v>3170</v>
      </c>
      <c r="AE11" s="2949">
        <v>250</v>
      </c>
      <c r="AF11" s="2949">
        <v>430</v>
      </c>
      <c r="AG11" s="2949">
        <v>430</v>
      </c>
      <c r="AH11" s="2949">
        <v>43</v>
      </c>
      <c r="AI11" s="2949">
        <v>43</v>
      </c>
      <c r="AJ11" s="2949">
        <v>921.46</v>
      </c>
      <c r="AK11" s="2949">
        <v>921.47</v>
      </c>
      <c r="AL11" s="2949" t="s">
        <v>1331</v>
      </c>
      <c r="AM11" s="2949" t="s">
        <v>1331</v>
      </c>
      <c r="AN11" s="2949">
        <v>0</v>
      </c>
      <c r="AO11" s="2949" t="s">
        <v>3128</v>
      </c>
      <c r="AP11" s="2949" t="s">
        <v>1331</v>
      </c>
      <c r="AQ11" s="2949" t="s">
        <v>1331</v>
      </c>
      <c r="AR11" s="2949" t="s">
        <v>1331</v>
      </c>
      <c r="AS11" s="2949">
        <f t="shared" si="0"/>
        <v>645</v>
      </c>
    </row>
    <row r="12" spans="1:45" s="2949" customFormat="1" ht="13.2">
      <c r="A12" s="2949" t="s">
        <v>3171</v>
      </c>
      <c r="B12" s="2949" t="s">
        <v>3114</v>
      </c>
      <c r="C12" s="2949" t="s">
        <v>3115</v>
      </c>
      <c r="D12" s="2949" t="s">
        <v>3116</v>
      </c>
      <c r="E12" s="2949" t="s">
        <v>1331</v>
      </c>
      <c r="F12" s="2949" t="s">
        <v>3171</v>
      </c>
      <c r="G12" s="2949" t="s">
        <v>3139</v>
      </c>
      <c r="H12" s="2949" t="s">
        <v>3172</v>
      </c>
      <c r="I12" s="2949" t="s">
        <v>3115</v>
      </c>
      <c r="J12" s="2949">
        <v>6662.16</v>
      </c>
      <c r="K12" s="2949">
        <v>4663.51</v>
      </c>
      <c r="L12" s="2949" t="s">
        <v>3169</v>
      </c>
      <c r="M12" s="2949" t="s">
        <v>1331</v>
      </c>
      <c r="N12" s="2949" t="s">
        <v>3136</v>
      </c>
      <c r="O12" s="2949" t="s">
        <v>3161</v>
      </c>
      <c r="P12" s="2949" t="s">
        <v>1331</v>
      </c>
      <c r="Q12" s="2949" t="s">
        <v>1331</v>
      </c>
      <c r="R12" s="2949" t="s">
        <v>1331</v>
      </c>
      <c r="S12" s="2949" t="s">
        <v>1331</v>
      </c>
      <c r="T12" s="2949" t="s">
        <v>1331</v>
      </c>
      <c r="U12" s="2949" t="s">
        <v>1331</v>
      </c>
      <c r="V12" s="2949" t="s">
        <v>1331</v>
      </c>
      <c r="W12" s="2949" t="s">
        <v>3141</v>
      </c>
      <c r="X12" s="2949" t="s">
        <v>3162</v>
      </c>
      <c r="Y12" s="2949" t="s">
        <v>3163</v>
      </c>
      <c r="Z12" s="2949" t="s">
        <v>3164</v>
      </c>
      <c r="AA12" s="2949" t="s">
        <v>3164</v>
      </c>
      <c r="AB12" s="2949" t="s">
        <v>3165</v>
      </c>
      <c r="AC12" s="2949" t="s">
        <v>3126</v>
      </c>
      <c r="AD12" s="2949" t="s">
        <v>3173</v>
      </c>
      <c r="AE12" s="2949">
        <v>250</v>
      </c>
      <c r="AF12" s="2949">
        <v>440</v>
      </c>
      <c r="AG12" s="2949">
        <v>440</v>
      </c>
      <c r="AH12" s="2949">
        <v>44.03</v>
      </c>
      <c r="AI12" s="2949">
        <v>44.03</v>
      </c>
      <c r="AJ12" s="2949">
        <v>943.49</v>
      </c>
      <c r="AK12" s="2949">
        <v>943.5</v>
      </c>
      <c r="AL12" s="2949" t="s">
        <v>1331</v>
      </c>
      <c r="AM12" s="2949" t="s">
        <v>1331</v>
      </c>
      <c r="AN12" s="2949">
        <v>0</v>
      </c>
      <c r="AO12" s="2949" t="s">
        <v>3128</v>
      </c>
      <c r="AP12" s="2949" t="s">
        <v>1331</v>
      </c>
      <c r="AQ12" s="2949" t="s">
        <v>1331</v>
      </c>
      <c r="AR12" s="2949" t="s">
        <v>1331</v>
      </c>
      <c r="AS12" s="2949">
        <f t="shared" si="0"/>
        <v>660</v>
      </c>
    </row>
    <row r="13" spans="1:45" s="2949" customFormat="1" ht="13.2">
      <c r="A13" s="2949" t="s">
        <v>3174</v>
      </c>
      <c r="B13" s="2949" t="s">
        <v>3114</v>
      </c>
      <c r="C13" s="2949" t="s">
        <v>3115</v>
      </c>
      <c r="D13" s="2949" t="s">
        <v>3116</v>
      </c>
      <c r="E13" s="2949" t="s">
        <v>1331</v>
      </c>
      <c r="F13" s="2949" t="s">
        <v>3174</v>
      </c>
      <c r="G13" s="2949" t="s">
        <v>3139</v>
      </c>
      <c r="H13" s="2949" t="s">
        <v>3175</v>
      </c>
      <c r="I13" s="2949" t="s">
        <v>3115</v>
      </c>
      <c r="J13" s="2949">
        <v>5263.36</v>
      </c>
      <c r="K13" s="2949">
        <v>3684.35</v>
      </c>
      <c r="L13" s="2949" t="s">
        <v>3169</v>
      </c>
      <c r="M13" s="2949" t="s">
        <v>1331</v>
      </c>
      <c r="N13" s="2949" t="s">
        <v>3136</v>
      </c>
      <c r="O13" s="2949" t="s">
        <v>3161</v>
      </c>
      <c r="P13" s="2949" t="s">
        <v>1331</v>
      </c>
      <c r="Q13" s="2949" t="s">
        <v>1331</v>
      </c>
      <c r="R13" s="2949" t="s">
        <v>1331</v>
      </c>
      <c r="S13" s="2949" t="s">
        <v>1331</v>
      </c>
      <c r="T13" s="2949" t="s">
        <v>1331</v>
      </c>
      <c r="U13" s="2949" t="s">
        <v>1331</v>
      </c>
      <c r="V13" s="2949" t="s">
        <v>1331</v>
      </c>
      <c r="W13" s="2949" t="s">
        <v>3141</v>
      </c>
      <c r="X13" s="2949" t="s">
        <v>3162</v>
      </c>
      <c r="Y13" s="2949" t="s">
        <v>3163</v>
      </c>
      <c r="Z13" s="2949" t="s">
        <v>3164</v>
      </c>
      <c r="AA13" s="2949" t="s">
        <v>3164</v>
      </c>
      <c r="AB13" s="2949" t="s">
        <v>3165</v>
      </c>
      <c r="AC13" s="2949" t="s">
        <v>3126</v>
      </c>
      <c r="AD13" s="2949" t="s">
        <v>3176</v>
      </c>
      <c r="AE13" s="2949">
        <v>200</v>
      </c>
      <c r="AF13" s="2949">
        <v>350</v>
      </c>
      <c r="AG13" s="2949">
        <v>350</v>
      </c>
      <c r="AH13" s="2949">
        <v>44.33</v>
      </c>
      <c r="AI13" s="2949">
        <v>44.33</v>
      </c>
      <c r="AJ13" s="2949">
        <v>949.96</v>
      </c>
      <c r="AK13" s="2949">
        <v>949.96</v>
      </c>
      <c r="AL13" s="2949" t="s">
        <v>1331</v>
      </c>
      <c r="AM13" s="2949" t="s">
        <v>1331</v>
      </c>
      <c r="AN13" s="2949">
        <v>0</v>
      </c>
      <c r="AO13" s="2949" t="s">
        <v>3128</v>
      </c>
      <c r="AP13" s="2949" t="s">
        <v>1331</v>
      </c>
      <c r="AQ13" s="2949" t="s">
        <v>1331</v>
      </c>
      <c r="AR13" s="2949" t="s">
        <v>1331</v>
      </c>
      <c r="AS13" s="2949">
        <f t="shared" si="0"/>
        <v>665</v>
      </c>
    </row>
    <row r="14" spans="1:45" s="2949" customFormat="1" ht="13.2">
      <c r="A14" s="2949" t="s">
        <v>3177</v>
      </c>
      <c r="B14" s="2949" t="s">
        <v>3114</v>
      </c>
      <c r="C14" s="2949" t="s">
        <v>3115</v>
      </c>
      <c r="D14" s="2949" t="s">
        <v>3116</v>
      </c>
      <c r="E14" s="2949" t="s">
        <v>1331</v>
      </c>
      <c r="F14" s="2949" t="s">
        <v>3177</v>
      </c>
      <c r="G14" s="2949" t="s">
        <v>3139</v>
      </c>
      <c r="H14" s="2949" t="s">
        <v>3178</v>
      </c>
      <c r="I14" s="2949" t="s">
        <v>3115</v>
      </c>
      <c r="J14" s="2949">
        <v>6666.65</v>
      </c>
      <c r="K14" s="2949">
        <v>4666.66</v>
      </c>
      <c r="L14" s="2949" t="s">
        <v>3169</v>
      </c>
      <c r="M14" s="2949" t="s">
        <v>1331</v>
      </c>
      <c r="N14" s="2949" t="s">
        <v>3136</v>
      </c>
      <c r="O14" s="2949" t="s">
        <v>3161</v>
      </c>
      <c r="P14" s="2949" t="s">
        <v>1331</v>
      </c>
      <c r="Q14" s="2949" t="s">
        <v>1331</v>
      </c>
      <c r="R14" s="2949" t="s">
        <v>1331</v>
      </c>
      <c r="S14" s="2949" t="s">
        <v>1331</v>
      </c>
      <c r="T14" s="2949" t="s">
        <v>1331</v>
      </c>
      <c r="U14" s="2949" t="s">
        <v>1331</v>
      </c>
      <c r="V14" s="2949" t="s">
        <v>1331</v>
      </c>
      <c r="W14" s="2949" t="s">
        <v>3141</v>
      </c>
      <c r="X14" s="2949" t="s">
        <v>3179</v>
      </c>
      <c r="Y14" s="2949" t="s">
        <v>3180</v>
      </c>
      <c r="Z14" s="2949" t="s">
        <v>3181</v>
      </c>
      <c r="AA14" s="2949" t="s">
        <v>3181</v>
      </c>
      <c r="AB14" s="2949" t="s">
        <v>3182</v>
      </c>
      <c r="AC14" s="2949" t="s">
        <v>3126</v>
      </c>
      <c r="AD14" s="2949" t="s">
        <v>3183</v>
      </c>
      <c r="AE14" s="2949">
        <v>250</v>
      </c>
      <c r="AF14" s="2949">
        <v>430</v>
      </c>
      <c r="AG14" s="2949">
        <v>430</v>
      </c>
      <c r="AH14" s="2949">
        <v>43</v>
      </c>
      <c r="AI14" s="2949">
        <v>43</v>
      </c>
      <c r="AJ14" s="2949">
        <v>921.42</v>
      </c>
      <c r="AK14" s="2949">
        <v>921.42</v>
      </c>
      <c r="AL14" s="2949" t="s">
        <v>1331</v>
      </c>
      <c r="AM14" s="2949" t="s">
        <v>1331</v>
      </c>
      <c r="AN14" s="2949">
        <v>0</v>
      </c>
      <c r="AO14" s="2949" t="s">
        <v>3128</v>
      </c>
      <c r="AP14" s="2949" t="s">
        <v>1331</v>
      </c>
      <c r="AQ14" s="2949" t="s">
        <v>1331</v>
      </c>
      <c r="AR14" s="2949" t="s">
        <v>1331</v>
      </c>
      <c r="AS14" s="2949">
        <f t="shared" si="0"/>
        <v>645</v>
      </c>
    </row>
    <row r="15" spans="1:45" s="2949" customFormat="1" ht="13.2">
      <c r="A15" s="2949" t="s">
        <v>3184</v>
      </c>
      <c r="B15" s="2949" t="s">
        <v>3114</v>
      </c>
      <c r="C15" s="2949" t="s">
        <v>3115</v>
      </c>
      <c r="D15" s="2949" t="s">
        <v>3116</v>
      </c>
      <c r="E15" s="2949" t="s">
        <v>1331</v>
      </c>
      <c r="F15" s="2949" t="s">
        <v>3184</v>
      </c>
      <c r="G15" s="2949" t="s">
        <v>3139</v>
      </c>
      <c r="H15" s="2949" t="s">
        <v>3185</v>
      </c>
      <c r="I15" s="2949" t="s">
        <v>3115</v>
      </c>
      <c r="J15" s="2949">
        <v>15451</v>
      </c>
      <c r="K15" s="2949">
        <v>10815.7</v>
      </c>
      <c r="L15" s="2949" t="s">
        <v>3169</v>
      </c>
      <c r="M15" s="2949" t="s">
        <v>1331</v>
      </c>
      <c r="N15" s="2949" t="s">
        <v>3136</v>
      </c>
      <c r="O15" s="2949" t="s">
        <v>3186</v>
      </c>
      <c r="P15" s="2949" t="s">
        <v>1331</v>
      </c>
      <c r="Q15" s="2949" t="s">
        <v>1331</v>
      </c>
      <c r="R15" s="2949" t="s">
        <v>1331</v>
      </c>
      <c r="S15" s="2949" t="s">
        <v>1331</v>
      </c>
      <c r="T15" s="2949" t="s">
        <v>1331</v>
      </c>
      <c r="U15" s="2949" t="s">
        <v>1331</v>
      </c>
      <c r="V15" s="2949" t="s">
        <v>1331</v>
      </c>
      <c r="W15" s="2949" t="s">
        <v>3141</v>
      </c>
      <c r="X15" s="2949" t="s">
        <v>3179</v>
      </c>
      <c r="Y15" s="2949" t="s">
        <v>3180</v>
      </c>
      <c r="Z15" s="2949" t="s">
        <v>3181</v>
      </c>
      <c r="AA15" s="2949" t="s">
        <v>3181</v>
      </c>
      <c r="AB15" s="2949" t="s">
        <v>3182</v>
      </c>
      <c r="AC15" s="2949" t="s">
        <v>3126</v>
      </c>
      <c r="AD15" s="2949" t="s">
        <v>3187</v>
      </c>
      <c r="AE15" s="2949">
        <v>550</v>
      </c>
      <c r="AF15" s="2949">
        <v>1010</v>
      </c>
      <c r="AG15" s="2949">
        <v>1010</v>
      </c>
      <c r="AH15" s="2949">
        <v>43.58</v>
      </c>
      <c r="AI15" s="2949">
        <v>43.58</v>
      </c>
      <c r="AJ15" s="2949">
        <v>933.82</v>
      </c>
      <c r="AK15" s="2949">
        <v>933.83</v>
      </c>
      <c r="AL15" s="2949" t="s">
        <v>1331</v>
      </c>
      <c r="AM15" s="2949" t="s">
        <v>1331</v>
      </c>
      <c r="AN15" s="2949">
        <v>0</v>
      </c>
      <c r="AO15" s="2949" t="s">
        <v>3128</v>
      </c>
      <c r="AP15" s="2949" t="s">
        <v>1331</v>
      </c>
      <c r="AQ15" s="2949" t="s">
        <v>1331</v>
      </c>
      <c r="AR15" s="2949" t="s">
        <v>1331</v>
      </c>
      <c r="AS15" s="2949">
        <f t="shared" si="0"/>
        <v>654</v>
      </c>
    </row>
    <row r="16" spans="1:45" s="2949" customFormat="1" ht="13.2">
      <c r="A16" s="2949" t="s">
        <v>3188</v>
      </c>
      <c r="B16" s="2949" t="s">
        <v>3114</v>
      </c>
      <c r="C16" s="2949" t="s">
        <v>3115</v>
      </c>
      <c r="D16" s="2949" t="s">
        <v>3116</v>
      </c>
      <c r="E16" s="2949" t="s">
        <v>1331</v>
      </c>
      <c r="F16" s="2949" t="s">
        <v>3188</v>
      </c>
      <c r="G16" s="2949" t="s">
        <v>3139</v>
      </c>
      <c r="H16" s="2949" t="s">
        <v>3189</v>
      </c>
      <c r="I16" s="2949" t="s">
        <v>3115</v>
      </c>
      <c r="J16" s="2949">
        <v>77342.63</v>
      </c>
      <c r="K16" s="2949">
        <v>77342.63</v>
      </c>
      <c r="L16" s="2949" t="s">
        <v>3160</v>
      </c>
      <c r="M16" s="2949" t="s">
        <v>1331</v>
      </c>
      <c r="N16" s="2949" t="s">
        <v>3136</v>
      </c>
      <c r="O16" s="2949" t="s">
        <v>3121</v>
      </c>
      <c r="P16" s="2949" t="s">
        <v>1331</v>
      </c>
      <c r="Q16" s="2949" t="s">
        <v>1331</v>
      </c>
      <c r="R16" s="2949" t="s">
        <v>1331</v>
      </c>
      <c r="S16" s="2949" t="s">
        <v>1331</v>
      </c>
      <c r="T16" s="2949" t="s">
        <v>1331</v>
      </c>
      <c r="U16" s="2949" t="s">
        <v>1331</v>
      </c>
      <c r="V16" s="2949" t="s">
        <v>1331</v>
      </c>
      <c r="W16" s="2949" t="s">
        <v>3141</v>
      </c>
      <c r="X16" s="2949" t="s">
        <v>3179</v>
      </c>
      <c r="Y16" s="2949" t="s">
        <v>3180</v>
      </c>
      <c r="Z16" s="2949" t="s">
        <v>3181</v>
      </c>
      <c r="AA16" s="2949" t="s">
        <v>3181</v>
      </c>
      <c r="AB16" s="2949" t="s">
        <v>3182</v>
      </c>
      <c r="AC16" s="2949" t="s">
        <v>3126</v>
      </c>
      <c r="AD16" s="2949" t="s">
        <v>3190</v>
      </c>
      <c r="AE16" s="2949">
        <v>2600</v>
      </c>
      <c r="AF16" s="2949">
        <v>5120</v>
      </c>
      <c r="AG16" s="2949">
        <v>5120</v>
      </c>
      <c r="AH16" s="2949">
        <v>44.13</v>
      </c>
      <c r="AI16" s="2949">
        <v>44.13</v>
      </c>
      <c r="AJ16" s="2949">
        <v>661.98</v>
      </c>
      <c r="AK16" s="2949">
        <v>661.99</v>
      </c>
      <c r="AL16" s="2949" t="s">
        <v>1331</v>
      </c>
      <c r="AM16" s="2949" t="s">
        <v>1331</v>
      </c>
      <c r="AN16" s="2949">
        <v>0</v>
      </c>
      <c r="AO16" s="2949" t="s">
        <v>3128</v>
      </c>
      <c r="AP16" s="2949" t="s">
        <v>1331</v>
      </c>
      <c r="AQ16" s="2949" t="s">
        <v>1331</v>
      </c>
      <c r="AR16" s="2949" t="s">
        <v>1331</v>
      </c>
      <c r="AS16" s="2949">
        <f t="shared" si="0"/>
        <v>662</v>
      </c>
    </row>
  </sheetData>
  <phoneticPr fontId="14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3.2"/>
  <cols>
    <col min="1" max="1" width="9.77734375" style="2800" customWidth="1"/>
    <col min="2" max="2" width="19.21875" style="2906" customWidth="1"/>
    <col min="3" max="4" width="12" style="2724"/>
    <col min="5" max="5" width="14.6640625" style="2724" customWidth="1"/>
    <col min="6" max="8" width="12" style="2724"/>
    <col min="9" max="9" width="12.21875" style="2724" bestFit="1" customWidth="1"/>
    <col min="10" max="10" width="12" style="2724"/>
    <col min="11" max="11" width="8.109375" style="2792" customWidth="1"/>
    <col min="12" max="12" width="12" style="2724"/>
    <col min="13" max="13" width="8.44140625" style="2724" customWidth="1"/>
    <col min="14" max="14" width="9.77734375" style="2724" customWidth="1"/>
    <col min="15" max="25" width="12" style="2724"/>
    <col min="26" max="26" width="9.33203125" style="2800" customWidth="1"/>
    <col min="27" max="32" width="9.33203125" style="1375" customWidth="1"/>
    <col min="33" max="36" width="9.33203125" style="2800" customWidth="1"/>
    <col min="37" max="38" width="9.33203125" style="2724" customWidth="1"/>
    <col min="39" max="16384" width="12" style="2724"/>
  </cols>
  <sheetData>
    <row r="1" spans="1:36" ht="31.2">
      <c r="A1" s="240" t="s">
        <v>2802</v>
      </c>
      <c r="B1" s="241"/>
      <c r="C1" s="245" t="s">
        <v>2803</v>
      </c>
      <c r="D1" s="388">
        <f>SUM(D29:D30,D33:D39)</f>
        <v>0</v>
      </c>
      <c r="E1" s="2721"/>
      <c r="F1" s="2721"/>
      <c r="G1" s="2721"/>
      <c r="H1" s="2721"/>
      <c r="I1" s="2721"/>
      <c r="J1" s="2721"/>
      <c r="K1" s="1373"/>
      <c r="L1" s="2722" t="s">
        <v>2804</v>
      </c>
      <c r="M1" s="1083">
        <f>SUMPRODUCT((区片价!B5:B9=I2)*(区片价!C3:F3=E2)*(区片价!C5:F9))</f>
        <v>0</v>
      </c>
      <c r="N1" s="1086">
        <f>SUMPRODUCT((因素修正幅度!B5:B9=I2)*(因素修正幅度!C3:F3=E2)*(因素修正幅度!C5:F9))</f>
        <v>0</v>
      </c>
      <c r="O1" s="2723"/>
      <c r="P1" s="2723"/>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6">
      <c r="A2" s="245" t="s">
        <v>2810</v>
      </c>
      <c r="B2" s="248" t="e">
        <f>C26</f>
        <v>#DIV/0!</v>
      </c>
      <c r="C2" s="2725" t="s">
        <v>2811</v>
      </c>
      <c r="D2" s="2726" t="s">
        <v>2812</v>
      </c>
      <c r="E2" s="2727"/>
      <c r="F2" s="2726" t="s">
        <v>2813</v>
      </c>
      <c r="G2" s="2728">
        <f>IF(E2="商业",项目基本情况!B37,IF(E2="办公",项目基本情况!C37,IF(E2="住宅",项目基本情况!D37,项目基本情况!E37)))</f>
        <v>0</v>
      </c>
      <c r="H2" s="2726" t="s">
        <v>2814</v>
      </c>
      <c r="I2" s="2728">
        <f>IF(E2="商业",项目基本情况!B38,IF(E2="办公",项目基本情况!C38,IF(E2="住宅",项目基本情况!D38,项目基本情况!E38)))</f>
        <v>0</v>
      </c>
      <c r="J2" s="2729"/>
      <c r="K2" s="1373"/>
      <c r="L2" s="2730"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6">
      <c r="A3" s="247" t="s">
        <v>2816</v>
      </c>
      <c r="B3" s="248" t="e">
        <f>ROUND(B2*10000/D1,0)</f>
        <v>#DIV/0!</v>
      </c>
      <c r="C3" s="2725" t="s">
        <v>2817</v>
      </c>
      <c r="D3" s="2726" t="s">
        <v>2818</v>
      </c>
      <c r="E3" s="2731"/>
      <c r="F3" s="2732" t="s">
        <v>2819</v>
      </c>
      <c r="G3" s="916">
        <f>IF(F3="宗地容积率",'数据-汇总表'!I4,IF(F3="估价对象容积率",'数据-汇总表'!I6,'数据-汇总表'!I7))</f>
        <v>1.38</v>
      </c>
      <c r="H3" s="198" t="s">
        <v>2820</v>
      </c>
      <c r="I3" s="947"/>
      <c r="J3" s="2729" t="s">
        <v>2821</v>
      </c>
      <c r="K3" s="1373"/>
      <c r="L3" s="2730"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6">
      <c r="A4" s="3257"/>
      <c r="B4" s="3258"/>
      <c r="C4" s="3258"/>
      <c r="D4" s="3259"/>
      <c r="E4" s="3259"/>
      <c r="F4" s="3259"/>
      <c r="G4" s="3259"/>
      <c r="H4" s="3259"/>
      <c r="I4" s="3259"/>
      <c r="J4" s="3260"/>
      <c r="K4" s="1373"/>
      <c r="L4" s="2730"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6" thickBot="1">
      <c r="A5" s="2733" t="s">
        <v>807</v>
      </c>
      <c r="B5" s="2734" t="s">
        <v>2824</v>
      </c>
      <c r="C5" s="917" t="e">
        <f>ROUND(IF(E2="商业",IF(F16="增加",C6*C7+C16,C6*C7-C16),IF(E2="住宅",IF(F16="增加",C6*C12+C16,C6*C12-C16),IF(F16="增加",C6+C16,C6-C16))),0)</f>
        <v>#DIV/0!</v>
      </c>
      <c r="D5" s="1790">
        <f>ROUND(IF(E2="商业",IF(F16="增加",C6+C16,C6-C16)),0)</f>
        <v>0</v>
      </c>
      <c r="E5" s="2735"/>
      <c r="F5" s="2735"/>
      <c r="G5" s="2736"/>
      <c r="H5" s="2736"/>
      <c r="I5" s="2736"/>
      <c r="J5" s="2737"/>
      <c r="K5" s="2738"/>
      <c r="L5" s="2730"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6" thickBot="1">
      <c r="A6" s="2743" t="s">
        <v>2826</v>
      </c>
      <c r="B6" s="2744" t="s">
        <v>2827</v>
      </c>
      <c r="C6" s="918">
        <f>SUMIF(L1:L12,G2,M1:M12)</f>
        <v>0</v>
      </c>
      <c r="D6" s="2745" t="s">
        <v>2828</v>
      </c>
      <c r="E6" s="2746"/>
      <c r="F6" s="2746"/>
      <c r="G6" s="2747"/>
      <c r="H6" s="2747"/>
      <c r="I6" s="2747"/>
      <c r="J6" s="2748"/>
      <c r="K6" s="1845"/>
      <c r="L6" s="2730"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243" t="str">
        <f>IF(E2="商业",IF(C8="不临58条商业街","",2),"")</f>
        <v/>
      </c>
      <c r="B7" s="2749" t="s">
        <v>2830</v>
      </c>
      <c r="C7" s="919" t="e">
        <f>IF(C8="不临58条商业街",1,ROUND(1+(1.6*E8+1.2*E9+0.8*E10+0.4*E11)*C9,4))</f>
        <v>#DIV/0!</v>
      </c>
      <c r="D7" s="2750" t="s">
        <v>2831</v>
      </c>
      <c r="E7" s="948"/>
      <c r="F7" s="2751"/>
      <c r="G7" s="2752"/>
      <c r="H7" s="2752"/>
      <c r="I7" s="2752"/>
      <c r="J7" s="2753"/>
      <c r="K7" s="1845"/>
      <c r="L7" s="2730"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1.38</v>
      </c>
      <c r="AA7" s="1609"/>
      <c r="AB7" s="1609"/>
      <c r="AC7" s="1610"/>
      <c r="AD7" s="1611"/>
      <c r="AE7" s="1611"/>
      <c r="AF7" s="1611"/>
      <c r="AG7" s="1611"/>
      <c r="AH7" s="1611"/>
      <c r="AI7" s="1611"/>
      <c r="AJ7" s="1612"/>
    </row>
    <row r="8" spans="1:36" ht="15">
      <c r="A8" s="3244"/>
      <c r="B8" s="198" t="s">
        <v>2835</v>
      </c>
      <c r="C8" s="2754"/>
      <c r="D8" s="920" t="s">
        <v>139</v>
      </c>
      <c r="E8" s="921" t="e">
        <f>ROUND(C11/E7,4)</f>
        <v>#DIV/0!</v>
      </c>
      <c r="F8" s="2755" t="s">
        <v>2836</v>
      </c>
      <c r="G8" s="2756"/>
      <c r="H8" s="2756"/>
      <c r="I8" s="2756"/>
      <c r="J8" s="2757"/>
      <c r="K8" s="1373"/>
      <c r="L8" s="2730"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4" t="s">
        <v>2838</v>
      </c>
      <c r="X8" s="3255"/>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244"/>
      <c r="B9" s="198" t="s">
        <v>2851</v>
      </c>
      <c r="C9" s="922">
        <f>SUMIF(修正!C59:C119,C8,修正!E59:E119)</f>
        <v>0</v>
      </c>
      <c r="D9" s="200" t="s">
        <v>140</v>
      </c>
      <c r="E9" s="200" t="e">
        <f>ROUND(C11/E7,4)</f>
        <v>#DIV/0!</v>
      </c>
      <c r="F9" s="2755" t="s">
        <v>2852</v>
      </c>
      <c r="G9" s="2756"/>
      <c r="H9" s="2756"/>
      <c r="I9" s="2756"/>
      <c r="J9" s="2757"/>
      <c r="K9" s="1373"/>
      <c r="L9" s="2730"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6"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44"/>
      <c r="B10" s="198" t="s">
        <v>2856</v>
      </c>
      <c r="C10" s="200">
        <f>SUMIF(修正!C59:C119,C8,修正!F59:F119)</f>
        <v>0</v>
      </c>
      <c r="D10" s="200" t="s">
        <v>141</v>
      </c>
      <c r="E10" s="200" t="e">
        <f>ROUND(C11/E7,4)</f>
        <v>#DIV/0!</v>
      </c>
      <c r="F10" s="2755" t="s">
        <v>2857</v>
      </c>
      <c r="G10" s="2756"/>
      <c r="H10" s="2756"/>
      <c r="I10" s="2756"/>
      <c r="J10" s="2757"/>
      <c r="K10" s="1373"/>
      <c r="L10" s="2730"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6"/>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6" thickBot="1">
      <c r="A11" s="3244"/>
      <c r="B11" s="2758" t="s">
        <v>2859</v>
      </c>
      <c r="C11" s="923">
        <f>C10/4</f>
        <v>0</v>
      </c>
      <c r="D11" s="923" t="s">
        <v>142</v>
      </c>
      <c r="E11" s="923" t="e">
        <f>ROUND(C11/E7,4)</f>
        <v>#DIV/0!</v>
      </c>
      <c r="F11" s="2759" t="s">
        <v>2860</v>
      </c>
      <c r="G11" s="2760"/>
      <c r="H11" s="2760"/>
      <c r="I11" s="2760"/>
      <c r="J11" s="2761"/>
      <c r="K11" s="1373"/>
      <c r="L11" s="2730"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6" t="s">
        <v>2862</v>
      </c>
      <c r="X11" s="1617" t="s">
        <v>2863</v>
      </c>
      <c r="Y11" s="1618">
        <f>$G$3</f>
        <v>1.38</v>
      </c>
      <c r="Z11" s="1618">
        <f t="shared" ref="Z11:AJ11" si="3">$G$3</f>
        <v>1.38</v>
      </c>
      <c r="AA11" s="1618">
        <f t="shared" si="3"/>
        <v>1.38</v>
      </c>
      <c r="AB11" s="1618">
        <f t="shared" si="3"/>
        <v>1.38</v>
      </c>
      <c r="AC11" s="1618">
        <f t="shared" si="3"/>
        <v>1.38</v>
      </c>
      <c r="AD11" s="1618">
        <f t="shared" si="3"/>
        <v>1.38</v>
      </c>
      <c r="AE11" s="1618">
        <f t="shared" si="3"/>
        <v>1.38</v>
      </c>
      <c r="AF11" s="1618">
        <f t="shared" si="3"/>
        <v>1.38</v>
      </c>
      <c r="AG11" s="1618">
        <f t="shared" si="3"/>
        <v>1.38</v>
      </c>
      <c r="AH11" s="1618">
        <f t="shared" si="3"/>
        <v>1.38</v>
      </c>
      <c r="AI11" s="1618">
        <f t="shared" si="3"/>
        <v>1.38</v>
      </c>
      <c r="AJ11" s="1618">
        <f t="shared" si="3"/>
        <v>1.38</v>
      </c>
    </row>
    <row r="12" spans="1:36" ht="25.8" thickBot="1">
      <c r="A12" s="3243" t="s">
        <v>2864</v>
      </c>
      <c r="B12" s="2762" t="s">
        <v>2865</v>
      </c>
      <c r="C12" s="919">
        <f>ROUND(C15*D15*E15*F15*G15*H15*I15*J15,4)</f>
        <v>1</v>
      </c>
      <c r="D12" s="2763" t="s">
        <v>2866</v>
      </c>
      <c r="E12" s="2764"/>
      <c r="F12" s="2764"/>
      <c r="G12" s="2765"/>
      <c r="H12" s="2765"/>
      <c r="I12" s="2765"/>
      <c r="J12" s="2766"/>
      <c r="K12" s="1373"/>
      <c r="L12" s="2767"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6"/>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1"/>
      <c r="B13" s="2768" t="s">
        <v>2869</v>
      </c>
      <c r="C13" s="2769" t="s">
        <v>2870</v>
      </c>
      <c r="D13" s="1811" t="s">
        <v>2871</v>
      </c>
      <c r="E13" s="1811" t="s">
        <v>2872</v>
      </c>
      <c r="F13" s="30" t="s">
        <v>2873</v>
      </c>
      <c r="G13" s="2770" t="s">
        <v>2874</v>
      </c>
      <c r="H13" s="2770" t="s">
        <v>2874</v>
      </c>
      <c r="I13" s="2770" t="s">
        <v>2874</v>
      </c>
      <c r="J13" s="2771" t="s">
        <v>2874</v>
      </c>
      <c r="K13" s="1373"/>
      <c r="L13" s="1373"/>
      <c r="M13" s="1373"/>
      <c r="N13" s="1373"/>
      <c r="O13" s="1373"/>
      <c r="P13" s="1373"/>
      <c r="Q13" s="1373"/>
      <c r="R13" s="1605">
        <v>12</v>
      </c>
      <c r="S13" s="1606"/>
      <c r="T13" s="1605" t="e">
        <f t="shared" si="0"/>
        <v>#DIV/0!</v>
      </c>
      <c r="U13" s="1606"/>
      <c r="V13" s="1605" t="e">
        <f t="shared" si="1"/>
        <v>#DIV/0!</v>
      </c>
      <c r="W13" s="3256"/>
      <c r="X13" s="1619"/>
      <c r="Y13" s="1616">
        <f>(-0.163*(Y12^2)-0.59*Y12+7617)*(10^(-4))/Y11</f>
        <v>0.55195652173913046</v>
      </c>
      <c r="Z13" s="1616">
        <f t="shared" ref="Z13:AJ13" si="5">(-0.163*(Z12^2)-0.59*Z12+7617)*(10^(-4))/Z11</f>
        <v>0.55195652173913046</v>
      </c>
      <c r="AA13" s="1616">
        <f t="shared" si="5"/>
        <v>0.55195652173913046</v>
      </c>
      <c r="AB13" s="1616">
        <f t="shared" si="5"/>
        <v>0.55195652173913046</v>
      </c>
      <c r="AC13" s="1616">
        <f t="shared" si="5"/>
        <v>0.55195652173913046</v>
      </c>
      <c r="AD13" s="1616">
        <f t="shared" si="5"/>
        <v>0.55195652173913046</v>
      </c>
      <c r="AE13" s="1616">
        <f t="shared" si="5"/>
        <v>0.55195652173913046</v>
      </c>
      <c r="AF13" s="1616">
        <f t="shared" si="5"/>
        <v>0.55195652173913046</v>
      </c>
      <c r="AG13" s="1616">
        <f t="shared" si="5"/>
        <v>0.55195652173913046</v>
      </c>
      <c r="AH13" s="1616">
        <f t="shared" si="5"/>
        <v>0.55195652173913046</v>
      </c>
      <c r="AI13" s="1616">
        <f t="shared" si="5"/>
        <v>0.55195652173913046</v>
      </c>
      <c r="AJ13" s="1616">
        <f t="shared" si="5"/>
        <v>0.55195652173913046</v>
      </c>
    </row>
    <row r="14" spans="1:36" ht="15">
      <c r="A14" s="3261"/>
      <c r="B14" s="2772"/>
      <c r="C14" s="2773"/>
      <c r="D14" s="2774"/>
      <c r="E14" s="2774"/>
      <c r="F14" s="2775"/>
      <c r="G14" s="2776" t="s">
        <v>2875</v>
      </c>
      <c r="H14" s="2777"/>
      <c r="I14" s="2778"/>
      <c r="J14" s="2779"/>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6" thickBot="1">
      <c r="A15" s="3262"/>
      <c r="B15" s="2780" t="s">
        <v>2876</v>
      </c>
      <c r="C15" s="229">
        <f>IF(C14="有",1.1,1)</f>
        <v>1</v>
      </c>
      <c r="D15" s="229">
        <f>IF(D14="有",1.1,1)</f>
        <v>1</v>
      </c>
      <c r="E15" s="229">
        <f>IF(E14="有",1.1,1)</f>
        <v>1</v>
      </c>
      <c r="F15" s="229">
        <f>IF(F14="500米范围内",1.2,IF(F14="500-1000米",1.1,1))</f>
        <v>1</v>
      </c>
      <c r="G15" s="949">
        <v>1</v>
      </c>
      <c r="H15" s="949">
        <v>1</v>
      </c>
      <c r="I15" s="949">
        <v>1</v>
      </c>
      <c r="J15" s="950">
        <v>1</v>
      </c>
      <c r="K15" s="1373"/>
      <c r="L15" s="2781" t="s">
        <v>2812</v>
      </c>
      <c r="M15" s="920" t="s">
        <v>2877</v>
      </c>
      <c r="N15" s="920" t="s">
        <v>2878</v>
      </c>
      <c r="O15" s="920" t="s">
        <v>2879</v>
      </c>
      <c r="P15" s="2782"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43" t="s">
        <v>2881</v>
      </c>
      <c r="B16" s="2749" t="s">
        <v>2882</v>
      </c>
      <c r="C16" s="1804" t="e">
        <f>ROUND(SUM(G17:J17)/C17,0)</f>
        <v>#DIV/0!</v>
      </c>
      <c r="D16" s="2783" t="s">
        <v>2883</v>
      </c>
      <c r="E16" s="2784"/>
      <c r="F16" s="2785"/>
      <c r="G16" s="2786"/>
      <c r="H16" s="2786"/>
      <c r="I16" s="2786"/>
      <c r="J16" s="2787"/>
      <c r="K16" s="1373"/>
      <c r="L16" s="2788"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24.6" thickBot="1">
      <c r="A17" s="3244"/>
      <c r="B17" s="2789" t="s">
        <v>2885</v>
      </c>
      <c r="C17" s="924">
        <f>SUMPRODUCT((修正!A2:A5=E2)*(修正!B1:M1=G2)*(修正!B2:M5))</f>
        <v>0</v>
      </c>
      <c r="D17" s="2790"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 thickBot="1">
      <c r="A18" s="2793" t="s">
        <v>808</v>
      </c>
      <c r="B18" s="2794" t="s">
        <v>2889</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4" thickBot="1">
      <c r="A19" s="2793" t="s">
        <v>809</v>
      </c>
      <c r="B19" s="2794" t="s">
        <v>2890</v>
      </c>
      <c r="C19" s="927" t="e">
        <f>ROUND(IF(H19="按公示增长率计算",SUMPRODUCT((地价!A3:A23=YEAR(G19)&amp;"-"&amp;ROUNDUP(MONTH(G19)/3,0))*(地价!X2:AB2=E2)*(地价!X3:AB23)),IF(H19="地价指数",M20/M19,(1+I19)^O19)),4)</f>
        <v>#DIV/0!</v>
      </c>
      <c r="D19" s="2801" t="s">
        <v>2891</v>
      </c>
      <c r="E19" s="928">
        <v>41640</v>
      </c>
      <c r="F19" s="2801" t="s">
        <v>2892</v>
      </c>
      <c r="G19" s="929">
        <f>'数据-取费表'!B2</f>
        <v>43339</v>
      </c>
      <c r="H19" s="2802" t="s">
        <v>2893</v>
      </c>
      <c r="I19" s="930" t="str">
        <f>IF(H19="季度增幅（自定义）",SUMIF(N21:N24,E2,O21:O24),"")</f>
        <v/>
      </c>
      <c r="J19" s="2799"/>
      <c r="K19" s="1380"/>
      <c r="L19" s="2803" t="s">
        <v>2894</v>
      </c>
      <c r="M19" s="1737">
        <f>ROUND(SUMIF(地价!B2:F2,E2,地价!B23:F23),0)</f>
        <v>0</v>
      </c>
      <c r="N19" s="2804" t="s">
        <v>2895</v>
      </c>
      <c r="O19" s="931">
        <f>ROUNDDOWN(DATEDIF(E19,G19,"M")/3,0)</f>
        <v>18</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9.4" thickBot="1">
      <c r="A20" s="2808" t="s">
        <v>810</v>
      </c>
      <c r="B20" s="2809" t="s">
        <v>2896</v>
      </c>
      <c r="C20" s="932" t="e">
        <f>ROUND(POWER(1+G20,J20-I20)*(POWER(1+G20,I20)-1)/(POWER(1+G20,J20)-1),4)</f>
        <v>#DIV/0!</v>
      </c>
      <c r="D20" s="2810" t="s">
        <v>2897</v>
      </c>
      <c r="E20" s="1771">
        <f ca="1">存贷款利率!D4/100</f>
        <v>4.3499999999999997E-2</v>
      </c>
      <c r="F20" s="2810" t="s">
        <v>2888</v>
      </c>
      <c r="G20" s="937">
        <f>SUMIF(M15:P15,E2,M17:P17)</f>
        <v>0</v>
      </c>
      <c r="H20" s="2810" t="s">
        <v>2898</v>
      </c>
      <c r="I20" s="938" t="e">
        <f>SUMIF('数据-取费表'!C6:C15,E2,'数据-取费表'!F6:F15)/COUNTIF('数据-取费表'!C6:C15,E2)</f>
        <v>#DIV/0!</v>
      </c>
      <c r="J20" s="939">
        <f>IF(E2="住宅",70,IF(E2="商业",40,50))</f>
        <v>50</v>
      </c>
      <c r="K20" s="1380"/>
      <c r="L20" s="2811" t="s">
        <v>2899</v>
      </c>
      <c r="M20" s="1738">
        <f>ROUND(SUMPRODUCT((地价!A4:A23=YEAR(G19)&amp;"-"&amp;ROUNDUP(MONTH(G19)/3,0))*(地价!B2:F2=E2)*(地价!B4:F23)),0)</f>
        <v>0</v>
      </c>
      <c r="N20" s="2812" t="s">
        <v>2900</v>
      </c>
      <c r="O20" s="2813" t="s">
        <v>2901</v>
      </c>
      <c r="P20" s="2814" t="s">
        <v>2902</v>
      </c>
      <c r="R20" s="1379"/>
      <c r="S20" s="1379"/>
      <c r="T20" s="1374"/>
      <c r="U20" s="1374"/>
      <c r="V20" s="1374"/>
      <c r="W20" s="1373"/>
      <c r="X20" s="1373"/>
      <c r="Y20" s="1373"/>
      <c r="Z20" s="1380"/>
      <c r="AA20" s="1381"/>
      <c r="AB20" s="1381"/>
      <c r="AC20" s="1381"/>
      <c r="AD20" s="1381"/>
      <c r="AE20" s="1381"/>
      <c r="AF20" s="1381"/>
    </row>
    <row r="21" spans="1:37" s="2742" customFormat="1" ht="14.4">
      <c r="A21" s="2815" t="s">
        <v>811</v>
      </c>
      <c r="B21" s="2816" t="s">
        <v>2903</v>
      </c>
      <c r="C21" s="940">
        <f>IF(B21="容积率修正",IF(G3&lt;=10,D22,J22),C23)</f>
        <v>0</v>
      </c>
      <c r="D21" s="2817"/>
      <c r="E21" s="2817"/>
      <c r="F21" s="2817"/>
      <c r="G21" s="2817"/>
      <c r="H21" s="2817"/>
      <c r="I21" s="2817"/>
      <c r="J21" s="2818"/>
      <c r="K21" s="1380"/>
      <c r="N21" s="2819" t="s">
        <v>2904</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2" customFormat="1" ht="14.4">
      <c r="A22" s="2668" t="s">
        <v>2905</v>
      </c>
      <c r="B22" s="2820" t="s">
        <v>2906</v>
      </c>
      <c r="C22" s="1813" t="s">
        <v>2907</v>
      </c>
      <c r="D22" s="1813">
        <f>IF(E22=G22,F22,IF(G3&lt;=10,ROUND(F22+(H22-F22)*(G3-E22)/(G22-E22),4),"——"))</f>
        <v>0</v>
      </c>
      <c r="E22" s="916">
        <f>ROUNDDOWN(G3,1)</f>
        <v>1.3</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1.4000000000000001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9" t="s">
        <v>2908</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9.4" thickBot="1">
      <c r="A23" s="2668" t="s">
        <v>2909</v>
      </c>
      <c r="B23" s="2821" t="s">
        <v>2910</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2911</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800"/>
    </row>
    <row r="24" spans="1:37" s="2742" customFormat="1" ht="15" thickBot="1">
      <c r="A24" s="2808" t="s">
        <v>812</v>
      </c>
      <c r="B24" s="2794" t="s">
        <v>2912</v>
      </c>
      <c r="C24" s="927">
        <f>SUMIF(A45:A88,E2,B45:B88)</f>
        <v>0</v>
      </c>
      <c r="D24" s="2797"/>
      <c r="E24" s="2827"/>
      <c r="F24" s="2827"/>
      <c r="G24" s="2827"/>
      <c r="H24" s="2827"/>
      <c r="I24" s="2827"/>
      <c r="J24" s="2828"/>
      <c r="K24" s="1380"/>
      <c r="N24" s="2829" t="s">
        <v>2913</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 thickBot="1">
      <c r="A25" s="2808" t="s">
        <v>813</v>
      </c>
      <c r="B25" s="2830" t="s">
        <v>2914</v>
      </c>
      <c r="C25" s="933"/>
      <c r="D25" s="2752"/>
      <c r="E25" s="2752"/>
      <c r="F25" s="2831"/>
      <c r="G25" s="2752"/>
      <c r="H25" s="2752"/>
      <c r="I25" s="2752"/>
      <c r="J25" s="2753"/>
      <c r="K25" s="1373"/>
      <c r="N25" s="2832" t="s">
        <v>2915</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4.4">
      <c r="A26" s="2833"/>
      <c r="B26" s="2820" t="s">
        <v>2916</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 thickBot="1">
      <c r="A27" s="2833"/>
      <c r="B27" s="2837" t="s">
        <v>2917</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4.4">
      <c r="A28" s="2842"/>
      <c r="B28" s="2843" t="s">
        <v>2918</v>
      </c>
      <c r="C28" s="2844" t="s">
        <v>2919</v>
      </c>
      <c r="D28" s="2844" t="s">
        <v>2920</v>
      </c>
      <c r="E28" s="2845" t="s">
        <v>2921</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2922</v>
      </c>
      <c r="C29" s="206" t="e">
        <f>ROUND(C5*C18*C19*C20*C21*C24,0)</f>
        <v>#DIV/0!</v>
      </c>
      <c r="D29" s="2849"/>
      <c r="E29" s="945" t="e">
        <f>ROUND(C29*D29/10000,0)</f>
        <v>#DIV/0!</v>
      </c>
      <c r="F29" s="2850" t="s">
        <v>2923</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8" thickBot="1">
      <c r="A30" s="2853"/>
      <c r="B30" s="2854" t="s">
        <v>2924</v>
      </c>
      <c r="C30" s="229" t="e">
        <f>ROUND(IF(E2="工业",C29*M39,C29*M38),0)</f>
        <v>#DIV/0!</v>
      </c>
      <c r="D30" s="2855"/>
      <c r="E30" s="945" t="e">
        <f>ROUND(C30*D30/10000,0)</f>
        <v>#DIV/0!</v>
      </c>
      <c r="F30" s="2856" t="s">
        <v>2925</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3.8">
      <c r="A31" s="2859"/>
      <c r="B31" s="2860" t="s">
        <v>2926</v>
      </c>
      <c r="C31" s="2861" t="s">
        <v>2927</v>
      </c>
      <c r="D31" s="2765"/>
      <c r="E31" s="2861"/>
      <c r="F31" s="2861"/>
      <c r="G31" s="2763" t="s">
        <v>2928</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36">
      <c r="A32" s="2847"/>
      <c r="B32" s="2863"/>
      <c r="C32" s="501" t="s">
        <v>2919</v>
      </c>
      <c r="D32" s="498" t="s">
        <v>2920</v>
      </c>
      <c r="E32" s="498" t="s">
        <v>2921</v>
      </c>
      <c r="F32" s="388" t="s">
        <v>2929</v>
      </c>
      <c r="G32" s="2864" t="s">
        <v>2919</v>
      </c>
      <c r="H32" s="2864" t="s">
        <v>2920</v>
      </c>
      <c r="I32" s="2864"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51" t="s">
        <v>2930</v>
      </c>
      <c r="B33" s="2865" t="s">
        <v>2931</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3.8">
      <c r="A34" s="3252"/>
      <c r="B34" s="2769" t="s">
        <v>2932</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2"/>
      <c r="B35" s="2769" t="s">
        <v>2933</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8" thickBot="1">
      <c r="A36" s="3253"/>
      <c r="B36" s="2769" t="s">
        <v>2934</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2935</v>
      </c>
      <c r="C37" s="200" t="e">
        <f>ROUND(C5*C19*C20*C24*F37,0)</f>
        <v>#DIV/0!</v>
      </c>
      <c r="D37" s="2849"/>
      <c r="E37" s="200" t="e">
        <f t="shared" si="7"/>
        <v>#DIV/0!</v>
      </c>
      <c r="F37" s="206">
        <f>SUMIF(修正!A45:A56,G2,修正!F45:F56)</f>
        <v>0</v>
      </c>
      <c r="G37" s="200" t="e">
        <f>ROUND(IF(E2="工业",C37*$M$39,C37*$M$38),0)</f>
        <v>#DIV/0!</v>
      </c>
      <c r="H37" s="200">
        <f t="shared" si="8"/>
        <v>0</v>
      </c>
      <c r="I37" s="200" t="e">
        <f t="shared" si="9"/>
        <v>#DIV/0!</v>
      </c>
      <c r="J37" s="2866"/>
      <c r="K37" s="1373"/>
      <c r="L37" s="2868" t="s">
        <v>2936</v>
      </c>
      <c r="M37" s="2869"/>
      <c r="N37" s="1373"/>
      <c r="O37" s="1373"/>
      <c r="P37" s="1373"/>
      <c r="Q37" s="1373"/>
      <c r="R37" s="1373"/>
      <c r="S37" s="1373"/>
      <c r="T37" s="1373"/>
      <c r="U37" s="1373"/>
      <c r="V37" s="1373"/>
      <c r="W37" s="1373"/>
      <c r="X37" s="1373"/>
      <c r="Y37" s="1373"/>
      <c r="Z37" s="1374"/>
    </row>
    <row r="38" spans="1:37">
      <c r="A38" s="2867"/>
      <c r="B38" s="2769" t="s">
        <v>2937</v>
      </c>
      <c r="C38" s="200" t="e">
        <f>ROUND(C5*C19*C20*C24*F38,0)</f>
        <v>#DIV/0!</v>
      </c>
      <c r="D38" s="2849"/>
      <c r="E38" s="200" t="e">
        <f t="shared" si="7"/>
        <v>#DIV/0!</v>
      </c>
      <c r="F38" s="206">
        <f>SUMIF(修正!A45:A56,G2,修正!G45:G56)</f>
        <v>0</v>
      </c>
      <c r="G38" s="200" t="e">
        <f>ROUND(IF(E2="工业",C38*$M$39,C38*$M$38),0)</f>
        <v>#DIV/0!</v>
      </c>
      <c r="H38" s="200">
        <f t="shared" si="8"/>
        <v>0</v>
      </c>
      <c r="I38" s="200" t="e">
        <f t="shared" si="9"/>
        <v>#DIV/0!</v>
      </c>
      <c r="J38" s="2866"/>
      <c r="K38" s="1373"/>
      <c r="L38" s="1890" t="s">
        <v>2938</v>
      </c>
      <c r="M38" s="2870">
        <v>0.25</v>
      </c>
      <c r="N38" s="1373"/>
      <c r="O38" s="1373"/>
      <c r="P38" s="1373"/>
      <c r="Q38" s="1373"/>
      <c r="R38" s="1373"/>
      <c r="S38" s="1373"/>
      <c r="T38" s="1373"/>
      <c r="U38" s="1373"/>
      <c r="V38" s="1373"/>
      <c r="W38" s="1373"/>
      <c r="X38" s="1373"/>
      <c r="Y38" s="1373"/>
      <c r="Z38" s="1374"/>
    </row>
    <row r="39" spans="1:37" ht="13.8" thickBot="1">
      <c r="A39" s="2853"/>
      <c r="B39" s="2871" t="s">
        <v>2939</v>
      </c>
      <c r="C39" s="229" t="e">
        <f>ROUND(C5*C19*C20*C24*F39,0)</f>
        <v>#DIV/0!</v>
      </c>
      <c r="D39" s="2855"/>
      <c r="E39" s="229" t="e">
        <f t="shared" si="7"/>
        <v>#DIV/0!</v>
      </c>
      <c r="F39" s="935">
        <f>SUMIF(修正!A45:A56,G2,修正!H45:H56)</f>
        <v>0</v>
      </c>
      <c r="G39" s="229" t="e">
        <f>ROUND(IF(E2="工业",C39*$M$39,C39*$M$38),0)</f>
        <v>#DIV/0!</v>
      </c>
      <c r="H39" s="229">
        <f t="shared" si="8"/>
        <v>0</v>
      </c>
      <c r="I39" s="229" t="e">
        <f t="shared" si="9"/>
        <v>#DIV/0!</v>
      </c>
      <c r="J39" s="2872"/>
      <c r="K39" s="1373"/>
      <c r="L39" s="2873" t="s">
        <v>2880</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 thickBot="1">
      <c r="A45" s="2876" t="s">
        <v>2940</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4.4">
      <c r="A46" s="2878" t="s">
        <v>2941</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5.2">
      <c r="A47" s="2882" t="s">
        <v>2942</v>
      </c>
      <c r="B47" s="1812" t="s">
        <v>2943</v>
      </c>
      <c r="C47" s="1812" t="s">
        <v>2944</v>
      </c>
      <c r="D47" s="1812" t="s">
        <v>2945</v>
      </c>
      <c r="E47" s="819" t="s">
        <v>2946</v>
      </c>
      <c r="F47" s="2883" t="s">
        <v>2947</v>
      </c>
      <c r="G47" s="1812" t="s">
        <v>754</v>
      </c>
      <c r="H47" s="2884" t="s">
        <v>2948</v>
      </c>
      <c r="I47" s="1812" t="s">
        <v>2949</v>
      </c>
      <c r="J47" s="603" t="s">
        <v>2597</v>
      </c>
      <c r="K47" s="603" t="s">
        <v>2598</v>
      </c>
      <c r="L47" s="603" t="s">
        <v>2599</v>
      </c>
      <c r="M47" s="603" t="s">
        <v>2600</v>
      </c>
      <c r="N47" s="603" t="s">
        <v>2601</v>
      </c>
      <c r="AA47" s="1374"/>
      <c r="AB47" s="1374"/>
      <c r="AC47" s="1374"/>
      <c r="AD47" s="1374"/>
      <c r="AE47" s="1374"/>
      <c r="AF47" s="1374"/>
      <c r="AG47" s="1374"/>
      <c r="AH47" s="1374"/>
      <c r="AI47" s="1374"/>
      <c r="AJ47" s="1374"/>
      <c r="AK47" s="1374"/>
    </row>
    <row r="48" spans="1:37" s="1373" customFormat="1" ht="52.8">
      <c r="A48" s="2882" t="s">
        <v>2950</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66">
      <c r="A49" s="2882" t="s">
        <v>2951</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2952</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50.4">
      <c r="A51" s="2882" t="s">
        <v>2953</v>
      </c>
      <c r="B51" s="2887" t="s">
        <v>2954</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2955</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36">
      <c r="A53" s="2882" t="s">
        <v>2956</v>
      </c>
      <c r="B53" s="2888" t="s">
        <v>2957</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6.4">
      <c r="A54" s="2889" t="s">
        <v>2958</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6.4">
      <c r="A55" s="2889" t="s">
        <v>2959</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40.200000000000003" thickBot="1">
      <c r="A56" s="2890" t="s">
        <v>2960</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4.4">
      <c r="A57" s="2878" t="s">
        <v>2961</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5.2">
      <c r="A58" s="2882" t="s">
        <v>2942</v>
      </c>
      <c r="B58" s="1812"/>
      <c r="C58" s="1812" t="s">
        <v>2944</v>
      </c>
      <c r="D58" s="1812" t="s">
        <v>2945</v>
      </c>
      <c r="E58" s="819" t="s">
        <v>2946</v>
      </c>
      <c r="F58" s="2883" t="s">
        <v>2962</v>
      </c>
      <c r="G58" s="1812" t="s">
        <v>754</v>
      </c>
      <c r="H58" s="2884" t="s">
        <v>2948</v>
      </c>
      <c r="I58" s="1812" t="s">
        <v>2949</v>
      </c>
      <c r="J58" s="603" t="s">
        <v>2597</v>
      </c>
      <c r="K58" s="603" t="s">
        <v>2598</v>
      </c>
      <c r="L58" s="603" t="s">
        <v>2599</v>
      </c>
      <c r="M58" s="603" t="s">
        <v>2600</v>
      </c>
      <c r="N58" s="603" t="s">
        <v>2601</v>
      </c>
      <c r="AA58" s="1374"/>
      <c r="AB58" s="1374"/>
      <c r="AC58" s="1374"/>
      <c r="AD58" s="1374"/>
      <c r="AE58" s="1374"/>
      <c r="AF58" s="1374"/>
      <c r="AG58" s="1374"/>
      <c r="AH58" s="1374"/>
      <c r="AI58" s="1374"/>
      <c r="AJ58" s="1374"/>
      <c r="AK58" s="1374"/>
    </row>
    <row r="59" spans="1:37" s="1373" customFormat="1" ht="52.8">
      <c r="A59" s="2882" t="s">
        <v>2963</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66">
      <c r="A60" s="2882" t="s">
        <v>2951</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2952</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50.4">
      <c r="A62" s="2882" t="s">
        <v>2953</v>
      </c>
      <c r="B62" s="2887" t="s">
        <v>2954</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2955</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36">
      <c r="A64" s="2882" t="s">
        <v>2956</v>
      </c>
      <c r="B64" s="2888" t="s">
        <v>2957</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6.4">
      <c r="A65" s="2882" t="s">
        <v>2958</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6.4">
      <c r="A66" s="2882" t="s">
        <v>2959</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40.200000000000003" thickBot="1">
      <c r="A67" s="2890" t="s">
        <v>2960</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4.4">
      <c r="A68" s="2878" t="s">
        <v>2964</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5.2">
      <c r="A69" s="2882" t="s">
        <v>2942</v>
      </c>
      <c r="B69" s="1812"/>
      <c r="C69" s="1812" t="s">
        <v>2944</v>
      </c>
      <c r="D69" s="1812" t="s">
        <v>2945</v>
      </c>
      <c r="E69" s="819" t="s">
        <v>2946</v>
      </c>
      <c r="F69" s="2883" t="s">
        <v>2962</v>
      </c>
      <c r="G69" s="1812" t="s">
        <v>754</v>
      </c>
      <c r="H69" s="2884" t="s">
        <v>2948</v>
      </c>
      <c r="I69" s="1812" t="s">
        <v>2949</v>
      </c>
      <c r="J69" s="603" t="s">
        <v>2597</v>
      </c>
      <c r="K69" s="603" t="s">
        <v>2598</v>
      </c>
      <c r="L69" s="603" t="s">
        <v>2599</v>
      </c>
      <c r="M69" s="603" t="s">
        <v>2600</v>
      </c>
      <c r="N69" s="603" t="s">
        <v>2601</v>
      </c>
      <c r="AA69" s="1374"/>
      <c r="AB69" s="1374"/>
      <c r="AC69" s="1374"/>
      <c r="AD69" s="1374"/>
      <c r="AE69" s="1374"/>
      <c r="AF69" s="1374"/>
      <c r="AG69" s="1374"/>
      <c r="AH69" s="1374"/>
      <c r="AI69" s="1374"/>
      <c r="AJ69" s="1374"/>
      <c r="AK69" s="1374"/>
    </row>
    <row r="70" spans="1:37" s="1373" customFormat="1" ht="66">
      <c r="A70" s="2882" t="s">
        <v>2965</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66">
      <c r="A71" s="2882" t="s">
        <v>2951</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2952</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3.8">
      <c r="A73" s="2882" t="s">
        <v>2966</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6.4">
      <c r="A74" s="2882" t="s">
        <v>2958</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6.4">
      <c r="A75" s="2882" t="s">
        <v>2959</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36">
      <c r="A76" s="2882" t="s">
        <v>2956</v>
      </c>
      <c r="B76" s="2888" t="s">
        <v>2957</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9.6">
      <c r="A77" s="2882" t="s">
        <v>2960</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36.6" thickBot="1">
      <c r="A78" s="2890" t="s">
        <v>2967</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4.4">
      <c r="A79" s="2878" t="s">
        <v>2968</v>
      </c>
      <c r="B79" s="2879">
        <f>1+E81</f>
        <v>1</v>
      </c>
      <c r="C79" s="814"/>
      <c r="D79" s="814"/>
      <c r="E79" s="815"/>
      <c r="F79" s="2881"/>
      <c r="G79" s="6"/>
      <c r="H79" s="6"/>
      <c r="I79" s="6"/>
      <c r="J79" s="7"/>
      <c r="K79" s="7"/>
      <c r="L79" s="7"/>
      <c r="M79" s="7"/>
      <c r="N79" s="7"/>
      <c r="Z79" s="2724"/>
      <c r="AA79" s="2800"/>
      <c r="AG79" s="1375"/>
      <c r="AK79" s="2800"/>
    </row>
    <row r="80" spans="1:37" ht="25.2">
      <c r="A80" s="2882" t="s">
        <v>2942</v>
      </c>
      <c r="B80" s="1812"/>
      <c r="C80" s="1812" t="s">
        <v>2944</v>
      </c>
      <c r="D80" s="1812" t="s">
        <v>2945</v>
      </c>
      <c r="E80" s="819" t="s">
        <v>2946</v>
      </c>
      <c r="F80" s="2883" t="s">
        <v>2962</v>
      </c>
      <c r="G80" s="1812" t="s">
        <v>754</v>
      </c>
      <c r="H80" s="2884" t="s">
        <v>2948</v>
      </c>
      <c r="I80" s="1812" t="s">
        <v>2949</v>
      </c>
      <c r="J80" s="603" t="s">
        <v>2597</v>
      </c>
      <c r="K80" s="603" t="s">
        <v>2598</v>
      </c>
      <c r="L80" s="603" t="s">
        <v>2599</v>
      </c>
      <c r="M80" s="603" t="s">
        <v>2600</v>
      </c>
      <c r="N80" s="603" t="s">
        <v>2601</v>
      </c>
      <c r="Z80" s="2724"/>
      <c r="AA80" s="2800"/>
      <c r="AG80" s="1375"/>
      <c r="AK80" s="2800"/>
    </row>
    <row r="81" spans="1:37" ht="39.6">
      <c r="A81" s="2882" t="s">
        <v>2969</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66">
      <c r="A82" s="2882" t="s">
        <v>2951</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2952</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3.8">
      <c r="A84" s="2882" t="s">
        <v>2966</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6.4">
      <c r="A85" s="2882" t="s">
        <v>2958</v>
      </c>
      <c r="B85" s="1728"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6.4">
      <c r="A86" s="2882" t="s">
        <v>2959</v>
      </c>
      <c r="B86" s="1728"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36">
      <c r="A87" s="2882" t="s">
        <v>2956</v>
      </c>
      <c r="B87" s="2888" t="s">
        <v>2970</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53.4" thickBot="1">
      <c r="A88" s="2890" t="s">
        <v>2971</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45" t="s">
        <v>2972</v>
      </c>
      <c r="B90" s="3245"/>
      <c r="C90" s="3245"/>
      <c r="D90" s="3245"/>
      <c r="E90" s="3245"/>
      <c r="F90" s="3245"/>
      <c r="G90" s="3245"/>
      <c r="H90" s="3245"/>
      <c r="I90" s="3245"/>
      <c r="J90" s="3245"/>
      <c r="K90" s="2896"/>
      <c r="L90" s="2896"/>
      <c r="M90" s="2896"/>
      <c r="N90" s="2896"/>
    </row>
    <row r="91" spans="1:37">
      <c r="A91" s="3247" t="s">
        <v>2973</v>
      </c>
      <c r="B91" s="3247" t="s">
        <v>2974</v>
      </c>
      <c r="C91" s="2850" t="s">
        <v>2975</v>
      </c>
      <c r="D91" s="2851"/>
      <c r="E91" s="2851"/>
      <c r="F91" s="2851"/>
      <c r="G91" s="2851"/>
      <c r="H91" s="2851"/>
      <c r="I91" s="2851"/>
      <c r="J91" s="2897"/>
      <c r="K91" s="2898"/>
      <c r="L91" s="2898"/>
      <c r="M91" s="2898"/>
      <c r="N91" s="2898"/>
    </row>
    <row r="92" spans="1:37">
      <c r="A92" s="3247"/>
      <c r="B92" s="3247"/>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248" t="s">
        <v>2976</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49"/>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49"/>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49"/>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49"/>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49"/>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49"/>
      <c r="B99" s="2899" t="s">
        <v>2855</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50"/>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48" t="s">
        <v>2977</v>
      </c>
      <c r="B101" s="2903" t="s">
        <v>2978</v>
      </c>
      <c r="C101" s="2904">
        <f>$G$3</f>
        <v>1.38</v>
      </c>
      <c r="D101" s="2904">
        <f t="shared" ref="D101:N101" si="31">$G$3</f>
        <v>1.38</v>
      </c>
      <c r="E101" s="2904">
        <f t="shared" si="31"/>
        <v>1.38</v>
      </c>
      <c r="F101" s="2904">
        <f t="shared" si="31"/>
        <v>1.38</v>
      </c>
      <c r="G101" s="2904">
        <f t="shared" si="31"/>
        <v>1.38</v>
      </c>
      <c r="H101" s="2904">
        <f t="shared" si="31"/>
        <v>1.38</v>
      </c>
      <c r="I101" s="2904">
        <f t="shared" si="31"/>
        <v>1.38</v>
      </c>
      <c r="J101" s="2904">
        <f t="shared" si="31"/>
        <v>1.38</v>
      </c>
      <c r="K101" s="2904">
        <f t="shared" si="31"/>
        <v>1.38</v>
      </c>
      <c r="L101" s="2904">
        <f t="shared" si="31"/>
        <v>1.38</v>
      </c>
      <c r="M101" s="2904">
        <f t="shared" si="31"/>
        <v>1.38</v>
      </c>
      <c r="N101" s="2904">
        <f t="shared" si="31"/>
        <v>1.38</v>
      </c>
    </row>
    <row r="102" spans="1:14">
      <c r="A102" s="3249"/>
      <c r="B102" s="2899">
        <v>1</v>
      </c>
      <c r="C102" s="2900">
        <f>1.9362/C101</f>
        <v>1.4030434782608696</v>
      </c>
      <c r="D102" s="2900">
        <f>1.9362/D101</f>
        <v>1.4030434782608696</v>
      </c>
      <c r="E102" s="2900">
        <f>1.8629/E101</f>
        <v>1.3499275362318841</v>
      </c>
      <c r="F102" s="2900">
        <f>1.8629/F101</f>
        <v>1.3499275362318841</v>
      </c>
      <c r="G102" s="2900">
        <f>1.8629/G101</f>
        <v>1.3499275362318841</v>
      </c>
      <c r="H102" s="2900">
        <f>1.8629/H101</f>
        <v>1.3499275362318841</v>
      </c>
      <c r="I102" s="2900">
        <f>1.8629/I101</f>
        <v>1.3499275362318841</v>
      </c>
      <c r="J102" s="2900">
        <f>1.942/J101</f>
        <v>1.4072463768115944</v>
      </c>
      <c r="K102" s="2900">
        <f>1.942/K101</f>
        <v>1.4072463768115944</v>
      </c>
      <c r="L102" s="2900">
        <f>1.942/L101</f>
        <v>1.4072463768115944</v>
      </c>
      <c r="M102" s="2900">
        <f>1.942/M101</f>
        <v>1.4072463768115944</v>
      </c>
      <c r="N102" s="2900">
        <f>1.942/N101</f>
        <v>1.4072463768115944</v>
      </c>
    </row>
    <row r="103" spans="1:14">
      <c r="A103" s="3249"/>
      <c r="B103" s="2899">
        <v>2</v>
      </c>
      <c r="C103" s="2900">
        <f>1.4198/C101</f>
        <v>1.028840579710145</v>
      </c>
      <c r="D103" s="2900">
        <f>1.4198/D101</f>
        <v>1.028840579710145</v>
      </c>
      <c r="E103" s="2900">
        <f>1.3372/E101</f>
        <v>0.96898550724637689</v>
      </c>
      <c r="F103" s="2900">
        <f>1.3372/F101</f>
        <v>0.96898550724637689</v>
      </c>
      <c r="G103" s="2900">
        <f>1.3372/G101</f>
        <v>0.96898550724637689</v>
      </c>
      <c r="H103" s="2900">
        <f>1.3372/H101</f>
        <v>0.96898550724637689</v>
      </c>
      <c r="I103" s="2900">
        <f>1.3372/I101</f>
        <v>0.96898550724637689</v>
      </c>
      <c r="J103" s="2900">
        <f>1.2799/J101</f>
        <v>0.92746376811594211</v>
      </c>
      <c r="K103" s="2900">
        <f>1.2799/K101</f>
        <v>0.92746376811594211</v>
      </c>
      <c r="L103" s="2900">
        <f>1.2799/L101</f>
        <v>0.92746376811594211</v>
      </c>
      <c r="M103" s="2900">
        <f>1.2799/M101</f>
        <v>0.92746376811594211</v>
      </c>
      <c r="N103" s="2900">
        <f>1.2799/N101</f>
        <v>0.92746376811594211</v>
      </c>
    </row>
    <row r="104" spans="1:14">
      <c r="A104" s="3249"/>
      <c r="B104" s="2899">
        <v>3</v>
      </c>
      <c r="C104" s="2900">
        <f>1.1594/C101</f>
        <v>0.84014492753623193</v>
      </c>
      <c r="D104" s="2900">
        <f>1.1594/D101</f>
        <v>0.84014492753623193</v>
      </c>
      <c r="E104" s="2900">
        <f>1.0788/E101</f>
        <v>0.7817391304347826</v>
      </c>
      <c r="F104" s="2900">
        <f>1.0788/F101</f>
        <v>0.7817391304347826</v>
      </c>
      <c r="G104" s="2900">
        <f>1.0788/G101</f>
        <v>0.7817391304347826</v>
      </c>
      <c r="H104" s="2900">
        <f>1.0788/H101</f>
        <v>0.7817391304347826</v>
      </c>
      <c r="I104" s="2900">
        <f>1.0788/I101</f>
        <v>0.7817391304347826</v>
      </c>
      <c r="J104" s="2900">
        <f>1.0072/J101</f>
        <v>0.72985507246376824</v>
      </c>
      <c r="K104" s="2900">
        <f>1.0072/K101</f>
        <v>0.72985507246376824</v>
      </c>
      <c r="L104" s="2900">
        <f>1.0072/L101</f>
        <v>0.72985507246376824</v>
      </c>
      <c r="M104" s="2900">
        <f>1.0072/M101</f>
        <v>0.72985507246376824</v>
      </c>
      <c r="N104" s="2900">
        <f>1.0072/N101</f>
        <v>0.72985507246376824</v>
      </c>
    </row>
    <row r="105" spans="1:14">
      <c r="A105" s="3249"/>
      <c r="B105" s="2899">
        <v>4</v>
      </c>
      <c r="C105" s="2900">
        <f>0.9622/C101</f>
        <v>0.69724637681159429</v>
      </c>
      <c r="D105" s="2900">
        <f>0.9622/D101</f>
        <v>0.69724637681159429</v>
      </c>
      <c r="E105" s="2900">
        <f>0.8656/E101</f>
        <v>0.62724637681159423</v>
      </c>
      <c r="F105" s="2900">
        <f>0.8656/F101</f>
        <v>0.62724637681159423</v>
      </c>
      <c r="G105" s="2900">
        <f>0.8656/G101</f>
        <v>0.62724637681159423</v>
      </c>
      <c r="H105" s="2900">
        <f>0.8656/H101</f>
        <v>0.62724637681159423</v>
      </c>
      <c r="I105" s="2900">
        <f>0.8656/I101</f>
        <v>0.62724637681159423</v>
      </c>
      <c r="J105" s="2900">
        <f>0.7525/J101</f>
        <v>0.54528985507246375</v>
      </c>
      <c r="K105" s="2900">
        <f>0.7525/K101</f>
        <v>0.54528985507246375</v>
      </c>
      <c r="L105" s="2900">
        <f>0.7525/L101</f>
        <v>0.54528985507246375</v>
      </c>
      <c r="M105" s="2900">
        <f>0.7525/M101</f>
        <v>0.54528985507246375</v>
      </c>
      <c r="N105" s="2900">
        <f>0.7525/N101</f>
        <v>0.54528985507246375</v>
      </c>
    </row>
    <row r="106" spans="1:14">
      <c r="A106" s="3249"/>
      <c r="B106" s="2899">
        <v>5</v>
      </c>
      <c r="C106" s="2900">
        <f>0.8417/C101</f>
        <v>0.60992753623188412</v>
      </c>
      <c r="D106" s="2900">
        <f>0.8417/D101</f>
        <v>0.60992753623188412</v>
      </c>
      <c r="E106" s="2900">
        <f>0.7371/E101</f>
        <v>0.53413043478260869</v>
      </c>
      <c r="F106" s="2900">
        <f>0.7371/F101</f>
        <v>0.53413043478260869</v>
      </c>
      <c r="G106" s="2900">
        <f>0.7371/G101</f>
        <v>0.53413043478260869</v>
      </c>
      <c r="H106" s="2900">
        <f>0.7371/H101</f>
        <v>0.53413043478260869</v>
      </c>
      <c r="I106" s="2900">
        <f>0.7371/I101</f>
        <v>0.53413043478260869</v>
      </c>
      <c r="J106" s="2900">
        <f>0.5659/J101</f>
        <v>0.41007246376811596</v>
      </c>
      <c r="K106" s="2900">
        <f>0.5659/K101</f>
        <v>0.41007246376811596</v>
      </c>
      <c r="L106" s="2900">
        <f>0.5659/L101</f>
        <v>0.41007246376811596</v>
      </c>
      <c r="M106" s="2900">
        <f>0.5659/M101</f>
        <v>0.41007246376811596</v>
      </c>
      <c r="N106" s="2900">
        <f>0.5659/N101</f>
        <v>0.41007246376811596</v>
      </c>
    </row>
    <row r="107" spans="1:14">
      <c r="A107" s="3249"/>
      <c r="B107" s="2899">
        <v>6</v>
      </c>
      <c r="C107" s="2900">
        <f>0.7608/C101</f>
        <v>0.55130434782608706</v>
      </c>
      <c r="D107" s="2900">
        <f>0.7608/D101</f>
        <v>0.55130434782608706</v>
      </c>
      <c r="E107" s="2900">
        <f>0.6482/E101</f>
        <v>0.46971014492753627</v>
      </c>
      <c r="F107" s="2900">
        <f>0.6482/F101</f>
        <v>0.46971014492753627</v>
      </c>
      <c r="G107" s="2900">
        <f>0.6482/G101</f>
        <v>0.46971014492753627</v>
      </c>
      <c r="H107" s="2900">
        <f>0.6482/H101</f>
        <v>0.46971014492753627</v>
      </c>
      <c r="I107" s="2900">
        <f>0.6482/I101</f>
        <v>0.46971014492753627</v>
      </c>
      <c r="J107" s="2900">
        <f>0.4525/J101</f>
        <v>0.32789855072463769</v>
      </c>
      <c r="K107" s="2900">
        <f>0.4525/K101</f>
        <v>0.32789855072463769</v>
      </c>
      <c r="L107" s="2900">
        <f>0.4525/L101</f>
        <v>0.32789855072463769</v>
      </c>
      <c r="M107" s="2900">
        <f>0.4525/M101</f>
        <v>0.32789855072463769</v>
      </c>
      <c r="N107" s="2900">
        <f>0.4525/N101</f>
        <v>0.32789855072463769</v>
      </c>
    </row>
    <row r="108" spans="1:14">
      <c r="A108" s="3249"/>
      <c r="B108" s="3078" t="s">
        <v>2979</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50"/>
      <c r="B109" s="3079"/>
      <c r="C109" s="2902">
        <f>(-0.163*(C108^2)-0.59*C108+7617)*(10^(-4))/C101</f>
        <v>0.55195652173913046</v>
      </c>
      <c r="D109" s="2902">
        <f>(-0.163*(D108^2)-0.59*D108+7617)*(10^(-4))/D101</f>
        <v>0.55195652173913046</v>
      </c>
      <c r="E109" s="2902">
        <f>(-0.161*(E108^2)-7.509*E108+6533)*(10^(-4))/E101</f>
        <v>0.47340579710144931</v>
      </c>
      <c r="F109" s="2902">
        <f>(-0.161*(F108^2)-7.509*F108+6533)*(10^(-4))/F101</f>
        <v>0.47340579710144931</v>
      </c>
      <c r="G109" s="2902">
        <f>(-0.161*(G108^2)-7.509*G108+6533)*(10^(-4))/G101</f>
        <v>0.47340579710144931</v>
      </c>
      <c r="H109" s="2902">
        <f>(-0.161*(H108^2)-7.509*H108+6533)*(10^(-4))/H101</f>
        <v>0.47340579710144931</v>
      </c>
      <c r="I109" s="2902">
        <f>(-0.161*(I108^2)-7.509*I108+6533)*(10^(-4))/I101</f>
        <v>0.47340579710144931</v>
      </c>
      <c r="J109" s="2902">
        <f>(-0.214*(J108^2)-21.991*J108+4665)*(10^(-4))/J101</f>
        <v>0.33804347826086961</v>
      </c>
      <c r="K109" s="2902">
        <f>(-0.214*(K108^2)-21.991*K108+4665)*(10^(-4))/K101</f>
        <v>0.33804347826086961</v>
      </c>
      <c r="L109" s="2902">
        <f>(-0.214*(L108^2)-21.991*L108+4665)*(10^(-4))/L101</f>
        <v>0.33804347826086961</v>
      </c>
      <c r="M109" s="2902">
        <f>(-0.214*(M108^2)-21.991*M108+4665)*(10^(-4))/M101</f>
        <v>0.33804347826086961</v>
      </c>
      <c r="N109" s="2902">
        <f>(-0.214*(N108^2)-21.991*N108+4665)*(10^(-4))/N101</f>
        <v>0.33804347826086961</v>
      </c>
    </row>
    <row r="110" spans="1:14">
      <c r="A110" s="3246" t="s">
        <v>2980</v>
      </c>
      <c r="B110" s="3246"/>
      <c r="C110" s="3246"/>
      <c r="D110" s="3246"/>
      <c r="E110" s="3246"/>
      <c r="F110" s="3246"/>
      <c r="G110" s="3246"/>
      <c r="H110" s="3246"/>
      <c r="I110" s="3246"/>
      <c r="J110" s="3246"/>
      <c r="K110" s="2905"/>
      <c r="L110" s="2905"/>
      <c r="M110" s="2905"/>
      <c r="N110" s="2905"/>
    </row>
    <row r="112" spans="1:14" ht="13.8" thickBot="1"/>
    <row r="113" spans="1:13" ht="25.8" thickBot="1">
      <c r="A113" s="903" t="s">
        <v>2981</v>
      </c>
      <c r="B113" s="1290">
        <f>G3</f>
        <v>1.38</v>
      </c>
      <c r="C113" s="904" t="s">
        <v>2982</v>
      </c>
      <c r="D113" s="905">
        <f>SUMPRODUCT((A115:A118=F113)*(B114:M114=H113)*B115:M118)</f>
        <v>0</v>
      </c>
      <c r="E113" s="2728" t="s">
        <v>2812</v>
      </c>
      <c r="F113" s="2907">
        <f>E2</f>
        <v>0</v>
      </c>
      <c r="G113" s="2728" t="s">
        <v>2813</v>
      </c>
      <c r="H113" s="2907">
        <f>G2</f>
        <v>0</v>
      </c>
      <c r="I113" s="2728"/>
      <c r="J113" s="2908"/>
      <c r="K113" s="2908"/>
      <c r="L113" s="2908"/>
      <c r="M113" s="2908"/>
    </row>
    <row r="114" spans="1:13">
      <c r="A114" s="908"/>
      <c r="B114" s="2909" t="s">
        <v>2983</v>
      </c>
      <c r="C114" s="2909" t="s">
        <v>2984</v>
      </c>
      <c r="D114" s="2909" t="s">
        <v>2985</v>
      </c>
      <c r="E114" s="2910" t="s">
        <v>2986</v>
      </c>
      <c r="F114" s="2910" t="s">
        <v>2987</v>
      </c>
      <c r="G114" s="2910" t="s">
        <v>2988</v>
      </c>
      <c r="H114" s="2911" t="s">
        <v>2989</v>
      </c>
      <c r="I114" s="2911" t="s">
        <v>2990</v>
      </c>
      <c r="J114" s="2912" t="s">
        <v>2991</v>
      </c>
      <c r="K114" s="2912" t="s">
        <v>2992</v>
      </c>
      <c r="L114" s="2912" t="s">
        <v>2993</v>
      </c>
      <c r="M114" s="2913" t="s">
        <v>2994</v>
      </c>
    </row>
    <row r="115" spans="1:13">
      <c r="A115" s="909" t="s">
        <v>2877</v>
      </c>
      <c r="B115" s="910">
        <f>ROUND(0.9335-0.0094*B113,4)</f>
        <v>0.92049999999999998</v>
      </c>
      <c r="C115" s="910">
        <f>B115</f>
        <v>0.92049999999999998</v>
      </c>
      <c r="D115" s="910">
        <f>ROUND(0.8331-0.0109*B113,4)</f>
        <v>0.81810000000000005</v>
      </c>
      <c r="E115" s="910">
        <f>D115</f>
        <v>0.81810000000000005</v>
      </c>
      <c r="F115" s="910">
        <f>E115</f>
        <v>0.81810000000000005</v>
      </c>
      <c r="G115" s="910">
        <f>F115</f>
        <v>0.81810000000000005</v>
      </c>
      <c r="H115" s="910">
        <f>G115</f>
        <v>0.81810000000000005</v>
      </c>
      <c r="I115" s="910">
        <f>ROUND(0.689-0.0155*B113,4)</f>
        <v>0.66759999999999997</v>
      </c>
      <c r="J115" s="910">
        <f t="shared" ref="J115:M118" si="33">I115</f>
        <v>0.66759999999999997</v>
      </c>
      <c r="K115" s="910">
        <f t="shared" si="33"/>
        <v>0.66759999999999997</v>
      </c>
      <c r="L115" s="910">
        <f t="shared" si="33"/>
        <v>0.66759999999999997</v>
      </c>
      <c r="M115" s="911">
        <f t="shared" si="33"/>
        <v>0.66759999999999997</v>
      </c>
    </row>
    <row r="116" spans="1:13">
      <c r="A116" s="909" t="s">
        <v>2878</v>
      </c>
      <c r="B116" s="910">
        <f>ROUND(0.949-0.012*B113,4)</f>
        <v>0.93240000000000001</v>
      </c>
      <c r="C116" s="910">
        <f>B116</f>
        <v>0.93240000000000001</v>
      </c>
      <c r="D116" s="910">
        <f>ROUND(0.8567-0.013*B113,4)</f>
        <v>0.83879999999999999</v>
      </c>
      <c r="E116" s="910">
        <f t="shared" ref="E116:H117" si="34">D116</f>
        <v>0.83879999999999999</v>
      </c>
      <c r="F116" s="910">
        <f t="shared" si="34"/>
        <v>0.83879999999999999</v>
      </c>
      <c r="G116" s="910">
        <f t="shared" si="34"/>
        <v>0.83879999999999999</v>
      </c>
      <c r="H116" s="910">
        <f t="shared" si="34"/>
        <v>0.83879999999999999</v>
      </c>
      <c r="I116" s="910">
        <f>ROUND(0.7694-0.014*B113,4)</f>
        <v>0.75009999999999999</v>
      </c>
      <c r="J116" s="910">
        <f t="shared" si="33"/>
        <v>0.75009999999999999</v>
      </c>
      <c r="K116" s="910">
        <f t="shared" si="33"/>
        <v>0.75009999999999999</v>
      </c>
      <c r="L116" s="910">
        <f t="shared" si="33"/>
        <v>0.75009999999999999</v>
      </c>
      <c r="M116" s="911">
        <f t="shared" si="33"/>
        <v>0.75009999999999999</v>
      </c>
    </row>
    <row r="117" spans="1:13">
      <c r="A117" s="909" t="s">
        <v>2879</v>
      </c>
      <c r="B117" s="910">
        <f>ROUND(0.8808-0.006*B113,4)</f>
        <v>0.87250000000000005</v>
      </c>
      <c r="C117" s="910">
        <f>B117</f>
        <v>0.87250000000000005</v>
      </c>
      <c r="D117" s="910">
        <f>ROUND(0.8748-0.008*B113,4)</f>
        <v>0.86380000000000001</v>
      </c>
      <c r="E117" s="910">
        <f t="shared" si="34"/>
        <v>0.86380000000000001</v>
      </c>
      <c r="F117" s="910">
        <f t="shared" si="34"/>
        <v>0.86380000000000001</v>
      </c>
      <c r="G117" s="910">
        <f t="shared" si="34"/>
        <v>0.86380000000000001</v>
      </c>
      <c r="H117" s="910">
        <f t="shared" si="34"/>
        <v>0.86380000000000001</v>
      </c>
      <c r="I117" s="910">
        <f>ROUND(0.7412-0.0095*B113,4)</f>
        <v>0.72809999999999997</v>
      </c>
      <c r="J117" s="910">
        <f t="shared" si="33"/>
        <v>0.72809999999999997</v>
      </c>
      <c r="K117" s="910">
        <f t="shared" si="33"/>
        <v>0.72809999999999997</v>
      </c>
      <c r="L117" s="910">
        <f t="shared" si="33"/>
        <v>0.72809999999999997</v>
      </c>
      <c r="M117" s="911">
        <f t="shared" si="33"/>
        <v>0.72809999999999997</v>
      </c>
    </row>
    <row r="118" spans="1:13" ht="13.8" thickBot="1">
      <c r="A118" s="714" t="s">
        <v>2880</v>
      </c>
      <c r="B118" s="912">
        <f>ROUND(0.7275-0.01*B113,4)</f>
        <v>0.7137</v>
      </c>
      <c r="C118" s="912">
        <f>B118</f>
        <v>0.7137</v>
      </c>
      <c r="D118" s="912">
        <f>ROUND(0.7043-0.012*B113,4)</f>
        <v>0.68769999999999998</v>
      </c>
      <c r="E118" s="912">
        <f>D118</f>
        <v>0.68769999999999998</v>
      </c>
      <c r="F118" s="912">
        <f>E118</f>
        <v>0.68769999999999998</v>
      </c>
      <c r="G118" s="912">
        <f>ROUND(0.6299-0.0122*B113,4)</f>
        <v>0.61309999999999998</v>
      </c>
      <c r="H118" s="912">
        <f>G118</f>
        <v>0.61309999999999998</v>
      </c>
      <c r="I118" s="912">
        <f>ROUND(0.5667-0.0136*B113,4)</f>
        <v>0.54790000000000005</v>
      </c>
      <c r="J118" s="912">
        <f t="shared" si="33"/>
        <v>0.54790000000000005</v>
      </c>
      <c r="K118" s="912">
        <f t="shared" si="33"/>
        <v>0.54790000000000005</v>
      </c>
      <c r="L118" s="912">
        <f t="shared" si="33"/>
        <v>0.54790000000000005</v>
      </c>
      <c r="M118" s="913">
        <f t="shared" si="33"/>
        <v>0.54790000000000005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6" customWidth="1"/>
    <col min="2" max="9" width="8.21875" style="878" customWidth="1"/>
    <col min="10" max="13" width="8.21875" style="816"/>
    <col min="14" max="14" width="10" style="816" customWidth="1"/>
    <col min="15" max="16" width="8.21875" style="816"/>
    <col min="17" max="17" width="34.109375" style="816" customWidth="1"/>
    <col min="18" max="18" width="8.21875" style="816" customWidth="1"/>
    <col min="19" max="19" width="8.21875" style="816"/>
    <col min="20" max="20" width="11.6640625" style="816" customWidth="1"/>
    <col min="21" max="16384" width="8.2187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3" t="s">
        <v>183</v>
      </c>
      <c r="B18" s="882" t="s">
        <v>560</v>
      </c>
      <c r="C18" s="883" t="s">
        <v>561</v>
      </c>
      <c r="D18" s="884"/>
      <c r="E18" s="882">
        <v>1</v>
      </c>
      <c r="F18" s="885" t="s">
        <v>562</v>
      </c>
      <c r="G18" s="886"/>
      <c r="H18" s="878"/>
      <c r="I18" s="878"/>
    </row>
    <row r="19" spans="1:9" s="887" customFormat="1" ht="19.5" customHeight="1">
      <c r="A19" s="3263"/>
      <c r="B19" s="3263" t="s">
        <v>563</v>
      </c>
      <c r="C19" s="883" t="s">
        <v>564</v>
      </c>
      <c r="D19" s="884"/>
      <c r="E19" s="882">
        <v>0.9</v>
      </c>
      <c r="F19" s="885" t="s">
        <v>565</v>
      </c>
      <c r="G19" s="886"/>
      <c r="H19" s="878"/>
      <c r="I19" s="878"/>
    </row>
    <row r="20" spans="1:9" s="887" customFormat="1" ht="19.5" customHeight="1">
      <c r="A20" s="3263"/>
      <c r="B20" s="3263"/>
      <c r="C20" s="883" t="s">
        <v>566</v>
      </c>
      <c r="D20" s="884"/>
      <c r="E20" s="882">
        <v>1.1000000000000001</v>
      </c>
      <c r="F20" s="885" t="s">
        <v>567</v>
      </c>
      <c r="G20" s="886"/>
      <c r="H20" s="878"/>
      <c r="I20" s="878"/>
    </row>
    <row r="21" spans="1:9" s="887" customFormat="1" ht="19.5" customHeight="1">
      <c r="A21" s="3263"/>
      <c r="B21" s="3263"/>
      <c r="C21" s="883" t="s">
        <v>568</v>
      </c>
      <c r="D21" s="884"/>
      <c r="E21" s="882">
        <v>0.8</v>
      </c>
      <c r="F21" s="885" t="s">
        <v>569</v>
      </c>
      <c r="G21" s="886"/>
      <c r="H21" s="878"/>
      <c r="I21" s="878"/>
    </row>
    <row r="22" spans="1:9" s="887" customFormat="1" ht="19.5" customHeight="1">
      <c r="A22" s="3263"/>
      <c r="B22" s="3263"/>
      <c r="C22" s="883" t="s">
        <v>570</v>
      </c>
      <c r="D22" s="884"/>
      <c r="E22" s="882">
        <v>0.5</v>
      </c>
      <c r="F22" s="885"/>
      <c r="G22" s="886"/>
      <c r="H22" s="878"/>
      <c r="I22" s="878"/>
    </row>
    <row r="23" spans="1:9" s="887" customFormat="1" ht="19.5" customHeight="1">
      <c r="A23" s="3263" t="s">
        <v>184</v>
      </c>
      <c r="B23" s="882" t="s">
        <v>560</v>
      </c>
      <c r="C23" s="883" t="s">
        <v>571</v>
      </c>
      <c r="D23" s="884"/>
      <c r="E23" s="882">
        <v>1</v>
      </c>
      <c r="F23" s="885" t="s">
        <v>572</v>
      </c>
      <c r="G23" s="886"/>
      <c r="H23" s="878"/>
      <c r="I23" s="878"/>
    </row>
    <row r="24" spans="1:9" s="887" customFormat="1" ht="19.5" customHeight="1">
      <c r="A24" s="3263"/>
      <c r="B24" s="3263" t="s">
        <v>563</v>
      </c>
      <c r="C24" s="883" t="s">
        <v>573</v>
      </c>
      <c r="D24" s="884"/>
      <c r="E24" s="882">
        <v>0.5</v>
      </c>
      <c r="F24" s="885"/>
      <c r="G24" s="886"/>
      <c r="H24" s="878"/>
      <c r="I24" s="878"/>
    </row>
    <row r="25" spans="1:9" s="887" customFormat="1" ht="19.5" customHeight="1">
      <c r="A25" s="3263"/>
      <c r="B25" s="3263"/>
      <c r="C25" s="883" t="s">
        <v>574</v>
      </c>
      <c r="D25" s="884"/>
      <c r="E25" s="882">
        <v>1.1000000000000001</v>
      </c>
      <c r="F25" s="885"/>
      <c r="G25" s="886"/>
      <c r="H25" s="878"/>
      <c r="I25" s="878"/>
    </row>
    <row r="26" spans="1:9" s="887" customFormat="1" ht="19.5" customHeight="1">
      <c r="A26" s="3263"/>
      <c r="B26" s="3263"/>
      <c r="C26" s="883" t="s">
        <v>575</v>
      </c>
      <c r="D26" s="884"/>
      <c r="E26" s="882">
        <v>1.1000000000000001</v>
      </c>
      <c r="F26" s="885"/>
      <c r="G26" s="886"/>
      <c r="H26" s="878"/>
      <c r="I26" s="878"/>
    </row>
    <row r="27" spans="1:9" s="887" customFormat="1" ht="19.5" customHeight="1">
      <c r="A27" s="3263"/>
      <c r="B27" s="3263"/>
      <c r="C27" s="883" t="s">
        <v>576</v>
      </c>
      <c r="D27" s="884"/>
      <c r="E27" s="882">
        <v>0.9</v>
      </c>
      <c r="F27" s="885" t="s">
        <v>577</v>
      </c>
      <c r="G27" s="886"/>
      <c r="H27" s="878"/>
      <c r="I27" s="878"/>
    </row>
    <row r="28" spans="1:9" s="887" customFormat="1" ht="19.5" customHeight="1">
      <c r="A28" s="3263"/>
      <c r="B28" s="3263"/>
      <c r="C28" s="883" t="s">
        <v>578</v>
      </c>
      <c r="D28" s="884"/>
      <c r="E28" s="882">
        <v>0.9</v>
      </c>
      <c r="F28" s="885" t="s">
        <v>579</v>
      </c>
      <c r="G28" s="886"/>
      <c r="H28" s="878"/>
      <c r="I28" s="878"/>
    </row>
    <row r="29" spans="1:9" s="887" customFormat="1" ht="19.5" customHeight="1">
      <c r="A29" s="3263"/>
      <c r="B29" s="3263"/>
      <c r="C29" s="883" t="s">
        <v>580</v>
      </c>
      <c r="D29" s="884"/>
      <c r="E29" s="882">
        <v>0.9</v>
      </c>
      <c r="F29" s="885" t="s">
        <v>581</v>
      </c>
      <c r="G29" s="886"/>
      <c r="H29" s="878"/>
      <c r="I29" s="878"/>
    </row>
    <row r="30" spans="1:9" s="887" customFormat="1" ht="19.5" customHeight="1">
      <c r="A30" s="3263"/>
      <c r="B30" s="3263"/>
      <c r="C30" s="883" t="s">
        <v>582</v>
      </c>
      <c r="D30" s="884"/>
      <c r="E30" s="882">
        <v>0.9</v>
      </c>
      <c r="F30" s="885" t="s">
        <v>583</v>
      </c>
      <c r="G30" s="886"/>
      <c r="H30" s="878"/>
      <c r="I30" s="878"/>
    </row>
    <row r="31" spans="1:9" s="887" customFormat="1" ht="19.5" customHeight="1">
      <c r="A31" s="3263"/>
      <c r="B31" s="3263"/>
      <c r="C31" s="883" t="s">
        <v>584</v>
      </c>
      <c r="D31" s="884"/>
      <c r="E31" s="882">
        <v>0.8</v>
      </c>
      <c r="F31" s="885" t="s">
        <v>585</v>
      </c>
      <c r="G31" s="886"/>
      <c r="H31" s="878"/>
      <c r="I31" s="878"/>
    </row>
    <row r="32" spans="1:9" s="887" customFormat="1" ht="19.5" customHeight="1">
      <c r="A32" s="3263"/>
      <c r="B32" s="3263"/>
      <c r="C32" s="883" t="s">
        <v>586</v>
      </c>
      <c r="D32" s="884"/>
      <c r="E32" s="882">
        <v>0.8</v>
      </c>
      <c r="F32" s="885" t="s">
        <v>587</v>
      </c>
      <c r="G32" s="886"/>
      <c r="H32" s="878"/>
      <c r="I32" s="878"/>
    </row>
    <row r="33" spans="1:9" s="887" customFormat="1" ht="19.5" customHeight="1">
      <c r="A33" s="3263" t="s">
        <v>185</v>
      </c>
      <c r="B33" s="882" t="s">
        <v>560</v>
      </c>
      <c r="C33" s="883" t="s">
        <v>588</v>
      </c>
      <c r="D33" s="884"/>
      <c r="E33" s="882">
        <v>1</v>
      </c>
      <c r="F33" s="885" t="s">
        <v>589</v>
      </c>
      <c r="G33" s="886"/>
      <c r="H33" s="878"/>
      <c r="I33" s="878"/>
    </row>
    <row r="34" spans="1:9" s="887" customFormat="1" ht="19.5" customHeight="1">
      <c r="A34" s="3263"/>
      <c r="B34" s="882" t="s">
        <v>563</v>
      </c>
      <c r="C34" s="883" t="s">
        <v>590</v>
      </c>
      <c r="D34" s="884"/>
      <c r="E34" s="882">
        <v>1.5</v>
      </c>
      <c r="F34" s="885" t="s">
        <v>591</v>
      </c>
      <c r="G34" s="886"/>
      <c r="H34" s="878"/>
      <c r="I34" s="878"/>
    </row>
    <row r="35" spans="1:9" s="887" customFormat="1" ht="19.5" customHeight="1">
      <c r="A35" s="3263" t="s">
        <v>186</v>
      </c>
      <c r="B35" s="882" t="s">
        <v>560</v>
      </c>
      <c r="C35" s="883" t="s">
        <v>592</v>
      </c>
      <c r="D35" s="884"/>
      <c r="E35" s="882">
        <v>1</v>
      </c>
      <c r="F35" s="885" t="s">
        <v>593</v>
      </c>
      <c r="G35" s="886"/>
      <c r="H35" s="878"/>
      <c r="I35" s="878"/>
    </row>
    <row r="36" spans="1:9" s="887" customFormat="1" ht="19.5" customHeight="1">
      <c r="A36" s="3263"/>
      <c r="B36" s="3263" t="s">
        <v>563</v>
      </c>
      <c r="C36" s="883" t="s">
        <v>594</v>
      </c>
      <c r="D36" s="884"/>
      <c r="E36" s="882">
        <v>1</v>
      </c>
      <c r="F36" s="885" t="s">
        <v>595</v>
      </c>
      <c r="G36" s="886"/>
      <c r="H36" s="878"/>
      <c r="I36" s="878"/>
    </row>
    <row r="37" spans="1:9" s="887" customFormat="1" ht="19.5" customHeight="1">
      <c r="A37" s="3263"/>
      <c r="B37" s="3263"/>
      <c r="C37" s="883" t="s">
        <v>596</v>
      </c>
      <c r="D37" s="884"/>
      <c r="E37" s="882">
        <v>1.5</v>
      </c>
      <c r="F37" s="885" t="s">
        <v>597</v>
      </c>
      <c r="G37" s="886"/>
      <c r="H37" s="878"/>
      <c r="I37" s="878"/>
    </row>
    <row r="38" spans="1:9" s="887" customFormat="1" ht="19.5" customHeight="1">
      <c r="A38" s="3263"/>
      <c r="B38" s="3263"/>
      <c r="C38" s="883" t="s">
        <v>598</v>
      </c>
      <c r="D38" s="884"/>
      <c r="E38" s="882">
        <v>1</v>
      </c>
      <c r="F38" s="885" t="s">
        <v>599</v>
      </c>
      <c r="G38" s="886"/>
      <c r="H38" s="878"/>
      <c r="I38" s="878"/>
    </row>
    <row r="39" spans="1:9" s="887" customFormat="1" ht="19.5" customHeight="1">
      <c r="A39" s="3263"/>
      <c r="B39" s="326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4.4">
      <c r="A60" s="943"/>
      <c r="B60" s="943"/>
      <c r="C60" s="943" t="s">
        <v>745</v>
      </c>
      <c r="D60" s="943"/>
      <c r="E60" s="895" t="s">
        <v>1</v>
      </c>
      <c r="F60" s="943" t="s">
        <v>1</v>
      </c>
    </row>
    <row r="61" spans="1:8" s="878" customFormat="1" ht="36">
      <c r="A61" s="882">
        <v>1</v>
      </c>
      <c r="B61" s="3263" t="s">
        <v>614</v>
      </c>
      <c r="C61" s="818" t="s">
        <v>615</v>
      </c>
      <c r="D61" s="818" t="s">
        <v>616</v>
      </c>
      <c r="E61" s="895">
        <v>0.5</v>
      </c>
      <c r="F61" s="882">
        <v>80</v>
      </c>
    </row>
    <row r="62" spans="1:8" s="878" customFormat="1" ht="36">
      <c r="A62" s="882">
        <v>2</v>
      </c>
      <c r="B62" s="3263"/>
      <c r="C62" s="818" t="s">
        <v>617</v>
      </c>
      <c r="D62" s="818" t="s">
        <v>618</v>
      </c>
      <c r="E62" s="895">
        <v>0.5</v>
      </c>
      <c r="F62" s="882">
        <v>80</v>
      </c>
    </row>
    <row r="63" spans="1:8" s="878" customFormat="1" ht="48">
      <c r="A63" s="882">
        <v>3</v>
      </c>
      <c r="B63" s="3263"/>
      <c r="C63" s="818" t="s">
        <v>619</v>
      </c>
      <c r="D63" s="818" t="s">
        <v>620</v>
      </c>
      <c r="E63" s="895">
        <v>0.5</v>
      </c>
      <c r="F63" s="882">
        <v>80</v>
      </c>
    </row>
    <row r="64" spans="1:8" s="878" customFormat="1" ht="48">
      <c r="A64" s="882">
        <v>4</v>
      </c>
      <c r="B64" s="3263"/>
      <c r="C64" s="818" t="s">
        <v>621</v>
      </c>
      <c r="D64" s="818" t="s">
        <v>622</v>
      </c>
      <c r="E64" s="895">
        <v>0.4</v>
      </c>
      <c r="F64" s="882">
        <v>60</v>
      </c>
    </row>
    <row r="65" spans="1:6" s="878" customFormat="1" ht="48">
      <c r="A65" s="882">
        <v>5</v>
      </c>
      <c r="B65" s="3263"/>
      <c r="C65" s="818" t="s">
        <v>623</v>
      </c>
      <c r="D65" s="818" t="s">
        <v>624</v>
      </c>
      <c r="E65" s="895">
        <v>0.2</v>
      </c>
      <c r="F65" s="882">
        <v>30</v>
      </c>
    </row>
    <row r="66" spans="1:6" s="878" customFormat="1" ht="48">
      <c r="A66" s="882">
        <v>6</v>
      </c>
      <c r="B66" s="3263"/>
      <c r="C66" s="818" t="s">
        <v>625</v>
      </c>
      <c r="D66" s="818" t="s">
        <v>626</v>
      </c>
      <c r="E66" s="895">
        <v>0.3</v>
      </c>
      <c r="F66" s="882">
        <v>50</v>
      </c>
    </row>
    <row r="67" spans="1:6" s="878" customFormat="1" ht="48">
      <c r="A67" s="882">
        <v>7</v>
      </c>
      <c r="B67" s="3263"/>
      <c r="C67" s="818" t="s">
        <v>627</v>
      </c>
      <c r="D67" s="818" t="s">
        <v>628</v>
      </c>
      <c r="E67" s="895">
        <v>0.2</v>
      </c>
      <c r="F67" s="882">
        <v>30</v>
      </c>
    </row>
    <row r="68" spans="1:6" s="878" customFormat="1" ht="48">
      <c r="A68" s="882">
        <v>8</v>
      </c>
      <c r="B68" s="3263"/>
      <c r="C68" s="818" t="s">
        <v>629</v>
      </c>
      <c r="D68" s="818" t="s">
        <v>630</v>
      </c>
      <c r="E68" s="895">
        <v>0.2</v>
      </c>
      <c r="F68" s="882">
        <v>30</v>
      </c>
    </row>
    <row r="69" spans="1:6" s="878" customFormat="1" ht="48">
      <c r="A69" s="882">
        <v>9</v>
      </c>
      <c r="B69" s="3263"/>
      <c r="C69" s="818" t="s">
        <v>631</v>
      </c>
      <c r="D69" s="818" t="s">
        <v>632</v>
      </c>
      <c r="E69" s="895">
        <v>0.2</v>
      </c>
      <c r="F69" s="882">
        <v>30</v>
      </c>
    </row>
    <row r="70" spans="1:6" s="878" customFormat="1" ht="60">
      <c r="A70" s="882">
        <v>10</v>
      </c>
      <c r="B70" s="3263"/>
      <c r="C70" s="818" t="s">
        <v>633</v>
      </c>
      <c r="D70" s="818" t="s">
        <v>634</v>
      </c>
      <c r="E70" s="895">
        <v>0.2</v>
      </c>
      <c r="F70" s="882">
        <v>30</v>
      </c>
    </row>
    <row r="71" spans="1:6" s="878" customFormat="1" ht="60">
      <c r="A71" s="882">
        <v>11</v>
      </c>
      <c r="B71" s="3263"/>
      <c r="C71" s="818" t="s">
        <v>635</v>
      </c>
      <c r="D71" s="818" t="s">
        <v>636</v>
      </c>
      <c r="E71" s="895">
        <v>0.2</v>
      </c>
      <c r="F71" s="882">
        <v>30</v>
      </c>
    </row>
    <row r="72" spans="1:6" s="878" customFormat="1" ht="36">
      <c r="A72" s="882">
        <v>12</v>
      </c>
      <c r="B72" s="3263"/>
      <c r="C72" s="818" t="s">
        <v>637</v>
      </c>
      <c r="D72" s="818" t="s">
        <v>638</v>
      </c>
      <c r="E72" s="895">
        <v>0.5</v>
      </c>
      <c r="F72" s="882">
        <v>80</v>
      </c>
    </row>
    <row r="73" spans="1:6" s="878" customFormat="1" ht="36">
      <c r="A73" s="882">
        <v>13</v>
      </c>
      <c r="B73" s="3263"/>
      <c r="C73" s="818" t="s">
        <v>639</v>
      </c>
      <c r="D73" s="818" t="s">
        <v>640</v>
      </c>
      <c r="E73" s="895">
        <v>0.4</v>
      </c>
      <c r="F73" s="882">
        <v>60</v>
      </c>
    </row>
    <row r="74" spans="1:6" s="878" customFormat="1" ht="36">
      <c r="A74" s="882">
        <v>14</v>
      </c>
      <c r="B74" s="3263"/>
      <c r="C74" s="818" t="s">
        <v>641</v>
      </c>
      <c r="D74" s="818" t="s">
        <v>642</v>
      </c>
      <c r="E74" s="895">
        <v>0.2</v>
      </c>
      <c r="F74" s="882">
        <v>30</v>
      </c>
    </row>
    <row r="75" spans="1:6" s="878" customFormat="1" ht="36">
      <c r="A75" s="882">
        <v>15</v>
      </c>
      <c r="B75" s="3263"/>
      <c r="C75" s="818" t="s">
        <v>643</v>
      </c>
      <c r="D75" s="818" t="s">
        <v>644</v>
      </c>
      <c r="E75" s="895">
        <v>0.2</v>
      </c>
      <c r="F75" s="882">
        <v>30</v>
      </c>
    </row>
    <row r="76" spans="1:6" s="878" customFormat="1" ht="36">
      <c r="A76" s="882">
        <v>16</v>
      </c>
      <c r="B76" s="3263" t="s">
        <v>645</v>
      </c>
      <c r="C76" s="818" t="s">
        <v>646</v>
      </c>
      <c r="D76" s="818" t="s">
        <v>647</v>
      </c>
      <c r="E76" s="895">
        <v>0.5</v>
      </c>
      <c r="F76" s="882">
        <v>80</v>
      </c>
    </row>
    <row r="77" spans="1:6" s="878" customFormat="1" ht="36">
      <c r="A77" s="882">
        <v>17</v>
      </c>
      <c r="B77" s="3263"/>
      <c r="C77" s="818" t="s">
        <v>648</v>
      </c>
      <c r="D77" s="818" t="s">
        <v>649</v>
      </c>
      <c r="E77" s="895">
        <v>0.5</v>
      </c>
      <c r="F77" s="882">
        <v>80</v>
      </c>
    </row>
    <row r="78" spans="1:6" s="878" customFormat="1" ht="36">
      <c r="A78" s="882">
        <v>18</v>
      </c>
      <c r="B78" s="3263"/>
      <c r="C78" s="818" t="s">
        <v>650</v>
      </c>
      <c r="D78" s="818" t="s">
        <v>651</v>
      </c>
      <c r="E78" s="895">
        <v>0.2</v>
      </c>
      <c r="F78" s="882">
        <v>30</v>
      </c>
    </row>
    <row r="79" spans="1:6" s="878" customFormat="1" ht="36">
      <c r="A79" s="882">
        <v>19</v>
      </c>
      <c r="B79" s="3263"/>
      <c r="C79" s="818" t="s">
        <v>652</v>
      </c>
      <c r="D79" s="818" t="s">
        <v>653</v>
      </c>
      <c r="E79" s="895">
        <v>0.5</v>
      </c>
      <c r="F79" s="882">
        <v>80</v>
      </c>
    </row>
    <row r="80" spans="1:6" s="878" customFormat="1" ht="36">
      <c r="A80" s="882">
        <v>20</v>
      </c>
      <c r="B80" s="3263"/>
      <c r="C80" s="818" t="s">
        <v>654</v>
      </c>
      <c r="D80" s="818" t="s">
        <v>655</v>
      </c>
      <c r="E80" s="895">
        <v>0.2</v>
      </c>
      <c r="F80" s="882">
        <v>30</v>
      </c>
    </row>
    <row r="81" spans="1:6" s="878" customFormat="1" ht="36">
      <c r="A81" s="882">
        <v>21</v>
      </c>
      <c r="B81" s="3263"/>
      <c r="C81" s="818" t="s">
        <v>656</v>
      </c>
      <c r="D81" s="818" t="s">
        <v>657</v>
      </c>
      <c r="E81" s="895">
        <v>0.2</v>
      </c>
      <c r="F81" s="882">
        <v>30</v>
      </c>
    </row>
    <row r="82" spans="1:6" s="878" customFormat="1" ht="60">
      <c r="A82" s="882">
        <v>22</v>
      </c>
      <c r="B82" s="3263"/>
      <c r="C82" s="818" t="s">
        <v>658</v>
      </c>
      <c r="D82" s="818" t="s">
        <v>659</v>
      </c>
      <c r="E82" s="895">
        <v>0.2</v>
      </c>
      <c r="F82" s="882">
        <v>30</v>
      </c>
    </row>
    <row r="83" spans="1:6" s="878" customFormat="1" ht="60">
      <c r="A83" s="882">
        <v>23</v>
      </c>
      <c r="B83" s="3263"/>
      <c r="C83" s="818" t="s">
        <v>660</v>
      </c>
      <c r="D83" s="818" t="s">
        <v>661</v>
      </c>
      <c r="E83" s="895">
        <v>0.2</v>
      </c>
      <c r="F83" s="882">
        <v>30</v>
      </c>
    </row>
    <row r="84" spans="1:6" s="878" customFormat="1" ht="48">
      <c r="A84" s="882">
        <v>24</v>
      </c>
      <c r="B84" s="3263"/>
      <c r="C84" s="818" t="s">
        <v>662</v>
      </c>
      <c r="D84" s="818" t="s">
        <v>663</v>
      </c>
      <c r="E84" s="895">
        <v>0.2</v>
      </c>
      <c r="F84" s="882">
        <v>30</v>
      </c>
    </row>
    <row r="85" spans="1:6" s="878" customFormat="1" ht="36">
      <c r="A85" s="882">
        <v>25</v>
      </c>
      <c r="B85" s="3263"/>
      <c r="C85" s="818" t="s">
        <v>664</v>
      </c>
      <c r="D85" s="818" t="s">
        <v>665</v>
      </c>
      <c r="E85" s="895">
        <v>0.5</v>
      </c>
      <c r="F85" s="882">
        <v>80</v>
      </c>
    </row>
    <row r="86" spans="1:6" s="878" customFormat="1" ht="36">
      <c r="A86" s="882">
        <v>26</v>
      </c>
      <c r="B86" s="3263"/>
      <c r="C86" s="818" t="s">
        <v>666</v>
      </c>
      <c r="D86" s="818" t="s">
        <v>667</v>
      </c>
      <c r="E86" s="895">
        <v>0.2</v>
      </c>
      <c r="F86" s="882">
        <v>30</v>
      </c>
    </row>
    <row r="87" spans="1:6" s="878" customFormat="1" ht="36">
      <c r="A87" s="882">
        <v>27</v>
      </c>
      <c r="B87" s="3263"/>
      <c r="C87" s="818" t="s">
        <v>668</v>
      </c>
      <c r="D87" s="818" t="s">
        <v>669</v>
      </c>
      <c r="E87" s="895">
        <v>0.2</v>
      </c>
      <c r="F87" s="882">
        <v>30</v>
      </c>
    </row>
    <row r="88" spans="1:6" s="878" customFormat="1" ht="36">
      <c r="A88" s="882">
        <v>28</v>
      </c>
      <c r="B88" s="3263"/>
      <c r="C88" s="818" t="s">
        <v>670</v>
      </c>
      <c r="D88" s="818" t="s">
        <v>671</v>
      </c>
      <c r="E88" s="895">
        <v>0.2</v>
      </c>
      <c r="F88" s="882">
        <v>30</v>
      </c>
    </row>
    <row r="89" spans="1:6" s="878" customFormat="1" ht="36">
      <c r="A89" s="882">
        <v>29</v>
      </c>
      <c r="B89" s="3263"/>
      <c r="C89" s="818" t="s">
        <v>672</v>
      </c>
      <c r="D89" s="818" t="s">
        <v>673</v>
      </c>
      <c r="E89" s="895">
        <v>0.2</v>
      </c>
      <c r="F89" s="882">
        <v>30</v>
      </c>
    </row>
    <row r="90" spans="1:6" s="878" customFormat="1" ht="36">
      <c r="A90" s="882">
        <v>30</v>
      </c>
      <c r="B90" s="3263"/>
      <c r="C90" s="818" t="s">
        <v>674</v>
      </c>
      <c r="D90" s="818" t="s">
        <v>675</v>
      </c>
      <c r="E90" s="895">
        <v>0.2</v>
      </c>
      <c r="F90" s="882">
        <v>30</v>
      </c>
    </row>
    <row r="91" spans="1:6" s="878" customFormat="1" ht="48">
      <c r="A91" s="882">
        <v>31</v>
      </c>
      <c r="B91" s="3263"/>
      <c r="C91" s="818" t="s">
        <v>676</v>
      </c>
      <c r="D91" s="818" t="s">
        <v>677</v>
      </c>
      <c r="E91" s="895">
        <v>0.2</v>
      </c>
      <c r="F91" s="882">
        <v>30</v>
      </c>
    </row>
    <row r="92" spans="1:6" s="878" customFormat="1" ht="36">
      <c r="A92" s="882">
        <v>32</v>
      </c>
      <c r="B92" s="3263" t="s">
        <v>678</v>
      </c>
      <c r="C92" s="882" t="s">
        <v>679</v>
      </c>
      <c r="D92" s="818" t="s">
        <v>680</v>
      </c>
      <c r="E92" s="895">
        <v>0.2</v>
      </c>
      <c r="F92" s="882">
        <v>30</v>
      </c>
    </row>
    <row r="93" spans="1:6" s="878" customFormat="1" ht="36">
      <c r="A93" s="882">
        <v>33</v>
      </c>
      <c r="B93" s="3263"/>
      <c r="C93" s="882" t="s">
        <v>681</v>
      </c>
      <c r="D93" s="818" t="s">
        <v>682</v>
      </c>
      <c r="E93" s="895">
        <v>0.2</v>
      </c>
      <c r="F93" s="882">
        <v>30</v>
      </c>
    </row>
    <row r="94" spans="1:6" s="878" customFormat="1" ht="60">
      <c r="A94" s="882">
        <v>34</v>
      </c>
      <c r="B94" s="3263"/>
      <c r="C94" s="882" t="s">
        <v>683</v>
      </c>
      <c r="D94" s="818" t="s">
        <v>684</v>
      </c>
      <c r="E94" s="895">
        <v>0.2</v>
      </c>
      <c r="F94" s="882">
        <v>30</v>
      </c>
    </row>
    <row r="95" spans="1:6" s="878" customFormat="1" ht="48">
      <c r="A95" s="882">
        <v>35</v>
      </c>
      <c r="B95" s="3263"/>
      <c r="C95" s="882" t="s">
        <v>685</v>
      </c>
      <c r="D95" s="818" t="s">
        <v>686</v>
      </c>
      <c r="E95" s="895">
        <v>0.2</v>
      </c>
      <c r="F95" s="882">
        <v>30</v>
      </c>
    </row>
    <row r="96" spans="1:6" s="878" customFormat="1" ht="72">
      <c r="A96" s="882">
        <v>36</v>
      </c>
      <c r="B96" s="3263"/>
      <c r="C96" s="818" t="s">
        <v>687</v>
      </c>
      <c r="D96" s="818" t="s">
        <v>688</v>
      </c>
      <c r="E96" s="895">
        <v>0.2</v>
      </c>
      <c r="F96" s="882">
        <v>30</v>
      </c>
    </row>
    <row r="97" spans="1:6" s="878" customFormat="1" ht="36">
      <c r="A97" s="882">
        <v>37</v>
      </c>
      <c r="B97" s="3263"/>
      <c r="C97" s="882" t="s">
        <v>689</v>
      </c>
      <c r="D97" s="818" t="s">
        <v>690</v>
      </c>
      <c r="E97" s="895">
        <v>0.2</v>
      </c>
      <c r="F97" s="882">
        <v>30</v>
      </c>
    </row>
    <row r="98" spans="1:6" s="878" customFormat="1" ht="36">
      <c r="A98" s="882">
        <v>38</v>
      </c>
      <c r="B98" s="3263"/>
      <c r="C98" s="882" t="s">
        <v>691</v>
      </c>
      <c r="D98" s="818" t="s">
        <v>692</v>
      </c>
      <c r="E98" s="895">
        <v>0.2</v>
      </c>
      <c r="F98" s="882">
        <v>30</v>
      </c>
    </row>
    <row r="99" spans="1:6" s="878" customFormat="1" ht="36">
      <c r="A99" s="882">
        <v>39</v>
      </c>
      <c r="B99" s="3263" t="s">
        <v>693</v>
      </c>
      <c r="C99" s="882" t="s">
        <v>694</v>
      </c>
      <c r="D99" s="818" t="s">
        <v>695</v>
      </c>
      <c r="E99" s="895">
        <v>0.3</v>
      </c>
      <c r="F99" s="882">
        <v>50</v>
      </c>
    </row>
    <row r="100" spans="1:6" s="878" customFormat="1" ht="36">
      <c r="A100" s="882">
        <v>40</v>
      </c>
      <c r="B100" s="3263"/>
      <c r="C100" s="882" t="s">
        <v>696</v>
      </c>
      <c r="D100" s="818" t="s">
        <v>697</v>
      </c>
      <c r="E100" s="895">
        <v>0.2</v>
      </c>
      <c r="F100" s="882">
        <v>30</v>
      </c>
    </row>
    <row r="101" spans="1:6" s="878" customFormat="1" ht="36">
      <c r="A101" s="882">
        <v>41</v>
      </c>
      <c r="B101" s="3263"/>
      <c r="C101" s="882" t="s">
        <v>698</v>
      </c>
      <c r="D101" s="818" t="s">
        <v>695</v>
      </c>
      <c r="E101" s="895">
        <v>0.2</v>
      </c>
      <c r="F101" s="882">
        <v>30</v>
      </c>
    </row>
    <row r="102" spans="1:6" s="878" customFormat="1" ht="72">
      <c r="A102" s="882">
        <v>42</v>
      </c>
      <c r="B102" s="882" t="s">
        <v>699</v>
      </c>
      <c r="C102" s="818" t="s">
        <v>700</v>
      </c>
      <c r="D102" s="818" t="s">
        <v>701</v>
      </c>
      <c r="E102" s="895">
        <v>0.2</v>
      </c>
      <c r="F102" s="882">
        <v>30</v>
      </c>
    </row>
    <row r="103" spans="1:6" s="878" customFormat="1" ht="36">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48">
      <c r="A105" s="882">
        <v>45</v>
      </c>
      <c r="B105" s="3263" t="s">
        <v>708</v>
      </c>
      <c r="C105" s="882" t="s">
        <v>709</v>
      </c>
      <c r="D105" s="818" t="s">
        <v>710</v>
      </c>
      <c r="E105" s="895">
        <v>0.2</v>
      </c>
      <c r="F105" s="882">
        <v>30</v>
      </c>
    </row>
    <row r="106" spans="1:6" s="878" customFormat="1" ht="48">
      <c r="A106" s="882">
        <v>46</v>
      </c>
      <c r="B106" s="3263"/>
      <c r="C106" s="882" t="s">
        <v>711</v>
      </c>
      <c r="D106" s="818" t="s">
        <v>712</v>
      </c>
      <c r="E106" s="895">
        <v>0.2</v>
      </c>
      <c r="F106" s="882">
        <v>30</v>
      </c>
    </row>
    <row r="107" spans="1:6" s="878" customFormat="1" ht="36">
      <c r="A107" s="882">
        <v>47</v>
      </c>
      <c r="B107" s="3263" t="s">
        <v>713</v>
      </c>
      <c r="C107" s="882" t="s">
        <v>714</v>
      </c>
      <c r="D107" s="818" t="s">
        <v>715</v>
      </c>
      <c r="E107" s="895">
        <v>0.3</v>
      </c>
      <c r="F107" s="882">
        <v>50</v>
      </c>
    </row>
    <row r="108" spans="1:6" s="878" customFormat="1" ht="48">
      <c r="A108" s="882">
        <v>48</v>
      </c>
      <c r="B108" s="326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48">
      <c r="A110" s="882">
        <v>50</v>
      </c>
      <c r="B110" s="882" t="s">
        <v>721</v>
      </c>
      <c r="C110" s="882" t="s">
        <v>722</v>
      </c>
      <c r="D110" s="818" t="s">
        <v>723</v>
      </c>
      <c r="E110" s="895">
        <v>0.2</v>
      </c>
      <c r="F110" s="882">
        <v>30</v>
      </c>
    </row>
    <row r="111" spans="1:6" s="878" customFormat="1" ht="48">
      <c r="A111" s="882">
        <v>51</v>
      </c>
      <c r="B111" s="3263" t="s">
        <v>724</v>
      </c>
      <c r="C111" s="882" t="s">
        <v>725</v>
      </c>
      <c r="D111" s="818" t="s">
        <v>726</v>
      </c>
      <c r="E111" s="895">
        <v>0.2</v>
      </c>
      <c r="F111" s="882">
        <v>30</v>
      </c>
    </row>
    <row r="112" spans="1:6" s="878" customFormat="1" ht="36">
      <c r="A112" s="882">
        <v>52</v>
      </c>
      <c r="B112" s="3263"/>
      <c r="C112" s="882" t="s">
        <v>727</v>
      </c>
      <c r="D112" s="818" t="s">
        <v>728</v>
      </c>
      <c r="E112" s="895">
        <v>0.2</v>
      </c>
      <c r="F112" s="882">
        <v>30</v>
      </c>
    </row>
    <row r="113" spans="1:6" s="878" customFormat="1" ht="36">
      <c r="A113" s="882">
        <v>53</v>
      </c>
      <c r="B113" s="3263"/>
      <c r="C113" s="882" t="s">
        <v>729</v>
      </c>
      <c r="D113" s="818" t="s">
        <v>730</v>
      </c>
      <c r="E113" s="895">
        <v>0.2</v>
      </c>
      <c r="F113" s="882">
        <v>30</v>
      </c>
    </row>
    <row r="114" spans="1:6" ht="48">
      <c r="A114" s="882">
        <v>54</v>
      </c>
      <c r="B114" s="882" t="s">
        <v>731</v>
      </c>
      <c r="C114" s="882" t="s">
        <v>732</v>
      </c>
      <c r="D114" s="818" t="s">
        <v>733</v>
      </c>
      <c r="E114" s="895">
        <v>0.2</v>
      </c>
      <c r="F114" s="882">
        <v>30</v>
      </c>
    </row>
    <row r="115" spans="1:6" ht="36">
      <c r="A115" s="882">
        <v>55</v>
      </c>
      <c r="B115" s="882" t="s">
        <v>734</v>
      </c>
      <c r="C115" s="882" t="s">
        <v>735</v>
      </c>
      <c r="D115" s="818" t="s">
        <v>736</v>
      </c>
      <c r="E115" s="895">
        <v>0.2</v>
      </c>
      <c r="F115" s="882">
        <v>30</v>
      </c>
    </row>
    <row r="116" spans="1:6" ht="36">
      <c r="A116" s="882">
        <v>56</v>
      </c>
      <c r="B116" s="3263" t="s">
        <v>737</v>
      </c>
      <c r="C116" s="882" t="s">
        <v>738</v>
      </c>
      <c r="D116" s="818" t="s">
        <v>739</v>
      </c>
      <c r="E116" s="895">
        <v>0.2</v>
      </c>
      <c r="F116" s="882">
        <v>30</v>
      </c>
    </row>
    <row r="117" spans="1:6" ht="36">
      <c r="A117" s="882">
        <v>57</v>
      </c>
      <c r="B117" s="3263"/>
      <c r="C117" s="882" t="s">
        <v>740</v>
      </c>
      <c r="D117" s="818" t="s">
        <v>741</v>
      </c>
      <c r="E117" s="895">
        <v>0.2</v>
      </c>
      <c r="F117" s="882">
        <v>30</v>
      </c>
    </row>
    <row r="118" spans="1:6" ht="36">
      <c r="A118" s="882">
        <v>58</v>
      </c>
      <c r="B118" s="882" t="s">
        <v>742</v>
      </c>
      <c r="C118" s="882" t="s">
        <v>743</v>
      </c>
      <c r="D118" s="818" t="s">
        <v>744</v>
      </c>
      <c r="E118" s="895">
        <v>0.2</v>
      </c>
      <c r="F118" s="882">
        <v>30</v>
      </c>
    </row>
    <row r="119" spans="1:6" ht="14.4">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5"/>
    <col min="2" max="16384" width="9" style="898"/>
  </cols>
  <sheetData>
    <row r="1" spans="1:14" ht="15.6">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5.6">
      <c r="A103" s="896" t="s">
        <v>748</v>
      </c>
      <c r="B103" s="897"/>
      <c r="C103" s="897"/>
      <c r="D103" s="897"/>
      <c r="E103" s="897"/>
      <c r="F103" s="897"/>
      <c r="G103" s="897"/>
      <c r="H103" s="897"/>
      <c r="I103" s="897"/>
      <c r="J103" s="897"/>
      <c r="K103" s="897"/>
      <c r="L103" s="897"/>
      <c r="M103" s="897"/>
      <c r="N103" s="897"/>
    </row>
    <row r="104" spans="1:14" ht="15.6">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5.6">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5.6">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3.8"/>
  <cols>
    <col min="1" max="1" width="23.33203125" style="1948" customWidth="1"/>
    <col min="2" max="2" width="12.44140625" style="1948" customWidth="1"/>
    <col min="3" max="3" width="12.109375" style="1948" customWidth="1"/>
    <col min="4" max="4" width="14.109375" style="1948" customWidth="1"/>
    <col min="5" max="5" width="12.44140625" style="1948" customWidth="1"/>
    <col min="6" max="16384" width="9" style="1948"/>
  </cols>
  <sheetData>
    <row r="1" spans="1:5" ht="21.6">
      <c r="A1" s="2565" t="s">
        <v>3003</v>
      </c>
    </row>
    <row r="2" spans="1:5" ht="15.6">
      <c r="A2" s="2914" t="s">
        <v>2995</v>
      </c>
      <c r="B2" s="2915" t="e">
        <f ca="1">SUMIF(B6:B13,"&lt;&gt;#ref!",B6:B13)</f>
        <v>#DIV/0!</v>
      </c>
      <c r="C2" s="2914" t="s">
        <v>2996</v>
      </c>
      <c r="D2" s="2914" t="s">
        <v>2997</v>
      </c>
      <c r="E2" s="2915">
        <f ca="1">SUMIF(E6:E13,"&lt;&gt;#ref!",E6:E13)</f>
        <v>0</v>
      </c>
    </row>
    <row r="3" spans="1:5" ht="15.6">
      <c r="A3" s="2914" t="s">
        <v>2998</v>
      </c>
      <c r="B3" s="2915" t="e">
        <f ca="1">ROUND(B2*10000/E2,0)</f>
        <v>#DIV/0!</v>
      </c>
      <c r="C3" s="2914" t="s">
        <v>3004</v>
      </c>
      <c r="D3" s="2916"/>
      <c r="E3" s="2916"/>
    </row>
    <row r="4" spans="1:5" ht="15.6">
      <c r="A4" s="2917"/>
      <c r="B4" s="2916"/>
      <c r="C4" s="2916"/>
      <c r="D4" s="2916"/>
      <c r="E4" s="2916"/>
    </row>
    <row r="5" spans="1:5" ht="31.2">
      <c r="A5" s="2918" t="s">
        <v>2999</v>
      </c>
      <c r="B5" s="2914" t="s">
        <v>3000</v>
      </c>
      <c r="C5" s="2915"/>
      <c r="D5" s="2916"/>
      <c r="E5" s="2914" t="s">
        <v>3001</v>
      </c>
    </row>
    <row r="6" spans="1:5" ht="15.6">
      <c r="A6" s="2919" t="s">
        <v>3002</v>
      </c>
      <c r="B6" s="2915" t="e">
        <f ca="1">SUMIF(INDIRECT("'"&amp;A6&amp;"'"&amp;"!A:A"),"总价",INDIRECT("'"&amp;A6&amp;"'"&amp;"!B:B"))</f>
        <v>#DIV/0!</v>
      </c>
      <c r="C6" s="2914" t="s">
        <v>2996</v>
      </c>
      <c r="D6" s="2916"/>
      <c r="E6" s="2579">
        <f ca="1">SUMIF(INDIRECT("'"&amp;A6&amp;"'"&amp;"!C:C"),"建筑面积",INDIRECT("'"&amp;A6&amp;"'"&amp;"!D:D"))</f>
        <v>0</v>
      </c>
    </row>
    <row r="7" spans="1:5" ht="15.6">
      <c r="A7" s="2919"/>
      <c r="B7" s="2915" t="e">
        <f ca="1">SUMIF(INDIRECT("'"&amp;A7&amp;"'"&amp;"!A:A"),"总价",INDIRECT("'"&amp;A7&amp;"'"&amp;"!B:B"))</f>
        <v>#REF!</v>
      </c>
      <c r="C7" s="2914" t="s">
        <v>2996</v>
      </c>
      <c r="D7" s="2916"/>
      <c r="E7" s="2579" t="e">
        <f t="shared" ref="E7:E13" ca="1" si="0">SUMIF(INDIRECT("'"&amp;A7&amp;"'"&amp;"!C:C"),"建筑面积",INDIRECT("'"&amp;A7&amp;"'"&amp;"!D:D"))</f>
        <v>#REF!</v>
      </c>
    </row>
    <row r="8" spans="1:5" ht="15.6">
      <c r="A8" s="2919"/>
      <c r="B8" s="2915" t="e">
        <f t="shared" ref="B8:B13" ca="1" si="1">SUMIF(INDIRECT("'"&amp;A8&amp;"'"&amp;"!A:A"),"总价",INDIRECT("'"&amp;A8&amp;"'"&amp;"!B:B"))</f>
        <v>#REF!</v>
      </c>
      <c r="C8" s="2914" t="s">
        <v>2996</v>
      </c>
      <c r="D8" s="2916"/>
      <c r="E8" s="2579" t="e">
        <f t="shared" ca="1" si="0"/>
        <v>#REF!</v>
      </c>
    </row>
    <row r="9" spans="1:5" ht="15.6">
      <c r="A9" s="2919"/>
      <c r="B9" s="2915" t="e">
        <f t="shared" ca="1" si="1"/>
        <v>#REF!</v>
      </c>
      <c r="C9" s="2914" t="s">
        <v>2996</v>
      </c>
      <c r="D9" s="2916"/>
      <c r="E9" s="2579" t="e">
        <f t="shared" ca="1" si="0"/>
        <v>#REF!</v>
      </c>
    </row>
    <row r="10" spans="1:5" ht="15.6">
      <c r="A10" s="2919"/>
      <c r="B10" s="2915" t="e">
        <f t="shared" ca="1" si="1"/>
        <v>#REF!</v>
      </c>
      <c r="C10" s="2914" t="s">
        <v>2996</v>
      </c>
      <c r="D10" s="2916"/>
      <c r="E10" s="2579" t="e">
        <f t="shared" ca="1" si="0"/>
        <v>#REF!</v>
      </c>
    </row>
    <row r="11" spans="1:5" ht="15.6">
      <c r="A11" s="2919"/>
      <c r="B11" s="2915" t="e">
        <f t="shared" ca="1" si="1"/>
        <v>#REF!</v>
      </c>
      <c r="C11" s="2914" t="s">
        <v>2996</v>
      </c>
      <c r="D11" s="2916"/>
      <c r="E11" s="2579" t="e">
        <f t="shared" ca="1" si="0"/>
        <v>#REF!</v>
      </c>
    </row>
    <row r="12" spans="1:5" ht="15.6">
      <c r="A12" s="2919"/>
      <c r="B12" s="2915" t="e">
        <f t="shared" ca="1" si="1"/>
        <v>#REF!</v>
      </c>
      <c r="C12" s="2914" t="s">
        <v>2996</v>
      </c>
      <c r="D12" s="2916"/>
      <c r="E12" s="2579" t="e">
        <f t="shared" ca="1" si="0"/>
        <v>#REF!</v>
      </c>
    </row>
    <row r="13" spans="1:5" ht="15.6">
      <c r="A13" s="2919"/>
      <c r="B13" s="2915" t="e">
        <f t="shared" ca="1" si="1"/>
        <v>#REF!</v>
      </c>
      <c r="C13" s="2914" t="s">
        <v>2996</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U43" sqref="U43"/>
    </sheetView>
  </sheetViews>
  <sheetFormatPr defaultColWidth="9" defaultRowHeight="13.2"/>
  <cols>
    <col min="1" max="1" width="9" style="1474"/>
    <col min="2" max="6" width="9" style="1474" customWidth="1"/>
    <col min="7" max="7" width="9" style="1489"/>
    <col min="8" max="8" width="9" style="1474"/>
    <col min="9" max="12" width="9" style="1474" customWidth="1"/>
    <col min="13" max="13" width="2.21875" style="1474" customWidth="1"/>
    <col min="14" max="14" width="9" style="1489" customWidth="1"/>
    <col min="15" max="17" width="9" style="1474" customWidth="1"/>
    <col min="18" max="18" width="2.33203125" style="1474" customWidth="1"/>
    <col min="19" max="19" width="7.109375" style="1489" customWidth="1"/>
    <col min="20" max="22" width="7.109375" style="1474" customWidth="1"/>
    <col min="23" max="23" width="24.21875" style="1474" customWidth="1"/>
    <col min="24" max="25" width="9" style="1474"/>
    <col min="26" max="27" width="11.6640625" style="1474" customWidth="1"/>
    <col min="28" max="28" width="9" style="1474"/>
    <col min="29" max="29" width="2" style="1474" customWidth="1"/>
    <col min="30" max="16384" width="9" style="1474"/>
  </cols>
  <sheetData>
    <row r="1" spans="1:34" s="1448" customFormat="1">
      <c r="B1" s="3269" t="s">
        <v>1150</v>
      </c>
      <c r="C1" s="3269"/>
      <c r="D1" s="3269"/>
      <c r="E1" s="3269"/>
      <c r="F1" s="3269"/>
      <c r="G1" s="3265" t="s">
        <v>1151</v>
      </c>
      <c r="H1" s="3265"/>
      <c r="I1" s="3265"/>
      <c r="J1" s="3265"/>
      <c r="K1" s="3265"/>
      <c r="L1" s="3265"/>
      <c r="N1" s="3265" t="s">
        <v>1152</v>
      </c>
      <c r="O1" s="3265"/>
      <c r="P1" s="3265"/>
      <c r="Q1" s="3265"/>
      <c r="R1" s="1449"/>
      <c r="S1" s="3265" t="s">
        <v>1153</v>
      </c>
      <c r="T1" s="3265"/>
      <c r="U1" s="3265"/>
      <c r="V1" s="3265"/>
      <c r="X1" s="3264" t="s">
        <v>1154</v>
      </c>
      <c r="Y1" s="3265"/>
      <c r="Z1" s="3265"/>
      <c r="AA1" s="3265"/>
      <c r="AB1" s="3265"/>
      <c r="AD1" s="3264" t="s">
        <v>1155</v>
      </c>
      <c r="AE1" s="3265"/>
      <c r="AF1" s="3265"/>
      <c r="AG1" s="3265"/>
      <c r="AH1" s="3265"/>
    </row>
    <row r="2" spans="1:34" s="1450" customFormat="1" ht="1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4">
      <c r="A3" s="2942" t="s">
        <v>3038</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1.4733000000000001</v>
      </c>
      <c r="Y3" s="2940">
        <f>ROUND(SUMPRODUCT(PRODUCT(1+O3:O$22)),4)</f>
        <v>1.3052999999999999</v>
      </c>
      <c r="Z3" s="2940">
        <f t="shared" ref="Z3:Z20" si="0">Y3</f>
        <v>1.3052999999999999</v>
      </c>
      <c r="AA3" s="2940">
        <f>ROUND(SUMPRODUCT(PRODUCT(1+P3:P$22)),4)</f>
        <v>1.5306999999999999</v>
      </c>
      <c r="AB3" s="2940">
        <f>ROUND(SUMPRODUCT(PRODUCT(1+Q3:Q$22)),4)</f>
        <v>1.2863</v>
      </c>
      <c r="AD3" s="2941">
        <f>ROUND(AVERAGE(I3:I$23)/100,4)</f>
        <v>2.24E-2</v>
      </c>
      <c r="AE3" s="2941">
        <f>ROUND(AVERAGE(J3:J$23)/100,4)</f>
        <v>1.54E-2</v>
      </c>
      <c r="AF3" s="2941">
        <f t="shared" ref="AF3:AF21" si="1">AE3</f>
        <v>1.54E-2</v>
      </c>
      <c r="AG3" s="2941">
        <f>ROUND(AVERAGE(K3:K$23)/100,4)</f>
        <v>2.47E-2</v>
      </c>
      <c r="AH3" s="2941">
        <f>ROUND(AVERAGE(L3:L$23)/100,4)</f>
        <v>1.41E-2</v>
      </c>
    </row>
    <row r="4" spans="1:34" s="1456" customFormat="1" ht="14.4">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3045</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45">
        <v>2018</v>
      </c>
      <c r="H5" s="1733">
        <v>3</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3039</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8" thickBot="1">
      <c r="A6" s="1464" t="s">
        <v>3046</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43"/>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8" thickBot="1">
      <c r="A7" s="1464" t="s">
        <v>3037</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43"/>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3034</v>
      </c>
      <c r="B8" s="1472">
        <v>439</v>
      </c>
      <c r="C8" s="1472">
        <v>327</v>
      </c>
      <c r="D8" s="1472">
        <f>C8</f>
        <v>327</v>
      </c>
      <c r="E8" s="1472">
        <v>627</v>
      </c>
      <c r="F8" s="1473">
        <v>283</v>
      </c>
      <c r="G8" s="2930">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8" thickBot="1">
      <c r="A9" s="1464" t="s">
        <v>3035</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6"/>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25"/>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8" thickBot="1">
      <c r="A11" s="1464" t="s">
        <v>1161</v>
      </c>
      <c r="B11" s="1480">
        <f>B12*(1+N11)</f>
        <v>405.524</v>
      </c>
      <c r="C11" s="1480">
        <f>C12*(1+O11)</f>
        <v>307.79840000000002</v>
      </c>
      <c r="D11" s="1480">
        <f>C11</f>
        <v>307.79840000000002</v>
      </c>
      <c r="E11" s="1480">
        <f>E12*(1+P11)</f>
        <v>574.67759999999998</v>
      </c>
      <c r="F11" s="1480">
        <f>F12*(1+Q11)</f>
        <v>270.20280000000002</v>
      </c>
      <c r="G11" s="2926"/>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0">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67"/>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67"/>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8"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68"/>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8" thickBot="1">
      <c r="A16" s="1464" t="s">
        <v>151</v>
      </c>
      <c r="B16" s="1472">
        <v>333</v>
      </c>
      <c r="C16" s="1472">
        <v>277</v>
      </c>
      <c r="D16" s="1472">
        <f t="shared" si="54"/>
        <v>277</v>
      </c>
      <c r="E16" s="1472">
        <v>459</v>
      </c>
      <c r="F16" s="1473">
        <v>249</v>
      </c>
      <c r="G16" s="3266">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67"/>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67"/>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68"/>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8" thickBot="1">
      <c r="A20" s="1464" t="s">
        <v>147</v>
      </c>
      <c r="B20" s="1493">
        <v>318</v>
      </c>
      <c r="C20" s="1493">
        <v>268</v>
      </c>
      <c r="D20" s="1493">
        <f t="shared" si="54"/>
        <v>268</v>
      </c>
      <c r="E20" s="1493">
        <v>437</v>
      </c>
      <c r="F20" s="1494">
        <v>237</v>
      </c>
      <c r="G20" s="3266">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67"/>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8"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67"/>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8"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68"/>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8" thickBot="1">
      <c r="A24" s="1464" t="s">
        <v>1163</v>
      </c>
      <c r="B24" s="1472">
        <v>299</v>
      </c>
      <c r="C24" s="1472">
        <v>252</v>
      </c>
      <c r="D24" s="1472">
        <f t="shared" si="54"/>
        <v>252</v>
      </c>
      <c r="E24" s="1472">
        <v>409</v>
      </c>
      <c r="F24" s="1473">
        <v>227</v>
      </c>
      <c r="G24" s="3271">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72"/>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72"/>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73"/>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8" thickBot="1">
      <c r="A28" s="1464" t="s">
        <v>1167</v>
      </c>
      <c r="B28" s="1514">
        <v>278</v>
      </c>
      <c r="C28" s="1514">
        <v>234</v>
      </c>
      <c r="D28" s="1514">
        <f t="shared" si="54"/>
        <v>234</v>
      </c>
      <c r="E28" s="1514">
        <v>379</v>
      </c>
      <c r="F28" s="1515">
        <v>220</v>
      </c>
      <c r="G28" s="3266">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67"/>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67"/>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8" thickBot="1">
      <c r="A31" s="1464" t="s">
        <v>1170</v>
      </c>
      <c r="B31" s="1480">
        <f>B30/(1+N30)</f>
        <v>275.19025476197027</v>
      </c>
      <c r="C31" s="1516">
        <v>232</v>
      </c>
      <c r="D31" s="1516">
        <f t="shared" si="54"/>
        <v>232</v>
      </c>
      <c r="E31" s="1480">
        <f t="shared" si="65"/>
        <v>375.65990977608692</v>
      </c>
      <c r="F31" s="1480">
        <f t="shared" si="65"/>
        <v>214.12518283971252</v>
      </c>
      <c r="G31" s="3268"/>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8" thickBot="1">
      <c r="A32" s="1464" t="s">
        <v>1171</v>
      </c>
      <c r="B32" s="1472">
        <v>275</v>
      </c>
      <c r="C32" s="1472">
        <v>232</v>
      </c>
      <c r="D32" s="1472">
        <f t="shared" si="54"/>
        <v>232</v>
      </c>
      <c r="E32" s="1472">
        <v>376</v>
      </c>
      <c r="F32" s="1473">
        <v>213</v>
      </c>
      <c r="G32" s="3266">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67">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67">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8"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68">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8" thickBot="1">
      <c r="A36" s="1464" t="s">
        <v>1175</v>
      </c>
      <c r="B36" s="1472">
        <v>269</v>
      </c>
      <c r="C36" s="1472">
        <v>221</v>
      </c>
      <c r="D36" s="1472">
        <f t="shared" si="54"/>
        <v>221</v>
      </c>
      <c r="E36" s="1472">
        <v>373</v>
      </c>
      <c r="F36" s="1473">
        <v>196</v>
      </c>
      <c r="G36" s="3266">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67">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67">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8"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68">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8" thickBot="1">
      <c r="A40" s="1464" t="s">
        <v>1179</v>
      </c>
      <c r="B40" s="1472">
        <v>220</v>
      </c>
      <c r="C40" s="1472">
        <v>187</v>
      </c>
      <c r="D40" s="1472">
        <f t="shared" si="54"/>
        <v>187</v>
      </c>
      <c r="E40" s="1472">
        <v>301</v>
      </c>
      <c r="F40" s="1473">
        <v>168</v>
      </c>
      <c r="G40" s="3266">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67">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67">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68">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8" thickBot="1">
      <c r="A44" s="1464" t="s">
        <v>1183</v>
      </c>
      <c r="B44" s="1514">
        <v>214</v>
      </c>
      <c r="C44" s="1514">
        <v>188</v>
      </c>
      <c r="D44" s="1514">
        <f t="shared" si="54"/>
        <v>188</v>
      </c>
      <c r="E44" s="1514">
        <v>289</v>
      </c>
      <c r="F44" s="1515">
        <v>166</v>
      </c>
      <c r="G44" s="3266">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67">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67">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8"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68">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8" thickBot="1">
      <c r="A48" s="1464" t="s">
        <v>1187</v>
      </c>
      <c r="B48" s="1472">
        <v>188</v>
      </c>
      <c r="C48" s="1472">
        <v>165</v>
      </c>
      <c r="D48" s="1472">
        <f t="shared" si="54"/>
        <v>165</v>
      </c>
      <c r="E48" s="1472">
        <v>254</v>
      </c>
      <c r="F48" s="1473">
        <v>148</v>
      </c>
      <c r="G48" s="3266">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67">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67">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68">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8" thickBot="1">
      <c r="A52" s="1464" t="s">
        <v>1191</v>
      </c>
      <c r="B52" s="1493">
        <v>159</v>
      </c>
      <c r="C52" s="1493">
        <v>141</v>
      </c>
      <c r="D52" s="1493">
        <f t="shared" si="54"/>
        <v>141</v>
      </c>
      <c r="E52" s="1493">
        <v>195</v>
      </c>
      <c r="F52" s="1494">
        <v>122</v>
      </c>
      <c r="G52" s="3266">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67">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67">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68">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8" thickBot="1">
      <c r="A56" s="1464" t="s">
        <v>1195</v>
      </c>
      <c r="B56" s="1493">
        <v>138</v>
      </c>
      <c r="C56" s="1493">
        <v>131</v>
      </c>
      <c r="D56" s="1493">
        <f t="shared" si="54"/>
        <v>131</v>
      </c>
      <c r="E56" s="1493">
        <v>155</v>
      </c>
      <c r="F56" s="1494">
        <v>114</v>
      </c>
      <c r="G56" s="3266">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67">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67">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68">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8" thickBot="1">
      <c r="A60" s="1464" t="s">
        <v>1199</v>
      </c>
      <c r="B60" s="1514">
        <v>121</v>
      </c>
      <c r="C60" s="1514">
        <v>122</v>
      </c>
      <c r="D60" s="1514">
        <f t="shared" si="54"/>
        <v>122</v>
      </c>
      <c r="E60" s="1514">
        <v>124</v>
      </c>
      <c r="F60" s="1515">
        <v>107</v>
      </c>
      <c r="G60" s="3266">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67">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67">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8"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68">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8" thickBot="1">
      <c r="A64" s="1464" t="s">
        <v>1203</v>
      </c>
      <c r="B64" s="1535">
        <v>111</v>
      </c>
      <c r="C64" s="1535">
        <v>114</v>
      </c>
      <c r="D64" s="1535">
        <f t="shared" si="54"/>
        <v>114</v>
      </c>
      <c r="E64" s="1535">
        <v>108</v>
      </c>
      <c r="F64" s="1536">
        <v>104</v>
      </c>
      <c r="G64" s="3266">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67">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67">
        <v>2003</v>
      </c>
      <c r="H66" s="1468">
        <v>2</v>
      </c>
      <c r="I66" s="1537"/>
      <c r="J66" s="1537"/>
      <c r="K66" s="1537"/>
      <c r="L66" s="1537"/>
      <c r="X66" s="1529"/>
      <c r="Y66" s="1529"/>
      <c r="Z66" s="1529"/>
    </row>
    <row r="67" spans="1:26" ht="13.8" thickBot="1">
      <c r="A67" s="1464" t="s">
        <v>1206</v>
      </c>
      <c r="B67" s="1539">
        <f t="shared" si="90"/>
        <v>107.25</v>
      </c>
      <c r="C67" s="1539">
        <f t="shared" si="90"/>
        <v>108.75</v>
      </c>
      <c r="D67" s="1539">
        <f t="shared" si="54"/>
        <v>108.75</v>
      </c>
      <c r="E67" s="1539">
        <f t="shared" si="91"/>
        <v>105.75</v>
      </c>
      <c r="F67" s="1539">
        <f t="shared" si="91"/>
        <v>102.5</v>
      </c>
      <c r="G67" s="3268">
        <v>2003</v>
      </c>
      <c r="H67" s="1540">
        <v>1</v>
      </c>
      <c r="I67" s="1537"/>
      <c r="J67" s="1537"/>
      <c r="K67" s="1537"/>
      <c r="L67" s="1537"/>
      <c r="S67" s="1475"/>
      <c r="T67" s="1476"/>
      <c r="U67" s="1476"/>
      <c r="X67" s="1529"/>
      <c r="Y67" s="1529"/>
      <c r="Z67" s="1529"/>
    </row>
    <row r="68" spans="1:26" ht="13.8" thickBot="1">
      <c r="A68" s="1464" t="s">
        <v>1207</v>
      </c>
      <c r="B68" s="1541">
        <v>106</v>
      </c>
      <c r="C68" s="1541">
        <v>107</v>
      </c>
      <c r="D68" s="1541">
        <f t="shared" si="54"/>
        <v>107</v>
      </c>
      <c r="E68" s="1541">
        <v>105</v>
      </c>
      <c r="F68" s="1542">
        <v>102</v>
      </c>
      <c r="G68" s="3266">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67">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67">
        <v>2002</v>
      </c>
      <c r="H70" s="1468">
        <v>2</v>
      </c>
      <c r="I70" s="1537"/>
      <c r="J70" s="1537"/>
      <c r="K70" s="1537"/>
      <c r="L70" s="1537"/>
      <c r="X70" s="1529"/>
      <c r="Y70" s="1529"/>
      <c r="Z70" s="1529"/>
    </row>
    <row r="71" spans="1:26" s="1501" customFormat="1" ht="13.8" thickBot="1">
      <c r="A71" s="1497" t="s">
        <v>1210</v>
      </c>
      <c r="B71" s="1543">
        <f t="shared" si="92"/>
        <v>103</v>
      </c>
      <c r="C71" s="1543">
        <f t="shared" si="92"/>
        <v>104</v>
      </c>
      <c r="D71" s="1543">
        <f t="shared" si="54"/>
        <v>104</v>
      </c>
      <c r="E71" s="1543">
        <f t="shared" si="93"/>
        <v>103.5</v>
      </c>
      <c r="F71" s="1543">
        <f t="shared" si="93"/>
        <v>100.5</v>
      </c>
      <c r="G71" s="3268">
        <v>2002</v>
      </c>
      <c r="H71" s="1544">
        <v>1</v>
      </c>
      <c r="I71" s="1545"/>
      <c r="J71" s="1545"/>
      <c r="K71" s="1545"/>
      <c r="L71" s="1545"/>
      <c r="N71" s="1546"/>
      <c r="S71" s="1546"/>
      <c r="X71" s="1547"/>
      <c r="Y71" s="1547"/>
      <c r="Z71" s="1547"/>
    </row>
    <row r="72" spans="1:26" ht="13.8"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8"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8"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63" customWidth="1"/>
    <col min="2" max="2" width="37.21875" style="1963" customWidth="1"/>
    <col min="3" max="3" width="11.33203125" style="1963" customWidth="1"/>
    <col min="4" max="4" width="31.77734375" style="1963" customWidth="1"/>
    <col min="5" max="5" width="0.44140625" style="1963" customWidth="1"/>
    <col min="6" max="7" width="13" style="1963" customWidth="1"/>
    <col min="8" max="16384" width="9" style="1963"/>
  </cols>
  <sheetData>
    <row r="1" spans="1:5" ht="17.399999999999999">
      <c r="A1" s="1961" t="s">
        <v>1621</v>
      </c>
      <c r="B1" s="1962"/>
      <c r="C1" s="1962"/>
      <c r="D1" s="1962"/>
      <c r="E1" s="1962"/>
    </row>
    <row r="2" spans="1:5" ht="78" customHeight="1">
      <c r="A2" s="29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3"/>
      <c r="C2" s="2963"/>
      <c r="D2" s="2963"/>
      <c r="E2" s="2963"/>
    </row>
    <row r="3" spans="1:5" ht="17.399999999999999">
      <c r="A3" s="2964" t="str">
        <f>IF(项目基本情况!B9="房地产市场价值","估价结果一览表（市场价值不需“结果表-1”）","估价结果一览表")</f>
        <v>估价结果一览表</v>
      </c>
      <c r="B3" s="2964"/>
      <c r="C3" s="2964"/>
      <c r="D3" s="2964"/>
      <c r="E3" s="2964"/>
    </row>
    <row r="4" spans="1:5" ht="18" thickBot="1">
      <c r="A4" s="1964"/>
      <c r="B4" s="2962" t="s">
        <v>1630</v>
      </c>
      <c r="C4" s="2962"/>
      <c r="D4" s="2962"/>
      <c r="E4" s="1964"/>
    </row>
    <row r="5" spans="1:5" ht="16.2" thickTop="1">
      <c r="A5" s="1962"/>
      <c r="B5" s="2960" t="s">
        <v>1622</v>
      </c>
      <c r="C5" s="1965" t="s">
        <v>1623</v>
      </c>
      <c r="D5" s="1043">
        <f ca="1">结果表!H101</f>
        <v>13889</v>
      </c>
      <c r="E5" s="1962"/>
    </row>
    <row r="6" spans="1:5" ht="15.6">
      <c r="A6" s="1962"/>
      <c r="B6" s="2960"/>
      <c r="C6" s="1965" t="s">
        <v>1624</v>
      </c>
      <c r="D6" s="1043" t="str">
        <f ca="1">NUMBERSTRING(INT(D5*10000),2)&amp;"元整"</f>
        <v>壹亿叁仟捌佰捌拾玖万元整</v>
      </c>
      <c r="E6" s="1962"/>
    </row>
    <row r="7" spans="1:5" ht="15.6">
      <c r="A7" s="1962"/>
      <c r="B7" s="2965"/>
      <c r="C7" s="1966" t="s">
        <v>1625</v>
      </c>
      <c r="D7" s="1044">
        <f ca="1">结果表!H102</f>
        <v>3778</v>
      </c>
      <c r="E7" s="1962"/>
    </row>
    <row r="8" spans="1:5" ht="15.6">
      <c r="A8" s="1962"/>
      <c r="B8" s="2966" t="str">
        <f>结果表!E103</f>
        <v>2.估价师知悉的法定优先受偿款</v>
      </c>
      <c r="C8" s="1967" t="s">
        <v>1626</v>
      </c>
      <c r="D8" s="1044">
        <f>结果表!H103</f>
        <v>0</v>
      </c>
      <c r="E8" s="1962"/>
    </row>
    <row r="9" spans="1:5" ht="15.6">
      <c r="A9" s="1962"/>
      <c r="B9" s="2968"/>
      <c r="C9" s="1965" t="s">
        <v>1624</v>
      </c>
      <c r="D9" s="1043" t="str">
        <f>NUMBERSTRING(INT(D8*10000),2)&amp;"元整"</f>
        <v>零元整</v>
      </c>
      <c r="E9" s="1962"/>
    </row>
    <row r="10" spans="1:5" ht="15.6">
      <c r="A10" s="1962"/>
      <c r="B10" s="1968" t="s">
        <v>1629</v>
      </c>
      <c r="C10" s="1969" t="s">
        <v>1627</v>
      </c>
      <c r="D10" s="1045">
        <f>结果表!H104</f>
        <v>0</v>
      </c>
      <c r="E10" s="1962"/>
    </row>
    <row r="11" spans="1:5" ht="15.6">
      <c r="A11" s="1962"/>
      <c r="B11" s="1968" t="s">
        <v>1631</v>
      </c>
      <c r="C11" s="1969" t="s">
        <v>1632</v>
      </c>
      <c r="D11" s="1045">
        <f>结果表!H105</f>
        <v>0</v>
      </c>
      <c r="E11" s="1962"/>
    </row>
    <row r="12" spans="1:5" ht="15.6">
      <c r="A12" s="1962"/>
      <c r="B12" s="1968" t="s">
        <v>1633</v>
      </c>
      <c r="C12" s="1969" t="s">
        <v>1632</v>
      </c>
      <c r="D12" s="1045">
        <f>结果表!H106</f>
        <v>0</v>
      </c>
      <c r="E12" s="1962"/>
    </row>
    <row r="13" spans="1:5" ht="15.6">
      <c r="A13" s="1962"/>
      <c r="B13" s="2959" t="str">
        <f>结果表!E107</f>
        <v>3.房地产抵押价值</v>
      </c>
      <c r="C13" s="1970" t="s">
        <v>1623</v>
      </c>
      <c r="D13" s="1046">
        <f ca="1">结果表!H107</f>
        <v>13889</v>
      </c>
      <c r="E13" s="1962"/>
    </row>
    <row r="14" spans="1:5" ht="15.6">
      <c r="A14" s="1962"/>
      <c r="B14" s="2960"/>
      <c r="C14" s="1965" t="s">
        <v>1624</v>
      </c>
      <c r="D14" s="1043" t="str">
        <f ca="1">NUMBERSTRING(INT(D13*10000),2)&amp;"元整"</f>
        <v>壹亿叁仟捌佰捌拾玖万元整</v>
      </c>
      <c r="E14" s="1962"/>
    </row>
    <row r="15" spans="1:5" ht="15.6">
      <c r="A15" s="1962"/>
      <c r="B15" s="2965"/>
      <c r="C15" s="1966" t="s">
        <v>1634</v>
      </c>
      <c r="D15" s="1055">
        <f ca="1">结果表!H108</f>
        <v>3778</v>
      </c>
      <c r="E15" s="1962"/>
    </row>
    <row r="16" spans="1:5" ht="15.6">
      <c r="A16" s="1962"/>
      <c r="B16" s="2966" t="str">
        <f>结果表!E109</f>
        <v>——</v>
      </c>
      <c r="C16" s="1970" t="s">
        <v>1635</v>
      </c>
      <c r="D16" s="1971" t="str">
        <f>结果表!H109</f>
        <v>——</v>
      </c>
      <c r="E16" s="1962"/>
    </row>
    <row r="17" spans="1:5" ht="15.6">
      <c r="A17" s="1962"/>
      <c r="B17" s="2967"/>
      <c r="C17" s="1965" t="s">
        <v>1636</v>
      </c>
      <c r="D17" s="1043" t="e">
        <f>NUMBERSTRING(INT(D16*10000),2)&amp;"元整"</f>
        <v>#VALUE!</v>
      </c>
      <c r="E17" s="1962"/>
    </row>
    <row r="18" spans="1:5" ht="15.6">
      <c r="A18" s="1962"/>
      <c r="B18" s="2968"/>
      <c r="C18" s="1966" t="s">
        <v>1625</v>
      </c>
      <c r="D18" s="1055" t="str">
        <f>结果表!H110</f>
        <v>——</v>
      </c>
      <c r="E18" s="1962"/>
    </row>
    <row r="19" spans="1:5" ht="15.6">
      <c r="A19" s="1962"/>
      <c r="B19" s="2959" t="str">
        <f>结果表!E111</f>
        <v>——</v>
      </c>
      <c r="C19" s="1970" t="s">
        <v>1623</v>
      </c>
      <c r="D19" s="1044" t="str">
        <f>结果表!H111</f>
        <v>——</v>
      </c>
      <c r="E19" s="1962"/>
    </row>
    <row r="20" spans="1:5" ht="15.6">
      <c r="A20" s="1962"/>
      <c r="B20" s="2960"/>
      <c r="C20" s="1965" t="s">
        <v>1636</v>
      </c>
      <c r="D20" s="1043" t="e">
        <f>NUMBERSTRING(INT(D19*10000),2)&amp;"元整"</f>
        <v>#VALUE!</v>
      </c>
      <c r="E20" s="1962"/>
    </row>
    <row r="21" spans="1:5" ht="16.2" thickBot="1">
      <c r="A21" s="1962"/>
      <c r="B21" s="2961"/>
      <c r="C21" s="1972" t="s">
        <v>1634</v>
      </c>
      <c r="D21" s="1056" t="str">
        <f>结果表!H112</f>
        <v>——</v>
      </c>
      <c r="E21" s="1962"/>
    </row>
    <row r="22" spans="1:5" ht="14.4" thickTop="1">
      <c r="A22" s="1962"/>
      <c r="B22" s="1973" t="s">
        <v>1637</v>
      </c>
      <c r="C22" s="1962"/>
      <c r="D22" s="1962"/>
      <c r="E22" s="1962"/>
    </row>
    <row r="23" spans="1:5">
      <c r="A23" s="1962"/>
      <c r="B23" s="1962"/>
      <c r="C23" s="1962"/>
      <c r="D23" s="1962"/>
      <c r="E23" s="1962"/>
    </row>
    <row r="24" spans="1:5" ht="17.399999999999999">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75" t="s">
        <v>3006</v>
      </c>
      <c r="D1" s="3276"/>
      <c r="E1" s="3276"/>
      <c r="F1" s="3276"/>
      <c r="G1" s="3276"/>
      <c r="H1" s="3276"/>
      <c r="I1" s="3276"/>
      <c r="J1" s="3276"/>
      <c r="K1" s="3276"/>
      <c r="L1" s="3276"/>
      <c r="M1" s="3276"/>
      <c r="N1" s="3276"/>
      <c r="O1" s="3276"/>
      <c r="P1" s="3276"/>
      <c r="Q1" s="3276"/>
      <c r="R1" s="3276"/>
      <c r="S1" s="3277"/>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3015</v>
      </c>
      <c r="B17" s="2921"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8"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3017</v>
      </c>
      <c r="E19" s="1795"/>
      <c r="F19" s="1795"/>
      <c r="G19" s="1795"/>
      <c r="H19" s="1283"/>
      <c r="I19" s="168"/>
      <c r="J19" s="168"/>
      <c r="K19" s="168"/>
      <c r="L19" s="168"/>
      <c r="M19" s="168"/>
      <c r="N19" s="168"/>
      <c r="O19" s="168"/>
      <c r="P19" s="168"/>
      <c r="Q19" s="168"/>
      <c r="R19" s="788"/>
      <c r="S19" s="138"/>
    </row>
    <row r="20" spans="1:45" ht="16.2" thickBot="1">
      <c r="A20" s="715" t="s">
        <v>3018</v>
      </c>
      <c r="B20" s="338" t="e">
        <f ca="1">IF(D20="——",S22,S22-F20)</f>
        <v>#REF!</v>
      </c>
      <c r="C20" s="168"/>
      <c r="D20" s="2923" t="s">
        <v>3019</v>
      </c>
      <c r="E20" s="1796"/>
      <c r="F20" s="1207" t="e">
        <f ca="1">SUMIF(INDIRECT("'"&amp;H20&amp;"'"&amp;"!A:A"),"承租人权益价值",INDIRECT("'"&amp;H20&amp;"'"&amp;"!c:c"))</f>
        <v>#REF!</v>
      </c>
      <c r="G20" s="1207" t="s">
        <v>3020</v>
      </c>
      <c r="H20" s="2924"/>
      <c r="I20" s="168"/>
      <c r="J20" s="168"/>
      <c r="K20" s="168"/>
      <c r="L20" s="168"/>
      <c r="M20" s="168"/>
      <c r="N20" s="168"/>
      <c r="O20" s="168"/>
      <c r="P20" s="168"/>
      <c r="Q20" s="168"/>
      <c r="R20" s="788"/>
      <c r="S20" s="138"/>
    </row>
    <row r="21" spans="1:45" ht="15.6">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59" t="s">
        <v>33</v>
      </c>
      <c r="D22" s="3060"/>
      <c r="E22" s="3060"/>
      <c r="F22" s="3060"/>
      <c r="G22" s="3060"/>
      <c r="H22" s="3060"/>
      <c r="I22" s="3060"/>
      <c r="J22" s="3060"/>
      <c r="K22" s="3060"/>
      <c r="L22" s="3060"/>
      <c r="M22" s="3060"/>
      <c r="N22" s="3060"/>
      <c r="O22" s="3060"/>
      <c r="P22" s="3060"/>
      <c r="Q22" s="3274"/>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33820</v>
      </c>
      <c r="C2" s="2" t="s">
        <v>133</v>
      </c>
      <c r="D2" s="243"/>
      <c r="E2" s="243"/>
      <c r="F2" s="243"/>
      <c r="G2" s="243"/>
    </row>
    <row r="3" spans="1:7" s="244" customFormat="1" ht="18" customHeight="1" thickBot="1">
      <c r="A3" s="247" t="s">
        <v>85</v>
      </c>
      <c r="B3" s="248">
        <f ca="1">ROUND(B2*10000/'数据-汇总表'!E3,0)</f>
        <v>9200</v>
      </c>
      <c r="C3" s="2" t="s">
        <v>134</v>
      </c>
      <c r="D3" s="243"/>
      <c r="E3" s="243"/>
      <c r="F3" s="243"/>
      <c r="G3" s="243"/>
    </row>
    <row r="4" spans="1:7" s="252" customFormat="1" ht="16.2">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79</v>
      </c>
      <c r="D10" s="1035">
        <f>'数据-汇总表'!E6</f>
        <v>36762</v>
      </c>
      <c r="E10" s="269">
        <f>'数据-取费表'!B28</f>
        <v>21.6</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735</v>
      </c>
      <c r="D19" s="1039">
        <f>'数据-汇总表'!E3</f>
        <v>36762</v>
      </c>
      <c r="E19" s="255">
        <f>'数据-取费表'!B31</f>
        <v>200</v>
      </c>
      <c r="F19" s="275"/>
      <c r="G19" s="1" t="s">
        <v>1074</v>
      </c>
    </row>
    <row r="20" spans="1:7" s="258" customFormat="1" ht="13.5" customHeight="1">
      <c r="A20" s="951" t="s">
        <v>1057</v>
      </c>
      <c r="B20" s="254" t="s">
        <v>104</v>
      </c>
      <c r="C20" s="276">
        <f>ROUND((C5+C19)*F20,0)</f>
        <v>427</v>
      </c>
      <c r="D20" s="276"/>
      <c r="E20" s="276"/>
      <c r="F20" s="277">
        <f>'数据-取费表'!B37</f>
        <v>0.02</v>
      </c>
      <c r="G20" s="1292" t="s">
        <v>1068</v>
      </c>
    </row>
    <row r="21" spans="1:7" s="258" customFormat="1" ht="13.5" customHeight="1">
      <c r="A21" s="951" t="s">
        <v>1059</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938</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32</v>
      </c>
      <c r="D24" s="282"/>
      <c r="E24" s="282"/>
      <c r="F24" s="283"/>
      <c r="G24" s="284" t="s">
        <v>109</v>
      </c>
    </row>
    <row r="25" spans="1:7" s="258" customFormat="1" ht="24">
      <c r="A25" s="954" t="s">
        <v>793</v>
      </c>
      <c r="B25" s="259" t="s">
        <v>1058</v>
      </c>
      <c r="C25" s="1358">
        <f ca="1">ROUND(IF('数据-取费表'!B22&lt;=1,C20*F22*'数据-取费表'!B23/2,C20*(POWER((1+F22),'数据-取费表'!B23/2)-1)),0)</f>
        <v>9</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6.4">
      <c r="A27" s="951" t="s">
        <v>787</v>
      </c>
      <c r="B27" s="288" t="s">
        <v>112</v>
      </c>
      <c r="C27" s="289">
        <f>C28</f>
        <v>1089</v>
      </c>
      <c r="D27" s="279">
        <f>C29</f>
        <v>1E-3</v>
      </c>
      <c r="E27" s="280" t="s">
        <v>126</v>
      </c>
      <c r="F27" s="290">
        <f>'数据-取费表'!Q16</f>
        <v>0.05</v>
      </c>
      <c r="G27" s="291" t="s">
        <v>1069</v>
      </c>
    </row>
    <row r="28" spans="1:7" s="258" customFormat="1" ht="13.5" customHeight="1">
      <c r="A28" s="954" t="s">
        <v>794</v>
      </c>
      <c r="B28" s="292" t="s">
        <v>1062</v>
      </c>
      <c r="C28" s="293">
        <f>ROUND((C5+C19+C20)*F27*'数据-取费表'!B21/'数据-取费表'!B20,0)</f>
        <v>1089</v>
      </c>
      <c r="D28" s="279"/>
      <c r="E28" s="280"/>
      <c r="F28" s="290"/>
      <c r="G28" s="291"/>
    </row>
    <row r="29" spans="1:7" s="258" customFormat="1" ht="13.5" customHeight="1">
      <c r="A29" s="954" t="s">
        <v>792</v>
      </c>
      <c r="B29" s="292" t="s">
        <v>1063</v>
      </c>
      <c r="C29" s="282">
        <f>ROUND(C21*F27*'数据-取费表'!B21/'数据-取费表'!B20,4)</f>
        <v>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25695</v>
      </c>
      <c r="D31" s="274"/>
      <c r="E31" s="255"/>
      <c r="F31" s="294"/>
      <c r="G31" s="278" t="s">
        <v>1070</v>
      </c>
    </row>
    <row r="32" spans="1:7" s="252" customFormat="1" ht="16.2">
      <c r="A32" s="296" t="s">
        <v>114</v>
      </c>
      <c r="B32" s="297"/>
      <c r="C32" s="297"/>
      <c r="D32" s="297"/>
      <c r="E32" s="297"/>
      <c r="F32" s="297"/>
      <c r="G32" s="298"/>
    </row>
    <row r="33" spans="1:7" s="258" customFormat="1" ht="13.5" customHeight="1">
      <c r="A33" s="299" t="s">
        <v>782</v>
      </c>
      <c r="B33" s="254" t="s">
        <v>115</v>
      </c>
      <c r="C33" s="300">
        <f>SUM(C34:C38)</f>
        <v>7650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6617</v>
      </c>
      <c r="D34" s="261"/>
      <c r="E34" s="264"/>
      <c r="F34" s="301">
        <f>IF('数据-取费表'!B24=0,1,'数据-取费表'!N16)</f>
        <v>1</v>
      </c>
      <c r="G34" s="263" t="s">
        <v>116</v>
      </c>
    </row>
    <row r="35" spans="1:7" ht="13.5" customHeight="1">
      <c r="A35" s="954" t="s">
        <v>796</v>
      </c>
      <c r="B35" s="259" t="s">
        <v>60</v>
      </c>
      <c r="C35" s="264">
        <f>ROUND(C34*F35,0)</f>
        <v>199</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735</v>
      </c>
      <c r="D37" s="261">
        <f>'数据-汇总表'!E3</f>
        <v>36762</v>
      </c>
      <c r="E37" s="293">
        <f>'数据-取费表'!B35</f>
        <v>200</v>
      </c>
      <c r="F37" s="303"/>
      <c r="G37" s="305" t="s">
        <v>119</v>
      </c>
    </row>
    <row r="38" spans="1:7" ht="13.5" customHeight="1">
      <c r="A38" s="954" t="s">
        <v>799</v>
      </c>
      <c r="B38" s="259" t="s">
        <v>63</v>
      </c>
      <c r="C38" s="264">
        <f>ROUND(C34*F38,0)</f>
        <v>99</v>
      </c>
      <c r="D38" s="264"/>
      <c r="E38" s="264"/>
      <c r="F38" s="303">
        <f>'数据-取费表'!B36</f>
        <v>1.4999999999999999E-2</v>
      </c>
      <c r="G38" s="263" t="s">
        <v>117</v>
      </c>
    </row>
    <row r="39" spans="1:7" s="258" customFormat="1" ht="13.5" customHeight="1">
      <c r="A39" s="951" t="s">
        <v>783</v>
      </c>
      <c r="B39" s="254" t="s">
        <v>104</v>
      </c>
      <c r="C39" s="276">
        <f>ROUND(C33*F20,0)</f>
        <v>153</v>
      </c>
      <c r="D39" s="276"/>
      <c r="E39" s="276"/>
      <c r="F39" s="277"/>
      <c r="G39" s="1292" t="s">
        <v>1071</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169</v>
      </c>
      <c r="D41" s="279">
        <f ca="1">C44</f>
        <v>4.0000000000000002E-4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166</v>
      </c>
      <c r="D42" s="282"/>
      <c r="E42" s="282"/>
      <c r="F42" s="283"/>
      <c r="G42" s="3144" t="s">
        <v>121</v>
      </c>
    </row>
    <row r="43" spans="1:7" ht="13.5" customHeight="1">
      <c r="A43" s="954" t="s">
        <v>792</v>
      </c>
      <c r="B43" s="259" t="s">
        <v>1064</v>
      </c>
      <c r="C43" s="282">
        <f ca="1">ROUND(IF('数据-取费表'!B22&lt;=1,C39*F22*'数据-取费表'!B21/2,C39*(POWER((1+F22),'数据-取费表'!B21/2)-1)),0)</f>
        <v>3</v>
      </c>
      <c r="D43" s="282"/>
      <c r="E43" s="282"/>
      <c r="F43" s="283"/>
      <c r="G43" s="3145"/>
    </row>
    <row r="44" spans="1:7" ht="13.5" customHeight="1">
      <c r="A44" s="954" t="s">
        <v>793</v>
      </c>
      <c r="B44" s="259" t="s">
        <v>1066</v>
      </c>
      <c r="C44" s="282">
        <f ca="1">ROUND(IF('数据-取费表'!B22&lt;=1,C40*F22*'数据-取费表'!B21/2,C40*(POWER((1+F22),'数据-取费表'!B21/2)-1)),4)</f>
        <v>4.0000000000000002E-4</v>
      </c>
      <c r="D44" s="282"/>
      <c r="E44" s="282"/>
      <c r="F44" s="283"/>
      <c r="G44" s="3146"/>
    </row>
    <row r="45" spans="1:7" s="258" customFormat="1" ht="13.5" customHeight="1">
      <c r="A45" s="951" t="s">
        <v>786</v>
      </c>
      <c r="B45" s="288" t="s">
        <v>112</v>
      </c>
      <c r="C45" s="289">
        <f>C46</f>
        <v>390</v>
      </c>
      <c r="D45" s="279">
        <f>C47</f>
        <v>1E-3</v>
      </c>
      <c r="E45" s="280" t="s">
        <v>129</v>
      </c>
      <c r="F45" s="290"/>
      <c r="G45" s="291" t="s">
        <v>1072</v>
      </c>
    </row>
    <row r="46" spans="1:7" s="258" customFormat="1" ht="13.5" customHeight="1">
      <c r="A46" s="954" t="s">
        <v>794</v>
      </c>
      <c r="B46" s="292" t="s">
        <v>1065</v>
      </c>
      <c r="C46" s="293">
        <f>ROUND((C33+C39)*F27,0)</f>
        <v>390</v>
      </c>
      <c r="D46" s="307"/>
      <c r="E46" s="280"/>
      <c r="F46" s="290"/>
      <c r="G46" s="291"/>
    </row>
    <row r="47" spans="1:7" s="258" customFormat="1" ht="13.5" customHeight="1">
      <c r="A47" s="954" t="s">
        <v>792</v>
      </c>
      <c r="B47" s="292" t="s">
        <v>1067</v>
      </c>
      <c r="C47" s="282">
        <f>ROUND(C40*F27,4)</f>
        <v>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9028</v>
      </c>
      <c r="D49" s="276"/>
      <c r="E49" s="276"/>
      <c r="F49" s="308"/>
      <c r="G49" s="278" t="s">
        <v>1073</v>
      </c>
    </row>
    <row r="50" spans="1:7" s="302" customFormat="1" ht="24">
      <c r="A50" s="951" t="s">
        <v>789</v>
      </c>
      <c r="B50" s="254" t="s">
        <v>124</v>
      </c>
      <c r="C50" s="276"/>
      <c r="D50" s="276"/>
      <c r="E50" s="276"/>
      <c r="F50" s="308">
        <f>IF('数据-取费表'!B24=0,'数据-取费表'!N16,1)</f>
        <v>0.9</v>
      </c>
      <c r="G50" s="291" t="s">
        <v>125</v>
      </c>
    </row>
    <row r="51" spans="1:7" ht="16.5" customHeight="1">
      <c r="A51" s="951" t="s">
        <v>790</v>
      </c>
      <c r="B51" s="254" t="s">
        <v>132</v>
      </c>
      <c r="C51" s="276">
        <f ca="1">ROUND(C49*F50,0)</f>
        <v>8125</v>
      </c>
      <c r="D51" s="276"/>
      <c r="E51" s="276"/>
      <c r="F51" s="308"/>
      <c r="G51" s="278" t="s">
        <v>64</v>
      </c>
    </row>
    <row r="52" spans="1:7" s="252" customFormat="1" ht="16.8" thickBot="1">
      <c r="A52" s="309" t="s">
        <v>65</v>
      </c>
      <c r="B52" s="310"/>
      <c r="C52" s="311">
        <f ca="1">C31+C51</f>
        <v>33820</v>
      </c>
      <c r="D52" s="310"/>
      <c r="E52" s="310"/>
      <c r="F52" s="310"/>
      <c r="G52" s="312"/>
    </row>
    <row r="55" spans="1:7" ht="15">
      <c r="B55" s="314" t="s">
        <v>66</v>
      </c>
      <c r="C55" s="315"/>
    </row>
    <row r="56" spans="1:7">
      <c r="B56" s="317" t="s">
        <v>67</v>
      </c>
      <c r="C56" s="318">
        <f ca="1">ROUND(C51/C52,3)</f>
        <v>0.24</v>
      </c>
    </row>
    <row r="57" spans="1:7">
      <c r="B57" s="317" t="s">
        <v>68</v>
      </c>
      <c r="C57" s="319">
        <f ca="1">1-C56</f>
        <v>0.76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5" customWidth="1"/>
    <col min="2" max="5" width="10.21875" style="813" customWidth="1"/>
    <col min="6" max="6" width="9" style="813"/>
    <col min="7" max="8" width="9" style="828"/>
    <col min="9" max="16384" width="9" style="813"/>
  </cols>
  <sheetData>
    <row r="1" spans="1:19">
      <c r="A1" s="3278" t="s">
        <v>156</v>
      </c>
      <c r="B1" s="3278"/>
      <c r="C1" s="3278"/>
      <c r="D1" s="3278"/>
      <c r="E1" s="3278"/>
      <c r="F1" s="327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5" thickBot="1">
      <c r="A2" s="3279" t="s">
        <v>169</v>
      </c>
      <c r="B2" s="3279"/>
      <c r="C2" s="3279"/>
      <c r="D2" s="3279"/>
      <c r="E2" s="3279"/>
      <c r="F2" s="327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5" customWidth="1"/>
    <col min="2" max="2" width="10.21875" style="813" customWidth="1"/>
  </cols>
  <sheetData>
    <row r="1" spans="1:6">
      <c r="A1" s="3278" t="s">
        <v>871</v>
      </c>
      <c r="B1" s="3278"/>
    </row>
    <row r="2" spans="1:6" ht="15" thickBot="1">
      <c r="A2" s="1060"/>
      <c r="B2" s="1060"/>
    </row>
    <row r="3" spans="1:6" ht="15" thickBot="1">
      <c r="A3" s="1060"/>
      <c r="B3" s="1060"/>
      <c r="C3" s="1064" t="s">
        <v>874</v>
      </c>
      <c r="D3" s="1064" t="s">
        <v>875</v>
      </c>
      <c r="E3" s="1064" t="s">
        <v>876</v>
      </c>
      <c r="F3" s="1064" t="s">
        <v>877</v>
      </c>
    </row>
    <row r="4" spans="1:6" ht="15" thickBot="1">
      <c r="A4" s="1062" t="s">
        <v>872</v>
      </c>
      <c r="B4" s="1063" t="s">
        <v>873</v>
      </c>
      <c r="C4" s="1064"/>
      <c r="D4" s="1064"/>
      <c r="E4" s="1064"/>
      <c r="F4" s="1064"/>
    </row>
    <row r="5" spans="1:6" ht="15" thickBot="1">
      <c r="A5" s="840" t="s">
        <v>878</v>
      </c>
      <c r="B5" s="841" t="s">
        <v>879</v>
      </c>
      <c r="C5" s="1065">
        <v>8.8999999999999996E-2</v>
      </c>
      <c r="D5" s="1065">
        <v>7.3999999999999996E-2</v>
      </c>
      <c r="E5" s="1065">
        <v>7.4999999999999997E-2</v>
      </c>
      <c r="F5" s="1066">
        <v>0.1</v>
      </c>
    </row>
    <row r="6" spans="1:6" ht="15" thickBot="1">
      <c r="A6" s="840" t="s">
        <v>212</v>
      </c>
      <c r="B6" s="834" t="s">
        <v>880</v>
      </c>
      <c r="C6" s="1067">
        <v>0.1</v>
      </c>
      <c r="D6" s="1067">
        <v>9.0999999999999998E-2</v>
      </c>
      <c r="E6" s="1067">
        <v>9.0999999999999998E-2</v>
      </c>
      <c r="F6" s="1068">
        <v>0.1</v>
      </c>
    </row>
    <row r="7" spans="1:6" ht="15" thickBot="1">
      <c r="A7" s="840" t="s">
        <v>212</v>
      </c>
      <c r="B7" s="844" t="s">
        <v>201</v>
      </c>
      <c r="C7" s="1067">
        <v>8.5999999999999993E-2</v>
      </c>
      <c r="D7" s="1067">
        <v>9.6000000000000002E-2</v>
      </c>
      <c r="E7" s="1067">
        <v>7.5999999999999998E-2</v>
      </c>
      <c r="F7" s="1068">
        <v>0.1</v>
      </c>
    </row>
    <row r="8" spans="1:6" ht="15" thickBot="1">
      <c r="A8" s="840" t="s">
        <v>212</v>
      </c>
      <c r="B8" s="834" t="s">
        <v>213</v>
      </c>
      <c r="C8" s="1067">
        <v>9.9000000000000005E-2</v>
      </c>
      <c r="D8" s="1067">
        <v>9.8000000000000004E-2</v>
      </c>
      <c r="E8" s="1067">
        <v>9.8000000000000004E-2</v>
      </c>
      <c r="F8" s="1068">
        <v>0.1</v>
      </c>
    </row>
    <row r="9" spans="1:6" ht="15" thickBot="1">
      <c r="A9" s="850" t="s">
        <v>212</v>
      </c>
      <c r="B9" s="845" t="s">
        <v>225</v>
      </c>
      <c r="C9" s="1069">
        <v>0.05</v>
      </c>
      <c r="D9" s="1077"/>
      <c r="E9" s="1077"/>
      <c r="F9" s="1078"/>
    </row>
    <row r="10" spans="1:6" ht="15" thickBot="1">
      <c r="A10" s="840" t="s">
        <v>269</v>
      </c>
      <c r="B10" s="841" t="s">
        <v>881</v>
      </c>
      <c r="C10" s="1065">
        <v>8.8999999999999996E-2</v>
      </c>
      <c r="D10" s="1065">
        <v>7.2999999999999995E-2</v>
      </c>
      <c r="E10" s="1065">
        <v>8.2000000000000003E-2</v>
      </c>
      <c r="F10" s="1066">
        <v>0.1</v>
      </c>
    </row>
    <row r="11" spans="1:6" ht="15" thickBot="1">
      <c r="A11" s="840" t="s">
        <v>269</v>
      </c>
      <c r="B11" s="844" t="s">
        <v>188</v>
      </c>
      <c r="C11" s="1067">
        <v>8.8999999999999996E-2</v>
      </c>
      <c r="D11" s="1067">
        <v>7.2999999999999995E-2</v>
      </c>
      <c r="E11" s="1067">
        <v>8.2000000000000003E-2</v>
      </c>
      <c r="F11" s="1068">
        <v>0.1</v>
      </c>
    </row>
    <row r="12" spans="1:6" ht="15" thickBot="1">
      <c r="A12" s="840" t="s">
        <v>269</v>
      </c>
      <c r="B12" s="844" t="s">
        <v>138</v>
      </c>
      <c r="C12" s="1067">
        <v>6.0999999999999999E-2</v>
      </c>
      <c r="D12" s="1067">
        <v>7.0999999999999994E-2</v>
      </c>
      <c r="E12" s="1067">
        <v>9.6000000000000002E-2</v>
      </c>
      <c r="F12" s="1068">
        <v>0.1</v>
      </c>
    </row>
    <row r="13" spans="1:6" ht="15" thickBot="1">
      <c r="A13" s="840" t="s">
        <v>269</v>
      </c>
      <c r="B13" s="844" t="s">
        <v>214</v>
      </c>
      <c r="C13" s="1067">
        <v>6.9000000000000006E-2</v>
      </c>
      <c r="D13" s="1067">
        <v>6.5000000000000002E-2</v>
      </c>
      <c r="E13" s="1067">
        <v>6.6000000000000003E-2</v>
      </c>
      <c r="F13" s="1068">
        <v>0.1</v>
      </c>
    </row>
    <row r="14" spans="1:6" ht="15" thickBot="1">
      <c r="A14" s="840" t="s">
        <v>269</v>
      </c>
      <c r="B14" s="844" t="s">
        <v>226</v>
      </c>
      <c r="C14" s="1067">
        <v>0.1</v>
      </c>
      <c r="D14" s="1067">
        <v>6.5000000000000002E-2</v>
      </c>
      <c r="E14" s="1067">
        <v>7.0000000000000007E-2</v>
      </c>
      <c r="F14" s="1068">
        <v>0.1</v>
      </c>
    </row>
    <row r="15" spans="1:6" ht="15" thickBot="1">
      <c r="A15" s="840" t="s">
        <v>269</v>
      </c>
      <c r="B15" s="844" t="s">
        <v>237</v>
      </c>
      <c r="C15" s="1067">
        <v>9.8000000000000004E-2</v>
      </c>
      <c r="D15" s="1067">
        <v>8.8999999999999996E-2</v>
      </c>
      <c r="E15" s="1067">
        <v>8.8999999999999996E-2</v>
      </c>
      <c r="F15" s="1068">
        <v>0.1</v>
      </c>
    </row>
    <row r="16" spans="1:6" ht="15" thickBot="1">
      <c r="A16" s="840" t="s">
        <v>269</v>
      </c>
      <c r="B16" s="844" t="s">
        <v>248</v>
      </c>
      <c r="C16" s="1067">
        <v>7.0000000000000007E-2</v>
      </c>
      <c r="D16" s="1067">
        <v>9.2999999999999999E-2</v>
      </c>
      <c r="E16" s="1067">
        <v>9.6000000000000002E-2</v>
      </c>
      <c r="F16" s="1068">
        <v>0.1</v>
      </c>
    </row>
    <row r="17" spans="1:6" ht="15" thickBot="1">
      <c r="A17" s="840" t="s">
        <v>269</v>
      </c>
      <c r="B17" s="844" t="s">
        <v>259</v>
      </c>
      <c r="C17" s="1067">
        <v>9.5000000000000001E-2</v>
      </c>
      <c r="D17" s="1067">
        <v>0.1</v>
      </c>
      <c r="E17" s="1067">
        <v>0.1</v>
      </c>
      <c r="F17" s="1079"/>
    </row>
    <row r="18" spans="1:6" ht="15" thickBot="1">
      <c r="A18" s="840" t="s">
        <v>269</v>
      </c>
      <c r="B18" s="844" t="s">
        <v>271</v>
      </c>
      <c r="C18" s="1067">
        <v>7.3999999999999996E-2</v>
      </c>
      <c r="D18" s="1067">
        <v>9.9000000000000005E-2</v>
      </c>
      <c r="E18" s="1067">
        <v>0.1</v>
      </c>
      <c r="F18" s="1079"/>
    </row>
    <row r="19" spans="1:6" ht="15" thickBot="1">
      <c r="A19" s="840" t="s">
        <v>269</v>
      </c>
      <c r="B19" s="844" t="s">
        <v>281</v>
      </c>
      <c r="C19" s="1067">
        <v>9.9000000000000005E-2</v>
      </c>
      <c r="D19" s="1067">
        <v>7.5999999999999998E-2</v>
      </c>
      <c r="E19" s="1067">
        <v>8.6999999999999994E-2</v>
      </c>
      <c r="F19" s="1079"/>
    </row>
    <row r="20" spans="1:6" ht="15" thickBot="1">
      <c r="A20" s="840" t="s">
        <v>269</v>
      </c>
      <c r="B20" s="844" t="s">
        <v>291</v>
      </c>
      <c r="C20" s="1067">
        <v>9.8000000000000004E-2</v>
      </c>
      <c r="D20" s="1067">
        <v>8.5000000000000006E-2</v>
      </c>
      <c r="E20" s="1067">
        <v>8.2000000000000003E-2</v>
      </c>
      <c r="F20" s="1079"/>
    </row>
    <row r="21" spans="1:6" ht="15" thickBot="1">
      <c r="A21" s="840" t="s">
        <v>269</v>
      </c>
      <c r="B21" s="844" t="s">
        <v>301</v>
      </c>
      <c r="C21" s="1067">
        <v>6.6000000000000003E-2</v>
      </c>
      <c r="D21" s="1067">
        <v>6.4000000000000001E-2</v>
      </c>
      <c r="E21" s="1067">
        <v>6.5000000000000002E-2</v>
      </c>
      <c r="F21" s="1079"/>
    </row>
    <row r="22" spans="1:6" ht="15" thickBot="1">
      <c r="A22" s="840" t="s">
        <v>269</v>
      </c>
      <c r="B22" s="844" t="s">
        <v>882</v>
      </c>
      <c r="C22" s="1067">
        <v>0.08</v>
      </c>
      <c r="D22" s="1067">
        <v>9.8000000000000004E-2</v>
      </c>
      <c r="E22" s="1067">
        <v>9.8000000000000004E-2</v>
      </c>
      <c r="F22" s="1079"/>
    </row>
    <row r="23" spans="1:6" ht="15" thickBot="1">
      <c r="A23" s="840" t="s">
        <v>269</v>
      </c>
      <c r="B23" s="844" t="s">
        <v>322</v>
      </c>
      <c r="C23" s="1067">
        <v>9.9000000000000005E-2</v>
      </c>
      <c r="D23" s="1067">
        <v>9.8000000000000004E-2</v>
      </c>
      <c r="E23" s="1067">
        <v>9.0999999999999998E-2</v>
      </c>
      <c r="F23" s="1079"/>
    </row>
    <row r="24" spans="1:6" ht="15" thickBot="1">
      <c r="A24" s="840" t="s">
        <v>269</v>
      </c>
      <c r="B24" s="844" t="s">
        <v>333</v>
      </c>
      <c r="C24" s="1067">
        <v>8.8999999999999996E-2</v>
      </c>
      <c r="D24" s="1067">
        <v>9.7000000000000003E-2</v>
      </c>
      <c r="E24" s="1067">
        <v>7.0000000000000007E-2</v>
      </c>
      <c r="F24" s="1079"/>
    </row>
    <row r="25" spans="1:6" ht="15" thickBot="1">
      <c r="A25" s="840" t="s">
        <v>269</v>
      </c>
      <c r="B25" s="844" t="s">
        <v>343</v>
      </c>
      <c r="C25" s="1067">
        <v>8.8999999999999996E-2</v>
      </c>
      <c r="D25" s="1067">
        <v>0.1</v>
      </c>
      <c r="E25" s="1067">
        <v>8.1000000000000003E-2</v>
      </c>
      <c r="F25" s="1079"/>
    </row>
    <row r="26" spans="1:6" ht="15" thickBot="1">
      <c r="A26" s="840" t="s">
        <v>269</v>
      </c>
      <c r="B26" s="844" t="s">
        <v>353</v>
      </c>
      <c r="C26" s="1080"/>
      <c r="D26" s="1067">
        <v>9.6000000000000002E-2</v>
      </c>
      <c r="E26" s="1067">
        <v>9.2999999999999999E-2</v>
      </c>
      <c r="F26" s="1079"/>
    </row>
    <row r="27" spans="1:6" ht="15" thickBot="1">
      <c r="A27" s="840" t="s">
        <v>269</v>
      </c>
      <c r="B27" s="844" t="s">
        <v>363</v>
      </c>
      <c r="C27" s="1080"/>
      <c r="D27" s="1067">
        <v>7.5999999999999998E-2</v>
      </c>
      <c r="E27" s="1067">
        <v>9.1999999999999998E-2</v>
      </c>
      <c r="F27" s="1079"/>
    </row>
    <row r="28" spans="1:6" ht="15" thickBot="1">
      <c r="A28" s="850" t="s">
        <v>269</v>
      </c>
      <c r="B28" s="845" t="s">
        <v>373</v>
      </c>
      <c r="C28" s="1077"/>
      <c r="D28" s="1069">
        <v>7.5999999999999998E-2</v>
      </c>
      <c r="E28" s="1069">
        <v>9.1999999999999998E-2</v>
      </c>
      <c r="F28" s="1078"/>
    </row>
    <row r="29" spans="1:6" ht="15" thickBot="1">
      <c r="A29" s="840" t="s">
        <v>442</v>
      </c>
      <c r="B29" s="841" t="s">
        <v>883</v>
      </c>
      <c r="C29" s="1065">
        <v>6.4000000000000001E-2</v>
      </c>
      <c r="D29" s="1065">
        <v>6.5000000000000002E-2</v>
      </c>
      <c r="E29" s="1065">
        <v>6.9000000000000006E-2</v>
      </c>
      <c r="F29" s="1066">
        <v>0.1</v>
      </c>
    </row>
    <row r="30" spans="1:6" ht="15" thickBot="1">
      <c r="A30" s="840" t="s">
        <v>442</v>
      </c>
      <c r="B30" s="844" t="s">
        <v>189</v>
      </c>
      <c r="C30" s="1067">
        <v>6.4000000000000001E-2</v>
      </c>
      <c r="D30" s="1067">
        <v>9.9000000000000005E-2</v>
      </c>
      <c r="E30" s="1067">
        <v>0.1</v>
      </c>
      <c r="F30" s="1068">
        <v>0.1</v>
      </c>
    </row>
    <row r="31" spans="1:6" ht="15" thickBot="1">
      <c r="A31" s="840" t="s">
        <v>442</v>
      </c>
      <c r="B31" s="844" t="s">
        <v>202</v>
      </c>
      <c r="C31" s="1067">
        <v>0.1</v>
      </c>
      <c r="D31" s="1067">
        <v>9.5000000000000001E-2</v>
      </c>
      <c r="E31" s="1067">
        <v>8.8999999999999996E-2</v>
      </c>
      <c r="F31" s="1068">
        <v>0.1</v>
      </c>
    </row>
    <row r="32" spans="1:6" ht="15" thickBot="1">
      <c r="A32" s="840" t="s">
        <v>442</v>
      </c>
      <c r="B32" s="844" t="s">
        <v>215</v>
      </c>
      <c r="C32" s="1067">
        <v>0.05</v>
      </c>
      <c r="D32" s="1067">
        <v>0.05</v>
      </c>
      <c r="E32" s="1067">
        <v>8.7999999999999995E-2</v>
      </c>
      <c r="F32" s="1068">
        <v>0.1</v>
      </c>
    </row>
    <row r="33" spans="1:6" ht="15" thickBot="1">
      <c r="A33" s="840" t="s">
        <v>442</v>
      </c>
      <c r="B33" s="844" t="s">
        <v>227</v>
      </c>
      <c r="C33" s="1067">
        <v>7.4999999999999997E-2</v>
      </c>
      <c r="D33" s="1067">
        <v>9.4E-2</v>
      </c>
      <c r="E33" s="1067">
        <v>9.7000000000000003E-2</v>
      </c>
      <c r="F33" s="1068">
        <v>0.1</v>
      </c>
    </row>
    <row r="34" spans="1:6" ht="15" thickBot="1">
      <c r="A34" s="840" t="s">
        <v>442</v>
      </c>
      <c r="B34" s="844" t="s">
        <v>238</v>
      </c>
      <c r="C34" s="1067">
        <v>9.8000000000000004E-2</v>
      </c>
      <c r="D34" s="1067">
        <v>8.5999999999999993E-2</v>
      </c>
      <c r="E34" s="1067">
        <v>9.7000000000000003E-2</v>
      </c>
      <c r="F34" s="1068">
        <v>0.1</v>
      </c>
    </row>
    <row r="35" spans="1:6" ht="15" thickBot="1">
      <c r="A35" s="840" t="s">
        <v>442</v>
      </c>
      <c r="B35" s="844" t="s">
        <v>249</v>
      </c>
      <c r="C35" s="1067">
        <v>5.8999999999999997E-2</v>
      </c>
      <c r="D35" s="1067">
        <v>6.5000000000000002E-2</v>
      </c>
      <c r="E35" s="1067">
        <v>7.0000000000000007E-2</v>
      </c>
      <c r="F35" s="1068">
        <v>0.1</v>
      </c>
    </row>
    <row r="36" spans="1:6" ht="15" thickBot="1">
      <c r="A36" s="840" t="s">
        <v>442</v>
      </c>
      <c r="B36" s="844" t="s">
        <v>260</v>
      </c>
      <c r="C36" s="1067">
        <v>6.3E-2</v>
      </c>
      <c r="D36" s="1067">
        <v>0.1</v>
      </c>
      <c r="E36" s="1067">
        <v>0.1</v>
      </c>
      <c r="F36" s="1068">
        <v>0.1</v>
      </c>
    </row>
    <row r="37" spans="1:6" ht="15" thickBot="1">
      <c r="A37" s="840" t="s">
        <v>442</v>
      </c>
      <c r="B37" s="844" t="s">
        <v>272</v>
      </c>
      <c r="C37" s="1067">
        <v>7.3999999999999996E-2</v>
      </c>
      <c r="D37" s="1067">
        <v>0.1</v>
      </c>
      <c r="E37" s="1067">
        <v>0.1</v>
      </c>
      <c r="F37" s="1068">
        <v>0.1</v>
      </c>
    </row>
    <row r="38" spans="1:6" ht="15" thickBot="1">
      <c r="A38" s="840" t="s">
        <v>442</v>
      </c>
      <c r="B38" s="844" t="s">
        <v>282</v>
      </c>
      <c r="C38" s="1067">
        <v>0.1</v>
      </c>
      <c r="D38" s="1067">
        <v>9.6000000000000002E-2</v>
      </c>
      <c r="E38" s="1067">
        <v>9.6000000000000002E-2</v>
      </c>
      <c r="F38" s="1079"/>
    </row>
    <row r="39" spans="1:6" ht="15" thickBot="1">
      <c r="A39" s="840" t="s">
        <v>442</v>
      </c>
      <c r="B39" s="844" t="s">
        <v>292</v>
      </c>
      <c r="C39" s="1067">
        <v>0.1</v>
      </c>
      <c r="D39" s="1067">
        <v>9.6000000000000002E-2</v>
      </c>
      <c r="E39" s="1067">
        <v>9.6000000000000002E-2</v>
      </c>
      <c r="F39" s="1079"/>
    </row>
    <row r="40" spans="1:6" ht="15" thickBot="1">
      <c r="A40" s="840" t="s">
        <v>442</v>
      </c>
      <c r="B40" s="844" t="s">
        <v>302</v>
      </c>
      <c r="C40" s="1067">
        <v>9.6000000000000002E-2</v>
      </c>
      <c r="D40" s="1067">
        <v>0.1</v>
      </c>
      <c r="E40" s="1067">
        <v>9.9000000000000005E-2</v>
      </c>
      <c r="F40" s="1079"/>
    </row>
    <row r="41" spans="1:6" ht="15" thickBot="1">
      <c r="A41" s="840" t="s">
        <v>442</v>
      </c>
      <c r="B41" s="844" t="s">
        <v>312</v>
      </c>
      <c r="C41" s="1067">
        <v>9.6000000000000002E-2</v>
      </c>
      <c r="D41" s="1067">
        <v>9.8000000000000004E-2</v>
      </c>
      <c r="E41" s="1067">
        <v>9.8000000000000004E-2</v>
      </c>
      <c r="F41" s="1079"/>
    </row>
    <row r="42" spans="1:6" ht="15" thickBot="1">
      <c r="A42" s="840" t="s">
        <v>442</v>
      </c>
      <c r="B42" s="844" t="s">
        <v>323</v>
      </c>
      <c r="C42" s="1067">
        <v>0.1</v>
      </c>
      <c r="D42" s="1067">
        <v>8.7999999999999995E-2</v>
      </c>
      <c r="E42" s="1067">
        <v>0.1</v>
      </c>
      <c r="F42" s="1079"/>
    </row>
    <row r="43" spans="1:6" ht="15" thickBot="1">
      <c r="A43" s="840" t="s">
        <v>442</v>
      </c>
      <c r="B43" s="844" t="s">
        <v>334</v>
      </c>
      <c r="C43" s="1067">
        <v>9.8000000000000004E-2</v>
      </c>
      <c r="D43" s="1067">
        <v>9.7000000000000003E-2</v>
      </c>
      <c r="E43" s="1067">
        <v>9.6000000000000002E-2</v>
      </c>
      <c r="F43" s="1079"/>
    </row>
    <row r="44" spans="1:6" ht="15" thickBot="1">
      <c r="A44" s="840" t="s">
        <v>442</v>
      </c>
      <c r="B44" s="844" t="s">
        <v>344</v>
      </c>
      <c r="C44" s="1067">
        <v>8.5999999999999993E-2</v>
      </c>
      <c r="D44" s="1067">
        <v>7.9000000000000001E-2</v>
      </c>
      <c r="E44" s="1067">
        <v>7.0999999999999994E-2</v>
      </c>
      <c r="F44" s="1079"/>
    </row>
    <row r="45" spans="1:6" ht="15" thickBot="1">
      <c r="A45" s="840" t="s">
        <v>442</v>
      </c>
      <c r="B45" s="844" t="s">
        <v>354</v>
      </c>
      <c r="C45" s="1067">
        <v>9.8000000000000004E-2</v>
      </c>
      <c r="D45" s="1067">
        <v>9.6000000000000002E-2</v>
      </c>
      <c r="E45" s="1067">
        <v>9.6000000000000002E-2</v>
      </c>
      <c r="F45" s="1079"/>
    </row>
    <row r="46" spans="1:6" ht="15" thickBot="1">
      <c r="A46" s="840" t="s">
        <v>442</v>
      </c>
      <c r="B46" s="844" t="s">
        <v>364</v>
      </c>
      <c r="C46" s="1067">
        <v>8.5999999999999993E-2</v>
      </c>
      <c r="D46" s="1067">
        <v>9.8000000000000004E-2</v>
      </c>
      <c r="E46" s="1067">
        <v>8.7999999999999995E-2</v>
      </c>
      <c r="F46" s="1079"/>
    </row>
    <row r="47" spans="1:6" ht="15" thickBot="1">
      <c r="A47" s="840" t="s">
        <v>442</v>
      </c>
      <c r="B47" s="844" t="s">
        <v>374</v>
      </c>
      <c r="C47" s="1067">
        <v>9.6000000000000002E-2</v>
      </c>
      <c r="D47" s="1080"/>
      <c r="E47" s="1067">
        <v>6.9000000000000006E-2</v>
      </c>
      <c r="F47" s="1079"/>
    </row>
    <row r="48" spans="1:6" ht="15" thickBot="1">
      <c r="A48" s="850" t="s">
        <v>442</v>
      </c>
      <c r="B48" s="845" t="s">
        <v>383</v>
      </c>
      <c r="C48" s="1069">
        <v>9.8000000000000004E-2</v>
      </c>
      <c r="D48" s="1077"/>
      <c r="E48" s="1069">
        <v>9.5000000000000001E-2</v>
      </c>
      <c r="F48" s="1078"/>
    </row>
    <row r="49" spans="1:6" ht="15" thickBot="1">
      <c r="A49" s="840" t="s">
        <v>137</v>
      </c>
      <c r="B49" s="841" t="s">
        <v>884</v>
      </c>
      <c r="C49" s="1065">
        <v>9.7000000000000003E-2</v>
      </c>
      <c r="D49" s="1065">
        <v>9.5000000000000001E-2</v>
      </c>
      <c r="E49" s="1065">
        <v>9.7000000000000003E-2</v>
      </c>
      <c r="F49" s="1066">
        <v>0.1</v>
      </c>
    </row>
    <row r="50" spans="1:6" ht="15" thickBot="1">
      <c r="A50" s="840" t="s">
        <v>137</v>
      </c>
      <c r="B50" s="834" t="s">
        <v>190</v>
      </c>
      <c r="C50" s="1067">
        <v>7.4999999999999997E-2</v>
      </c>
      <c r="D50" s="1067">
        <v>9.5000000000000001E-2</v>
      </c>
      <c r="E50" s="1067">
        <v>0.1</v>
      </c>
      <c r="F50" s="1068">
        <v>0.1</v>
      </c>
    </row>
    <row r="51" spans="1:6" ht="15" thickBot="1">
      <c r="A51" s="840" t="s">
        <v>137</v>
      </c>
      <c r="B51" s="834" t="s">
        <v>203</v>
      </c>
      <c r="C51" s="1067">
        <v>9.8000000000000004E-2</v>
      </c>
      <c r="D51" s="1067">
        <v>8.8999999999999996E-2</v>
      </c>
      <c r="E51" s="1067">
        <v>0.1</v>
      </c>
      <c r="F51" s="1068">
        <v>0.1</v>
      </c>
    </row>
    <row r="52" spans="1:6" ht="15" thickBot="1">
      <c r="A52" s="840" t="s">
        <v>137</v>
      </c>
      <c r="B52" s="834" t="s">
        <v>216</v>
      </c>
      <c r="C52" s="1067">
        <v>9.8000000000000004E-2</v>
      </c>
      <c r="D52" s="1067">
        <v>9.7000000000000003E-2</v>
      </c>
      <c r="E52" s="1067">
        <v>8.1000000000000003E-2</v>
      </c>
      <c r="F52" s="1068">
        <v>0.1</v>
      </c>
    </row>
    <row r="53" spans="1:6" ht="15" thickBot="1">
      <c r="A53" s="840" t="s">
        <v>137</v>
      </c>
      <c r="B53" s="834" t="s">
        <v>228</v>
      </c>
      <c r="C53" s="1067">
        <v>9.7000000000000003E-2</v>
      </c>
      <c r="D53" s="1067">
        <v>7.5999999999999998E-2</v>
      </c>
      <c r="E53" s="1067">
        <v>7.0999999999999994E-2</v>
      </c>
      <c r="F53" s="1068">
        <v>0.1</v>
      </c>
    </row>
    <row r="54" spans="1:6" ht="15" thickBot="1">
      <c r="A54" s="840" t="s">
        <v>137</v>
      </c>
      <c r="B54" s="834" t="s">
        <v>239</v>
      </c>
      <c r="C54" s="1067">
        <v>7.5999999999999998E-2</v>
      </c>
      <c r="D54" s="1067">
        <v>0.1</v>
      </c>
      <c r="E54" s="1067">
        <v>9.9000000000000005E-2</v>
      </c>
      <c r="F54" s="1068">
        <v>0.1</v>
      </c>
    </row>
    <row r="55" spans="1:6" ht="15" thickBot="1">
      <c r="A55" s="840" t="s">
        <v>137</v>
      </c>
      <c r="B55" s="834" t="s">
        <v>250</v>
      </c>
      <c r="C55" s="1067">
        <v>0.1</v>
      </c>
      <c r="D55" s="1067">
        <v>0.1</v>
      </c>
      <c r="E55" s="1067">
        <v>9.6000000000000002E-2</v>
      </c>
      <c r="F55" s="1068">
        <v>0.1</v>
      </c>
    </row>
    <row r="56" spans="1:6" ht="15" thickBot="1">
      <c r="A56" s="840" t="s">
        <v>137</v>
      </c>
      <c r="B56" s="834" t="s">
        <v>261</v>
      </c>
      <c r="C56" s="1067">
        <v>0.1</v>
      </c>
      <c r="D56" s="1067">
        <v>9.6000000000000002E-2</v>
      </c>
      <c r="E56" s="1067">
        <v>5.1999999999999998E-2</v>
      </c>
      <c r="F56" s="1068">
        <v>0.1</v>
      </c>
    </row>
    <row r="57" spans="1:6" ht="15" thickBot="1">
      <c r="A57" s="840" t="s">
        <v>137</v>
      </c>
      <c r="B57" s="834" t="s">
        <v>273</v>
      </c>
      <c r="C57" s="1067">
        <v>9.7000000000000003E-2</v>
      </c>
      <c r="D57" s="1067">
        <v>9.6000000000000002E-2</v>
      </c>
      <c r="E57" s="1067">
        <v>9.6000000000000002E-2</v>
      </c>
      <c r="F57" s="1068">
        <v>0.1</v>
      </c>
    </row>
    <row r="58" spans="1:6" ht="15" thickBot="1">
      <c r="A58" s="840" t="s">
        <v>137</v>
      </c>
      <c r="B58" s="834" t="s">
        <v>283</v>
      </c>
      <c r="C58" s="1067">
        <v>9.6000000000000002E-2</v>
      </c>
      <c r="D58" s="1067">
        <v>9.9000000000000005E-2</v>
      </c>
      <c r="E58" s="1067">
        <v>9.6000000000000002E-2</v>
      </c>
      <c r="F58" s="1068">
        <v>0.1</v>
      </c>
    </row>
    <row r="59" spans="1:6" ht="15" thickBot="1">
      <c r="A59" s="840" t="s">
        <v>137</v>
      </c>
      <c r="B59" s="834" t="s">
        <v>293</v>
      </c>
      <c r="C59" s="1067">
        <v>7.1999999999999995E-2</v>
      </c>
      <c r="D59" s="1067">
        <v>9.6000000000000002E-2</v>
      </c>
      <c r="E59" s="1067">
        <v>7.0999999999999994E-2</v>
      </c>
      <c r="F59" s="1068">
        <v>0.1</v>
      </c>
    </row>
    <row r="60" spans="1:6" ht="15" thickBot="1">
      <c r="A60" s="840" t="s">
        <v>137</v>
      </c>
      <c r="B60" s="834" t="s">
        <v>303</v>
      </c>
      <c r="C60" s="1067">
        <v>9.6000000000000002E-2</v>
      </c>
      <c r="D60" s="1067">
        <v>8.8999999999999996E-2</v>
      </c>
      <c r="E60" s="1067">
        <v>9.6000000000000002E-2</v>
      </c>
      <c r="F60" s="1068">
        <v>0.1</v>
      </c>
    </row>
    <row r="61" spans="1:6" ht="15" thickBot="1">
      <c r="A61" s="840" t="s">
        <v>137</v>
      </c>
      <c r="B61" s="834" t="s">
        <v>313</v>
      </c>
      <c r="C61" s="1067">
        <v>8.8999999999999996E-2</v>
      </c>
      <c r="D61" s="1067">
        <v>9.8000000000000004E-2</v>
      </c>
      <c r="E61" s="1067">
        <v>8.7999999999999995E-2</v>
      </c>
      <c r="F61" s="1079"/>
    </row>
    <row r="62" spans="1:6" ht="15" thickBot="1">
      <c r="A62" s="840" t="s">
        <v>137</v>
      </c>
      <c r="B62" s="834" t="s">
        <v>324</v>
      </c>
      <c r="C62" s="1067">
        <v>9.8000000000000004E-2</v>
      </c>
      <c r="D62" s="1067">
        <v>9.2999999999999999E-2</v>
      </c>
      <c r="E62" s="1067">
        <v>9.7000000000000003E-2</v>
      </c>
      <c r="F62" s="1079"/>
    </row>
    <row r="63" spans="1:6" ht="15" thickBot="1">
      <c r="A63" s="840" t="s">
        <v>137</v>
      </c>
      <c r="B63" s="834" t="s">
        <v>335</v>
      </c>
      <c r="C63" s="1067">
        <v>9.6000000000000002E-2</v>
      </c>
      <c r="D63" s="1067">
        <v>9.8000000000000004E-2</v>
      </c>
      <c r="E63" s="1067">
        <v>0.09</v>
      </c>
      <c r="F63" s="1079"/>
    </row>
    <row r="64" spans="1:6" ht="15" thickBot="1">
      <c r="A64" s="840" t="s">
        <v>137</v>
      </c>
      <c r="B64" s="834" t="s">
        <v>345</v>
      </c>
      <c r="C64" s="1067">
        <v>9.9000000000000005E-2</v>
      </c>
      <c r="D64" s="1067">
        <v>9.7000000000000003E-2</v>
      </c>
      <c r="E64" s="1067">
        <v>9.9000000000000005E-2</v>
      </c>
      <c r="F64" s="1079"/>
    </row>
    <row r="65" spans="1:6" ht="15" thickBot="1">
      <c r="A65" s="840" t="s">
        <v>137</v>
      </c>
      <c r="B65" s="834" t="s">
        <v>355</v>
      </c>
      <c r="C65" s="1067">
        <v>9.8000000000000004E-2</v>
      </c>
      <c r="D65" s="1067">
        <v>9.6000000000000002E-2</v>
      </c>
      <c r="E65" s="1067">
        <v>9.6000000000000002E-2</v>
      </c>
      <c r="F65" s="1079"/>
    </row>
    <row r="66" spans="1:6" ht="15" thickBot="1">
      <c r="A66" s="840" t="s">
        <v>137</v>
      </c>
      <c r="B66" s="834" t="s">
        <v>365</v>
      </c>
      <c r="C66" s="1067">
        <v>9.6000000000000002E-2</v>
      </c>
      <c r="D66" s="1067">
        <v>9.1999999999999998E-2</v>
      </c>
      <c r="E66" s="1067">
        <v>9.6000000000000002E-2</v>
      </c>
      <c r="F66" s="1079"/>
    </row>
    <row r="67" spans="1:6" ht="15" thickBot="1">
      <c r="A67" s="840" t="s">
        <v>137</v>
      </c>
      <c r="B67" s="834" t="s">
        <v>375</v>
      </c>
      <c r="C67" s="1067">
        <v>9.4E-2</v>
      </c>
      <c r="D67" s="1067">
        <v>0.1</v>
      </c>
      <c r="E67" s="1067">
        <v>8.7999999999999995E-2</v>
      </c>
      <c r="F67" s="1079"/>
    </row>
    <row r="68" spans="1:6" ht="15" thickBot="1">
      <c r="A68" s="840" t="s">
        <v>137</v>
      </c>
      <c r="B68" s="834" t="s">
        <v>384</v>
      </c>
      <c r="C68" s="1067">
        <v>0.1</v>
      </c>
      <c r="D68" s="1067">
        <v>8.7999999999999995E-2</v>
      </c>
      <c r="E68" s="1067">
        <v>9.7000000000000003E-2</v>
      </c>
      <c r="F68" s="1079"/>
    </row>
    <row r="69" spans="1:6" ht="15" thickBot="1">
      <c r="A69" s="840" t="s">
        <v>137</v>
      </c>
      <c r="B69" s="834" t="s">
        <v>393</v>
      </c>
      <c r="C69" s="1067">
        <v>6.4000000000000001E-2</v>
      </c>
      <c r="D69" s="1067">
        <v>0.1</v>
      </c>
      <c r="E69" s="1067">
        <v>0.1</v>
      </c>
      <c r="F69" s="1079"/>
    </row>
    <row r="70" spans="1:6" ht="15" thickBot="1">
      <c r="A70" s="840" t="s">
        <v>137</v>
      </c>
      <c r="B70" s="834" t="s">
        <v>401</v>
      </c>
      <c r="C70" s="1067">
        <v>9.0999999999999998E-2</v>
      </c>
      <c r="D70" s="1080"/>
      <c r="E70" s="1080"/>
      <c r="F70" s="1079"/>
    </row>
    <row r="71" spans="1:6" ht="15" thickBot="1">
      <c r="A71" s="840" t="s">
        <v>137</v>
      </c>
      <c r="B71" s="834" t="s">
        <v>408</v>
      </c>
      <c r="C71" s="1067">
        <v>0.1</v>
      </c>
      <c r="D71" s="1080"/>
      <c r="E71" s="1080"/>
      <c r="F71" s="1079"/>
    </row>
    <row r="72" spans="1:6" ht="24.6" thickBot="1">
      <c r="A72" s="840" t="s">
        <v>137</v>
      </c>
      <c r="B72" s="834" t="s">
        <v>885</v>
      </c>
      <c r="C72" s="1080"/>
      <c r="D72" s="1080"/>
      <c r="E72" s="1080"/>
      <c r="F72" s="1068">
        <v>0.05</v>
      </c>
    </row>
    <row r="73" spans="1:6" ht="24.6" thickBot="1">
      <c r="A73" s="840" t="s">
        <v>137</v>
      </c>
      <c r="B73" s="834" t="s">
        <v>886</v>
      </c>
      <c r="C73" s="1080"/>
      <c r="D73" s="1080"/>
      <c r="E73" s="1080"/>
      <c r="F73" s="1068">
        <v>0.05</v>
      </c>
    </row>
    <row r="74" spans="1:6" ht="24.6" thickBot="1">
      <c r="A74" s="840" t="s">
        <v>137</v>
      </c>
      <c r="B74" s="834" t="s">
        <v>887</v>
      </c>
      <c r="C74" s="1080"/>
      <c r="D74" s="1080"/>
      <c r="E74" s="1080"/>
      <c r="F74" s="1068">
        <v>0.05</v>
      </c>
    </row>
    <row r="75" spans="1:6" ht="24.6" thickBot="1">
      <c r="A75" s="850" t="s">
        <v>137</v>
      </c>
      <c r="B75" s="846" t="s">
        <v>888</v>
      </c>
      <c r="C75" s="1077"/>
      <c r="D75" s="1077"/>
      <c r="E75" s="1077"/>
      <c r="F75" s="1070">
        <v>0.05</v>
      </c>
    </row>
    <row r="76" spans="1:6" ht="15" thickBot="1">
      <c r="A76" s="840" t="s">
        <v>523</v>
      </c>
      <c r="B76" s="841" t="s">
        <v>889</v>
      </c>
      <c r="C76" s="1065">
        <v>0.1</v>
      </c>
      <c r="D76" s="1065">
        <v>0.1</v>
      </c>
      <c r="E76" s="1065">
        <v>0.1</v>
      </c>
      <c r="F76" s="1066">
        <v>0.1</v>
      </c>
    </row>
    <row r="77" spans="1:6" ht="15" thickBot="1">
      <c r="A77" s="840" t="s">
        <v>523</v>
      </c>
      <c r="B77" s="834" t="s">
        <v>191</v>
      </c>
      <c r="C77" s="1067">
        <v>8.7999999999999995E-2</v>
      </c>
      <c r="D77" s="1067">
        <v>8.6999999999999994E-2</v>
      </c>
      <c r="E77" s="1067">
        <v>7.9000000000000001E-2</v>
      </c>
      <c r="F77" s="1068">
        <v>0.1</v>
      </c>
    </row>
    <row r="78" spans="1:6" ht="15" thickBot="1">
      <c r="A78" s="840" t="s">
        <v>523</v>
      </c>
      <c r="B78" s="834" t="s">
        <v>204</v>
      </c>
      <c r="C78" s="1067">
        <v>8.6999999999999994E-2</v>
      </c>
      <c r="D78" s="1067">
        <v>8.4000000000000005E-2</v>
      </c>
      <c r="E78" s="1067">
        <v>9.6000000000000002E-2</v>
      </c>
      <c r="F78" s="1068">
        <v>0.1</v>
      </c>
    </row>
    <row r="79" spans="1:6" ht="15" thickBot="1">
      <c r="A79" s="840" t="s">
        <v>523</v>
      </c>
      <c r="B79" s="834" t="s">
        <v>217</v>
      </c>
      <c r="C79" s="1067">
        <v>9.8000000000000004E-2</v>
      </c>
      <c r="D79" s="1067">
        <v>9.8000000000000004E-2</v>
      </c>
      <c r="E79" s="1067">
        <v>9.0999999999999998E-2</v>
      </c>
      <c r="F79" s="1068">
        <v>0.1</v>
      </c>
    </row>
    <row r="80" spans="1:6" ht="15" thickBot="1">
      <c r="A80" s="840" t="s">
        <v>523</v>
      </c>
      <c r="B80" s="834" t="s">
        <v>229</v>
      </c>
      <c r="C80" s="1067">
        <v>9.6000000000000002E-2</v>
      </c>
      <c r="D80" s="1067">
        <v>9.6000000000000002E-2</v>
      </c>
      <c r="E80" s="1067">
        <v>0.1</v>
      </c>
      <c r="F80" s="1068">
        <v>0.1</v>
      </c>
    </row>
    <row r="81" spans="1:6" ht="15" thickBot="1">
      <c r="A81" s="840" t="s">
        <v>523</v>
      </c>
      <c r="B81" s="834" t="s">
        <v>240</v>
      </c>
      <c r="C81" s="1067">
        <v>9.9000000000000005E-2</v>
      </c>
      <c r="D81" s="1067">
        <v>9.9000000000000005E-2</v>
      </c>
      <c r="E81" s="1067">
        <v>9.8000000000000004E-2</v>
      </c>
      <c r="F81" s="1068">
        <v>0.1</v>
      </c>
    </row>
    <row r="82" spans="1:6" ht="15" thickBot="1">
      <c r="A82" s="840" t="s">
        <v>523</v>
      </c>
      <c r="B82" s="834" t="s">
        <v>251</v>
      </c>
      <c r="C82" s="1067">
        <v>9.9000000000000005E-2</v>
      </c>
      <c r="D82" s="1067">
        <v>9.9000000000000005E-2</v>
      </c>
      <c r="E82" s="1067">
        <v>9.7000000000000003E-2</v>
      </c>
      <c r="F82" s="1068">
        <v>0.1</v>
      </c>
    </row>
    <row r="83" spans="1:6" ht="15" thickBot="1">
      <c r="A83" s="840" t="s">
        <v>523</v>
      </c>
      <c r="B83" s="834" t="s">
        <v>262</v>
      </c>
      <c r="C83" s="1067">
        <v>9.8000000000000004E-2</v>
      </c>
      <c r="D83" s="1067">
        <v>9.8000000000000004E-2</v>
      </c>
      <c r="E83" s="1067">
        <v>9.8000000000000004E-2</v>
      </c>
      <c r="F83" s="1068">
        <v>0.1</v>
      </c>
    </row>
    <row r="84" spans="1:6" ht="15" thickBot="1">
      <c r="A84" s="840" t="s">
        <v>523</v>
      </c>
      <c r="B84" s="834" t="s">
        <v>274</v>
      </c>
      <c r="C84" s="1067">
        <v>9.9000000000000005E-2</v>
      </c>
      <c r="D84" s="1067">
        <v>9.9000000000000005E-2</v>
      </c>
      <c r="E84" s="1067">
        <v>9.9000000000000005E-2</v>
      </c>
      <c r="F84" s="1068">
        <v>0.1</v>
      </c>
    </row>
    <row r="85" spans="1:6" ht="15" thickBot="1">
      <c r="A85" s="840" t="s">
        <v>523</v>
      </c>
      <c r="B85" s="834" t="s">
        <v>284</v>
      </c>
      <c r="C85" s="1067">
        <v>9.9000000000000005E-2</v>
      </c>
      <c r="D85" s="1067">
        <v>9.9000000000000005E-2</v>
      </c>
      <c r="E85" s="1067">
        <v>9.9000000000000005E-2</v>
      </c>
      <c r="F85" s="1068">
        <v>0.1</v>
      </c>
    </row>
    <row r="86" spans="1:6" ht="15" thickBot="1">
      <c r="A86" s="840" t="s">
        <v>523</v>
      </c>
      <c r="B86" s="834" t="s">
        <v>294</v>
      </c>
      <c r="C86" s="1067">
        <v>0.1</v>
      </c>
      <c r="D86" s="1067">
        <v>0.1</v>
      </c>
      <c r="E86" s="1067">
        <v>7.6999999999999999E-2</v>
      </c>
      <c r="F86" s="1068">
        <v>0.1</v>
      </c>
    </row>
    <row r="87" spans="1:6" ht="15" thickBot="1">
      <c r="A87" s="840" t="s">
        <v>523</v>
      </c>
      <c r="B87" s="834" t="s">
        <v>304</v>
      </c>
      <c r="C87" s="1067">
        <v>0.1</v>
      </c>
      <c r="D87" s="1067">
        <v>0.1</v>
      </c>
      <c r="E87" s="1067">
        <v>9.8000000000000004E-2</v>
      </c>
      <c r="F87" s="1079"/>
    </row>
    <row r="88" spans="1:6" ht="15" thickBot="1">
      <c r="A88" s="840" t="s">
        <v>523</v>
      </c>
      <c r="B88" s="834" t="s">
        <v>314</v>
      </c>
      <c r="C88" s="1067">
        <v>9.1999999999999998E-2</v>
      </c>
      <c r="D88" s="1067">
        <v>8.5000000000000006E-2</v>
      </c>
      <c r="E88" s="1067">
        <v>9.6000000000000002E-2</v>
      </c>
      <c r="F88" s="1079"/>
    </row>
    <row r="89" spans="1:6" ht="15" thickBot="1">
      <c r="A89" s="840" t="s">
        <v>523</v>
      </c>
      <c r="B89" s="834" t="s">
        <v>325</v>
      </c>
      <c r="C89" s="1067">
        <v>0.1</v>
      </c>
      <c r="D89" s="1067">
        <v>0.1</v>
      </c>
      <c r="E89" s="1067">
        <v>9.7000000000000003E-2</v>
      </c>
      <c r="F89" s="1079"/>
    </row>
    <row r="90" spans="1:6" ht="15" thickBot="1">
      <c r="A90" s="840" t="s">
        <v>523</v>
      </c>
      <c r="B90" s="834" t="s">
        <v>336</v>
      </c>
      <c r="C90" s="1067">
        <v>9.8000000000000004E-2</v>
      </c>
      <c r="D90" s="1067">
        <v>9.8000000000000004E-2</v>
      </c>
      <c r="E90" s="1067">
        <v>8.7999999999999995E-2</v>
      </c>
      <c r="F90" s="1079"/>
    </row>
    <row r="91" spans="1:6" ht="15" thickBot="1">
      <c r="A91" s="840" t="s">
        <v>523</v>
      </c>
      <c r="B91" s="834" t="s">
        <v>346</v>
      </c>
      <c r="C91" s="1067">
        <v>9.9000000000000005E-2</v>
      </c>
      <c r="D91" s="1067">
        <v>9.9000000000000005E-2</v>
      </c>
      <c r="E91" s="1067">
        <v>9.0999999999999998E-2</v>
      </c>
      <c r="F91" s="1079"/>
    </row>
    <row r="92" spans="1:6" ht="15" thickBot="1">
      <c r="A92" s="840" t="s">
        <v>523</v>
      </c>
      <c r="B92" s="834" t="s">
        <v>356</v>
      </c>
      <c r="C92" s="1067">
        <v>9.6000000000000002E-2</v>
      </c>
      <c r="D92" s="1067">
        <v>9.6000000000000002E-2</v>
      </c>
      <c r="E92" s="1067">
        <v>7.2999999999999995E-2</v>
      </c>
      <c r="F92" s="1079"/>
    </row>
    <row r="93" spans="1:6" ht="15" thickBot="1">
      <c r="A93" s="840" t="s">
        <v>523</v>
      </c>
      <c r="B93" s="834" t="s">
        <v>366</v>
      </c>
      <c r="C93" s="1067">
        <v>9.6000000000000002E-2</v>
      </c>
      <c r="D93" s="1067">
        <v>9.6000000000000002E-2</v>
      </c>
      <c r="E93" s="1067">
        <v>9.9000000000000005E-2</v>
      </c>
      <c r="F93" s="1079"/>
    </row>
    <row r="94" spans="1:6" ht="15" thickBot="1">
      <c r="A94" s="840" t="s">
        <v>523</v>
      </c>
      <c r="B94" s="834" t="s">
        <v>376</v>
      </c>
      <c r="C94" s="1067">
        <v>7.5999999999999998E-2</v>
      </c>
      <c r="D94" s="1067">
        <v>7.3999999999999996E-2</v>
      </c>
      <c r="E94" s="1067">
        <v>9.7000000000000003E-2</v>
      </c>
      <c r="F94" s="1079"/>
    </row>
    <row r="95" spans="1:6" ht="15" thickBot="1">
      <c r="A95" s="840" t="s">
        <v>523</v>
      </c>
      <c r="B95" s="834" t="s">
        <v>385</v>
      </c>
      <c r="C95" s="1067">
        <v>9.9000000000000005E-2</v>
      </c>
      <c r="D95" s="1067">
        <v>9.4E-2</v>
      </c>
      <c r="E95" s="1067">
        <v>9.6000000000000002E-2</v>
      </c>
      <c r="F95" s="1079"/>
    </row>
    <row r="96" spans="1:6" ht="15" thickBot="1">
      <c r="A96" s="840" t="s">
        <v>523</v>
      </c>
      <c r="B96" s="834" t="s">
        <v>394</v>
      </c>
      <c r="C96" s="1067">
        <v>9.9000000000000005E-2</v>
      </c>
      <c r="D96" s="1067">
        <v>9.9000000000000005E-2</v>
      </c>
      <c r="E96" s="1067">
        <v>9.9000000000000005E-2</v>
      </c>
      <c r="F96" s="1079"/>
    </row>
    <row r="97" spans="1:6" ht="15" thickBot="1">
      <c r="A97" s="840" t="s">
        <v>523</v>
      </c>
      <c r="B97" s="834" t="s">
        <v>402</v>
      </c>
      <c r="C97" s="1067">
        <v>9.8000000000000004E-2</v>
      </c>
      <c r="D97" s="1067">
        <v>9.8000000000000004E-2</v>
      </c>
      <c r="E97" s="1067">
        <v>9.7000000000000003E-2</v>
      </c>
      <c r="F97" s="1079"/>
    </row>
    <row r="98" spans="1:6" ht="15" thickBot="1">
      <c r="A98" s="840" t="s">
        <v>523</v>
      </c>
      <c r="B98" s="834" t="s">
        <v>409</v>
      </c>
      <c r="C98" s="1067">
        <v>0.1</v>
      </c>
      <c r="D98" s="1067">
        <v>0.1</v>
      </c>
      <c r="E98" s="1067">
        <v>9.7000000000000003E-2</v>
      </c>
      <c r="F98" s="1079"/>
    </row>
    <row r="99" spans="1:6" ht="15" thickBot="1">
      <c r="A99" s="840" t="s">
        <v>523</v>
      </c>
      <c r="B99" s="834" t="s">
        <v>416</v>
      </c>
      <c r="C99" s="1067">
        <v>0.1</v>
      </c>
      <c r="D99" s="1067">
        <v>0.1</v>
      </c>
      <c r="E99" s="1080"/>
      <c r="F99" s="1079"/>
    </row>
    <row r="100" spans="1:6" ht="15" thickBot="1">
      <c r="A100" s="840" t="s">
        <v>523</v>
      </c>
      <c r="B100" s="834" t="s">
        <v>423</v>
      </c>
      <c r="C100" s="1067">
        <v>0.09</v>
      </c>
      <c r="D100" s="1067">
        <v>8.8999999999999996E-2</v>
      </c>
      <c r="E100" s="1080"/>
      <c r="F100" s="1079"/>
    </row>
    <row r="101" spans="1:6" ht="15" thickBot="1">
      <c r="A101" s="840" t="s">
        <v>523</v>
      </c>
      <c r="B101" s="834" t="s">
        <v>430</v>
      </c>
      <c r="C101" s="1067">
        <v>9.8000000000000004E-2</v>
      </c>
      <c r="D101" s="1067">
        <v>9.7000000000000003E-2</v>
      </c>
      <c r="E101" s="1080"/>
      <c r="F101" s="1079"/>
    </row>
    <row r="102" spans="1:6" ht="24.6" thickBot="1">
      <c r="A102" s="840" t="s">
        <v>523</v>
      </c>
      <c r="B102" s="834" t="s">
        <v>890</v>
      </c>
      <c r="C102" s="1080"/>
      <c r="D102" s="1080"/>
      <c r="E102" s="1080"/>
      <c r="F102" s="1068">
        <v>0.05</v>
      </c>
    </row>
    <row r="103" spans="1:6" ht="24.6" thickBot="1">
      <c r="A103" s="840" t="s">
        <v>523</v>
      </c>
      <c r="B103" s="834" t="s">
        <v>891</v>
      </c>
      <c r="C103" s="1080"/>
      <c r="D103" s="1080"/>
      <c r="E103" s="1080"/>
      <c r="F103" s="1068">
        <v>0.05</v>
      </c>
    </row>
    <row r="104" spans="1:6" ht="15" thickBot="1">
      <c r="A104" s="840" t="s">
        <v>523</v>
      </c>
      <c r="B104" s="834" t="s">
        <v>892</v>
      </c>
      <c r="C104" s="1080"/>
      <c r="D104" s="1080"/>
      <c r="E104" s="1080"/>
      <c r="F104" s="1068">
        <v>0.05</v>
      </c>
    </row>
    <row r="105" spans="1:6" ht="24.6" thickBot="1">
      <c r="A105" s="840" t="s">
        <v>523</v>
      </c>
      <c r="B105" s="834" t="s">
        <v>893</v>
      </c>
      <c r="C105" s="1080"/>
      <c r="D105" s="1080"/>
      <c r="E105" s="1080"/>
      <c r="F105" s="1068">
        <v>0.05</v>
      </c>
    </row>
    <row r="106" spans="1:6" ht="24.6" thickBot="1">
      <c r="A106" s="840" t="s">
        <v>523</v>
      </c>
      <c r="B106" s="834" t="s">
        <v>894</v>
      </c>
      <c r="C106" s="1080"/>
      <c r="D106" s="1080"/>
      <c r="E106" s="1080"/>
      <c r="F106" s="1068">
        <v>0.05</v>
      </c>
    </row>
    <row r="107" spans="1:6" ht="24.6" thickBot="1">
      <c r="A107" s="840" t="s">
        <v>523</v>
      </c>
      <c r="B107" s="834" t="s">
        <v>895</v>
      </c>
      <c r="C107" s="1080"/>
      <c r="D107" s="1080"/>
      <c r="E107" s="1080"/>
      <c r="F107" s="1068">
        <v>0.05</v>
      </c>
    </row>
    <row r="108" spans="1:6" ht="24.6" thickBot="1">
      <c r="A108" s="840" t="s">
        <v>523</v>
      </c>
      <c r="B108" s="834" t="s">
        <v>896</v>
      </c>
      <c r="C108" s="1080"/>
      <c r="D108" s="1080"/>
      <c r="E108" s="1080"/>
      <c r="F108" s="1068">
        <v>0.05</v>
      </c>
    </row>
    <row r="109" spans="1:6" ht="24.6" thickBot="1">
      <c r="A109" s="850" t="s">
        <v>523</v>
      </c>
      <c r="B109" s="846" t="s">
        <v>897</v>
      </c>
      <c r="C109" s="1077"/>
      <c r="D109" s="1077"/>
      <c r="E109" s="1077"/>
      <c r="F109" s="1070">
        <v>0.05</v>
      </c>
    </row>
    <row r="110" spans="1:6" ht="15" thickBot="1">
      <c r="A110" s="840" t="s">
        <v>56</v>
      </c>
      <c r="B110" s="841" t="s">
        <v>898</v>
      </c>
      <c r="C110" s="1065">
        <v>0.129</v>
      </c>
      <c r="D110" s="1065">
        <v>0.129</v>
      </c>
      <c r="E110" s="1065">
        <v>0.126</v>
      </c>
      <c r="F110" s="1066">
        <v>0.13</v>
      </c>
    </row>
    <row r="111" spans="1:6" ht="15" thickBot="1">
      <c r="A111" s="840" t="s">
        <v>56</v>
      </c>
      <c r="B111" s="834" t="s">
        <v>192</v>
      </c>
      <c r="C111" s="1067">
        <v>0.11</v>
      </c>
      <c r="D111" s="1067">
        <v>0.11</v>
      </c>
      <c r="E111" s="1067">
        <v>9.9000000000000005E-2</v>
      </c>
      <c r="F111" s="1068">
        <v>0.128</v>
      </c>
    </row>
    <row r="112" spans="1:6" ht="15" thickBot="1">
      <c r="A112" s="840" t="s">
        <v>56</v>
      </c>
      <c r="B112" s="834" t="s">
        <v>205</v>
      </c>
      <c r="C112" s="1067">
        <v>0.125</v>
      </c>
      <c r="D112" s="1067">
        <v>0.125</v>
      </c>
      <c r="E112" s="1067">
        <v>0.12</v>
      </c>
      <c r="F112" s="1068">
        <v>0.125</v>
      </c>
    </row>
    <row r="113" spans="1:6" ht="15" thickBot="1">
      <c r="A113" s="840" t="s">
        <v>56</v>
      </c>
      <c r="B113" s="834" t="s">
        <v>218</v>
      </c>
      <c r="C113" s="1067">
        <v>0.13</v>
      </c>
      <c r="D113" s="1067">
        <v>0.13</v>
      </c>
      <c r="E113" s="1067">
        <v>0.13</v>
      </c>
      <c r="F113" s="1068">
        <v>0.13</v>
      </c>
    </row>
    <row r="114" spans="1:6" ht="15" thickBot="1">
      <c r="A114" s="840" t="s">
        <v>56</v>
      </c>
      <c r="B114" s="834" t="s">
        <v>230</v>
      </c>
      <c r="C114" s="1067">
        <v>0.123</v>
      </c>
      <c r="D114" s="1067">
        <v>0.123</v>
      </c>
      <c r="E114" s="1067">
        <v>0.12</v>
      </c>
      <c r="F114" s="1068">
        <v>0.13</v>
      </c>
    </row>
    <row r="115" spans="1:6" ht="15" thickBot="1">
      <c r="A115" s="840" t="s">
        <v>56</v>
      </c>
      <c r="B115" s="834" t="s">
        <v>241</v>
      </c>
      <c r="C115" s="1067">
        <v>0.125</v>
      </c>
      <c r="D115" s="1067">
        <v>0.125</v>
      </c>
      <c r="E115" s="1067">
        <v>0.11700000000000001</v>
      </c>
      <c r="F115" s="1068">
        <v>0.13</v>
      </c>
    </row>
    <row r="116" spans="1:6" ht="15" thickBot="1">
      <c r="A116" s="840" t="s">
        <v>56</v>
      </c>
      <c r="B116" s="834" t="s">
        <v>252</v>
      </c>
      <c r="C116" s="1067">
        <v>0.11700000000000001</v>
      </c>
      <c r="D116" s="1067">
        <v>0.11700000000000001</v>
      </c>
      <c r="E116" s="1067">
        <v>8.7999999999999995E-2</v>
      </c>
      <c r="F116" s="1068">
        <v>0.13</v>
      </c>
    </row>
    <row r="117" spans="1:6" ht="15" thickBot="1">
      <c r="A117" s="840" t="s">
        <v>56</v>
      </c>
      <c r="B117" s="834" t="s">
        <v>263</v>
      </c>
      <c r="C117" s="1067">
        <v>0.13</v>
      </c>
      <c r="D117" s="1067">
        <v>0.13</v>
      </c>
      <c r="E117" s="1067">
        <v>0.129</v>
      </c>
      <c r="F117" s="1068">
        <v>0.13</v>
      </c>
    </row>
    <row r="118" spans="1:6" ht="15" thickBot="1">
      <c r="A118" s="840" t="s">
        <v>56</v>
      </c>
      <c r="B118" s="834" t="s">
        <v>275</v>
      </c>
      <c r="C118" s="1067">
        <v>0.123</v>
      </c>
      <c r="D118" s="1067">
        <v>0.123</v>
      </c>
      <c r="E118" s="1067">
        <v>0.11600000000000001</v>
      </c>
      <c r="F118" s="1068">
        <v>0.13</v>
      </c>
    </row>
    <row r="119" spans="1:6" ht="15" thickBot="1">
      <c r="A119" s="840" t="s">
        <v>56</v>
      </c>
      <c r="B119" s="834" t="s">
        <v>285</v>
      </c>
      <c r="C119" s="1067">
        <v>0.127</v>
      </c>
      <c r="D119" s="1067">
        <v>0.127</v>
      </c>
      <c r="E119" s="1067">
        <v>0.124</v>
      </c>
      <c r="F119" s="1068">
        <v>0.13</v>
      </c>
    </row>
    <row r="120" spans="1:6" ht="15" thickBot="1">
      <c r="A120" s="840" t="s">
        <v>56</v>
      </c>
      <c r="B120" s="834" t="s">
        <v>295</v>
      </c>
      <c r="C120" s="1067">
        <v>0.125</v>
      </c>
      <c r="D120" s="1067">
        <v>0.125</v>
      </c>
      <c r="E120" s="1067">
        <v>0.122</v>
      </c>
      <c r="F120" s="1068">
        <v>0.13</v>
      </c>
    </row>
    <row r="121" spans="1:6" ht="15" thickBot="1">
      <c r="A121" s="840" t="s">
        <v>56</v>
      </c>
      <c r="B121" s="834" t="s">
        <v>305</v>
      </c>
      <c r="C121" s="1067">
        <v>0.13</v>
      </c>
      <c r="D121" s="1067">
        <v>0.13</v>
      </c>
      <c r="E121" s="1067">
        <v>0.13</v>
      </c>
      <c r="F121" s="1068">
        <v>0.13</v>
      </c>
    </row>
    <row r="122" spans="1:6" ht="15" thickBot="1">
      <c r="A122" s="840" t="s">
        <v>56</v>
      </c>
      <c r="B122" s="834" t="s">
        <v>315</v>
      </c>
      <c r="C122" s="1067">
        <v>0.13</v>
      </c>
      <c r="D122" s="1067">
        <v>0.13</v>
      </c>
      <c r="E122" s="1067">
        <v>0.125</v>
      </c>
      <c r="F122" s="1068">
        <v>0.13</v>
      </c>
    </row>
    <row r="123" spans="1:6" ht="15" thickBot="1">
      <c r="A123" s="840" t="s">
        <v>56</v>
      </c>
      <c r="B123" s="834" t="s">
        <v>326</v>
      </c>
      <c r="C123" s="1067">
        <v>0.129</v>
      </c>
      <c r="D123" s="1067">
        <v>0.129</v>
      </c>
      <c r="E123" s="1067">
        <v>0.123</v>
      </c>
      <c r="F123" s="1068">
        <v>0.13</v>
      </c>
    </row>
    <row r="124" spans="1:6" ht="15" thickBot="1">
      <c r="A124" s="840" t="s">
        <v>56</v>
      </c>
      <c r="B124" s="834" t="s">
        <v>337</v>
      </c>
      <c r="C124" s="1067">
        <v>0.10199999999999999</v>
      </c>
      <c r="D124" s="1067">
        <v>0.10100000000000001</v>
      </c>
      <c r="E124" s="1067">
        <v>0.08</v>
      </c>
      <c r="F124" s="1079"/>
    </row>
    <row r="125" spans="1:6" ht="15" thickBot="1">
      <c r="A125" s="840" t="s">
        <v>56</v>
      </c>
      <c r="B125" s="834" t="s">
        <v>347</v>
      </c>
      <c r="C125" s="1067">
        <v>0.13</v>
      </c>
      <c r="D125" s="1067">
        <v>0.13</v>
      </c>
      <c r="E125" s="1067">
        <v>0.129</v>
      </c>
      <c r="F125" s="1079"/>
    </row>
    <row r="126" spans="1:6" ht="15" thickBot="1">
      <c r="A126" s="840" t="s">
        <v>56</v>
      </c>
      <c r="B126" s="834" t="s">
        <v>357</v>
      </c>
      <c r="C126" s="1067">
        <v>0.13</v>
      </c>
      <c r="D126" s="1067">
        <v>0.13</v>
      </c>
      <c r="E126" s="1067">
        <v>0.126</v>
      </c>
      <c r="F126" s="1079"/>
    </row>
    <row r="127" spans="1:6" ht="15" thickBot="1">
      <c r="A127" s="840" t="s">
        <v>56</v>
      </c>
      <c r="B127" s="834" t="s">
        <v>367</v>
      </c>
      <c r="C127" s="1067">
        <v>0.125</v>
      </c>
      <c r="D127" s="1067">
        <v>0.125</v>
      </c>
      <c r="E127" s="1067">
        <v>0.121</v>
      </c>
      <c r="F127" s="1079"/>
    </row>
    <row r="128" spans="1:6" ht="15" thickBot="1">
      <c r="A128" s="840" t="s">
        <v>56</v>
      </c>
      <c r="B128" s="834" t="s">
        <v>377</v>
      </c>
      <c r="C128" s="1067">
        <v>0.12</v>
      </c>
      <c r="D128" s="1067">
        <v>0.12</v>
      </c>
      <c r="E128" s="1067">
        <v>0.105</v>
      </c>
      <c r="F128" s="1079"/>
    </row>
    <row r="129" spans="1:6" ht="15" thickBot="1">
      <c r="A129" s="840" t="s">
        <v>56</v>
      </c>
      <c r="B129" s="834" t="s">
        <v>386</v>
      </c>
      <c r="C129" s="1067">
        <v>0.13</v>
      </c>
      <c r="D129" s="1067">
        <v>0.13</v>
      </c>
      <c r="E129" s="1067">
        <v>0.126</v>
      </c>
      <c r="F129" s="1079"/>
    </row>
    <row r="130" spans="1:6" ht="15" thickBot="1">
      <c r="A130" s="840" t="s">
        <v>56</v>
      </c>
      <c r="B130" s="834" t="s">
        <v>395</v>
      </c>
      <c r="C130" s="1067">
        <v>0.125</v>
      </c>
      <c r="D130" s="1067">
        <v>0.125</v>
      </c>
      <c r="E130" s="1067">
        <v>0.122</v>
      </c>
      <c r="F130" s="1079"/>
    </row>
    <row r="131" spans="1:6" ht="15" thickBot="1">
      <c r="A131" s="840" t="s">
        <v>56</v>
      </c>
      <c r="B131" s="834" t="s">
        <v>403</v>
      </c>
      <c r="C131" s="1067">
        <v>0.127</v>
      </c>
      <c r="D131" s="1067">
        <v>0.126</v>
      </c>
      <c r="E131" s="1067">
        <v>0.123</v>
      </c>
      <c r="F131" s="1079"/>
    </row>
    <row r="132" spans="1:6" ht="15" thickBot="1">
      <c r="A132" s="840" t="s">
        <v>56</v>
      </c>
      <c r="B132" s="834" t="s">
        <v>410</v>
      </c>
      <c r="C132" s="1067">
        <v>9.0999999999999998E-2</v>
      </c>
      <c r="D132" s="1067">
        <v>0.121</v>
      </c>
      <c r="E132" s="1067">
        <v>9.9000000000000005E-2</v>
      </c>
      <c r="F132" s="1079"/>
    </row>
    <row r="133" spans="1:6" ht="15" thickBot="1">
      <c r="A133" s="840" t="s">
        <v>56</v>
      </c>
      <c r="B133" s="834" t="s">
        <v>417</v>
      </c>
      <c r="C133" s="1067">
        <v>0.13</v>
      </c>
      <c r="D133" s="1067">
        <v>0.13</v>
      </c>
      <c r="E133" s="1067">
        <v>0.129</v>
      </c>
      <c r="F133" s="1079"/>
    </row>
    <row r="134" spans="1:6" ht="15" thickBot="1">
      <c r="A134" s="840" t="s">
        <v>56</v>
      </c>
      <c r="B134" s="834" t="s">
        <v>899</v>
      </c>
      <c r="C134" s="1067">
        <v>6.8000000000000005E-2</v>
      </c>
      <c r="D134" s="1067">
        <v>6.5000000000000002E-2</v>
      </c>
      <c r="E134" s="1067">
        <v>6.5000000000000002E-2</v>
      </c>
      <c r="F134" s="1068">
        <v>0.13</v>
      </c>
    </row>
    <row r="135" spans="1:6" ht="15" thickBot="1">
      <c r="A135" s="840" t="s">
        <v>56</v>
      </c>
      <c r="B135" s="834" t="s">
        <v>431</v>
      </c>
      <c r="C135" s="1067">
        <v>0.123</v>
      </c>
      <c r="D135" s="1067">
        <v>0.123</v>
      </c>
      <c r="E135" s="1067">
        <v>0.11</v>
      </c>
      <c r="F135" s="1079"/>
    </row>
    <row r="136" spans="1:6" ht="15" thickBot="1">
      <c r="A136" s="840" t="s">
        <v>56</v>
      </c>
      <c r="B136" s="834" t="s">
        <v>438</v>
      </c>
      <c r="C136" s="1067">
        <v>0.13</v>
      </c>
      <c r="D136" s="1067">
        <v>0.13</v>
      </c>
      <c r="E136" s="1067">
        <v>0.125</v>
      </c>
      <c r="F136" s="1079"/>
    </row>
    <row r="137" spans="1:6" ht="15" thickBot="1">
      <c r="A137" s="840" t="s">
        <v>56</v>
      </c>
      <c r="B137" s="834" t="s">
        <v>445</v>
      </c>
      <c r="C137" s="1067">
        <v>0.121</v>
      </c>
      <c r="D137" s="1067">
        <v>0.122</v>
      </c>
      <c r="E137" s="1067">
        <v>0.115</v>
      </c>
      <c r="F137" s="1079"/>
    </row>
    <row r="138" spans="1:6" ht="15" thickBot="1">
      <c r="A138" s="840" t="s">
        <v>56</v>
      </c>
      <c r="B138" s="834" t="s">
        <v>900</v>
      </c>
      <c r="C138" s="1067">
        <v>0.105</v>
      </c>
      <c r="D138" s="1067">
        <v>0.125</v>
      </c>
      <c r="E138" s="1067">
        <v>0.112</v>
      </c>
      <c r="F138" s="1079"/>
    </row>
    <row r="139" spans="1:6" ht="15" thickBot="1">
      <c r="A139" s="840" t="s">
        <v>56</v>
      </c>
      <c r="B139" s="834" t="s">
        <v>901</v>
      </c>
      <c r="C139" s="1067">
        <v>0.127</v>
      </c>
      <c r="D139" s="1067">
        <v>0.127</v>
      </c>
      <c r="E139" s="1067">
        <v>0.122</v>
      </c>
      <c r="F139" s="1068">
        <v>0.13</v>
      </c>
    </row>
    <row r="140" spans="1:6" ht="15" thickBot="1">
      <c r="A140" s="840" t="s">
        <v>56</v>
      </c>
      <c r="B140" s="834" t="s">
        <v>902</v>
      </c>
      <c r="C140" s="1067">
        <v>0.125</v>
      </c>
      <c r="D140" s="1067">
        <v>0.125</v>
      </c>
      <c r="E140" s="1067">
        <v>0.11899999999999999</v>
      </c>
      <c r="F140" s="1068">
        <v>0.13</v>
      </c>
    </row>
    <row r="141" spans="1:6" ht="15" thickBot="1">
      <c r="A141" s="840" t="s">
        <v>56</v>
      </c>
      <c r="B141" s="834" t="s">
        <v>464</v>
      </c>
      <c r="C141" s="1067">
        <v>0.125</v>
      </c>
      <c r="D141" s="1067">
        <v>0.125</v>
      </c>
      <c r="E141" s="1067">
        <v>0.11700000000000001</v>
      </c>
      <c r="F141" s="1079"/>
    </row>
    <row r="142" spans="1:6" ht="15" thickBot="1">
      <c r="A142" s="840" t="s">
        <v>56</v>
      </c>
      <c r="B142" s="834" t="s">
        <v>469</v>
      </c>
      <c r="C142" s="1067">
        <v>0.125</v>
      </c>
      <c r="D142" s="1067">
        <v>0.125</v>
      </c>
      <c r="E142" s="1067">
        <v>0.115</v>
      </c>
      <c r="F142" s="1079"/>
    </row>
    <row r="143" spans="1:6" ht="15" thickBot="1">
      <c r="A143" s="840" t="s">
        <v>56</v>
      </c>
      <c r="B143" s="834" t="s">
        <v>474</v>
      </c>
      <c r="C143" s="1067">
        <v>0.121</v>
      </c>
      <c r="D143" s="1067">
        <v>0.121</v>
      </c>
      <c r="E143" s="1067">
        <v>0.108</v>
      </c>
      <c r="F143" s="1079"/>
    </row>
    <row r="144" spans="1:6" ht="15" thickBot="1">
      <c r="A144" s="840" t="s">
        <v>56</v>
      </c>
      <c r="B144" s="1071" t="s">
        <v>903</v>
      </c>
      <c r="C144" s="1072">
        <v>0.126</v>
      </c>
      <c r="D144" s="1072">
        <v>0.126</v>
      </c>
      <c r="E144" s="1072">
        <v>0.121</v>
      </c>
      <c r="F144" s="1079"/>
    </row>
    <row r="145" spans="1:6" ht="15" thickBot="1">
      <c r="A145" s="850" t="s">
        <v>56</v>
      </c>
      <c r="B145" s="1073" t="s">
        <v>904</v>
      </c>
      <c r="C145" s="1081"/>
      <c r="D145" s="1081"/>
      <c r="E145" s="1081"/>
      <c r="F145" s="1074">
        <v>0.05</v>
      </c>
    </row>
    <row r="146" spans="1:6" ht="24.6" thickBot="1">
      <c r="A146" s="1075" t="s">
        <v>56</v>
      </c>
      <c r="B146" s="844" t="s">
        <v>905</v>
      </c>
      <c r="C146" s="1080"/>
      <c r="D146" s="1080"/>
      <c r="E146" s="1080"/>
      <c r="F146" s="1076">
        <v>0.05</v>
      </c>
    </row>
    <row r="147" spans="1:6" ht="24.6" thickBot="1">
      <c r="A147" s="840" t="s">
        <v>56</v>
      </c>
      <c r="B147" s="834" t="s">
        <v>906</v>
      </c>
      <c r="C147" s="1080"/>
      <c r="D147" s="1080"/>
      <c r="E147" s="1080"/>
      <c r="F147" s="1068">
        <v>0.05</v>
      </c>
    </row>
    <row r="148" spans="1:6" ht="24.6" thickBot="1">
      <c r="A148" s="840" t="s">
        <v>56</v>
      </c>
      <c r="B148" s="834" t="s">
        <v>907</v>
      </c>
      <c r="C148" s="1080"/>
      <c r="D148" s="1080"/>
      <c r="E148" s="1080"/>
      <c r="F148" s="1068">
        <v>0.05</v>
      </c>
    </row>
    <row r="149" spans="1:6" ht="24.6" thickBot="1">
      <c r="A149" s="840" t="s">
        <v>56</v>
      </c>
      <c r="B149" s="834" t="s">
        <v>908</v>
      </c>
      <c r="C149" s="1080"/>
      <c r="D149" s="1080"/>
      <c r="E149" s="1080"/>
      <c r="F149" s="1068">
        <v>0.05</v>
      </c>
    </row>
    <row r="150" spans="1:6" ht="24.6" thickBot="1">
      <c r="A150" s="840" t="s">
        <v>56</v>
      </c>
      <c r="B150" s="834" t="s">
        <v>909</v>
      </c>
      <c r="C150" s="1080"/>
      <c r="D150" s="1080"/>
      <c r="E150" s="1080"/>
      <c r="F150" s="1068">
        <v>0.05</v>
      </c>
    </row>
    <row r="151" spans="1:6" ht="24.6" thickBot="1">
      <c r="A151" s="840" t="s">
        <v>56</v>
      </c>
      <c r="B151" s="834" t="s">
        <v>910</v>
      </c>
      <c r="C151" s="1080"/>
      <c r="D151" s="1080"/>
      <c r="E151" s="1080"/>
      <c r="F151" s="1068">
        <v>0.05</v>
      </c>
    </row>
    <row r="152" spans="1:6" ht="24.6" thickBot="1">
      <c r="A152" s="840" t="s">
        <v>56</v>
      </c>
      <c r="B152" s="834" t="s">
        <v>507</v>
      </c>
      <c r="C152" s="1080"/>
      <c r="D152" s="1080"/>
      <c r="E152" s="1080"/>
      <c r="F152" s="1068">
        <v>0.05</v>
      </c>
    </row>
    <row r="153" spans="1:6" ht="15" thickBot="1">
      <c r="A153" s="840" t="s">
        <v>56</v>
      </c>
      <c r="B153" s="834" t="s">
        <v>911</v>
      </c>
      <c r="C153" s="1080"/>
      <c r="D153" s="1080"/>
      <c r="E153" s="1080"/>
      <c r="F153" s="1068">
        <v>0.05</v>
      </c>
    </row>
    <row r="154" spans="1:6" ht="15" thickBot="1">
      <c r="A154" s="840" t="s">
        <v>56</v>
      </c>
      <c r="B154" s="834" t="s">
        <v>912</v>
      </c>
      <c r="C154" s="1080"/>
      <c r="D154" s="1080"/>
      <c r="E154" s="1080"/>
      <c r="F154" s="1068">
        <v>0.05</v>
      </c>
    </row>
    <row r="155" spans="1:6" ht="24.6" thickBot="1">
      <c r="A155" s="840" t="s">
        <v>56</v>
      </c>
      <c r="B155" s="834" t="s">
        <v>913</v>
      </c>
      <c r="C155" s="1080"/>
      <c r="D155" s="1080"/>
      <c r="E155" s="1080"/>
      <c r="F155" s="1068">
        <v>0.05</v>
      </c>
    </row>
    <row r="156" spans="1:6" ht="24.6" thickBot="1">
      <c r="A156" s="840" t="s">
        <v>56</v>
      </c>
      <c r="B156" s="834" t="s">
        <v>914</v>
      </c>
      <c r="C156" s="1080"/>
      <c r="D156" s="1080"/>
      <c r="E156" s="1080"/>
      <c r="F156" s="1068">
        <v>0.05</v>
      </c>
    </row>
    <row r="157" spans="1:6" ht="24.6" thickBot="1">
      <c r="A157" s="850" t="s">
        <v>56</v>
      </c>
      <c r="B157" s="846" t="s">
        <v>915</v>
      </c>
      <c r="C157" s="1077"/>
      <c r="D157" s="1077"/>
      <c r="E157" s="1077"/>
      <c r="F157" s="1070">
        <v>0.05</v>
      </c>
    </row>
    <row r="158" spans="1:6" ht="15" thickBot="1">
      <c r="A158" s="840" t="s">
        <v>526</v>
      </c>
      <c r="B158" s="841" t="s">
        <v>916</v>
      </c>
      <c r="C158" s="1065">
        <v>0.13</v>
      </c>
      <c r="D158" s="1065">
        <v>0.13</v>
      </c>
      <c r="E158" s="1065">
        <v>0.13</v>
      </c>
      <c r="F158" s="1066">
        <v>0.13</v>
      </c>
    </row>
    <row r="159" spans="1:6" ht="15" thickBot="1">
      <c r="A159" s="840" t="s">
        <v>526</v>
      </c>
      <c r="B159" s="834" t="s">
        <v>193</v>
      </c>
      <c r="C159" s="1067">
        <v>0.13</v>
      </c>
      <c r="D159" s="1067">
        <v>0.13</v>
      </c>
      <c r="E159" s="1067">
        <v>0.13</v>
      </c>
      <c r="F159" s="1068">
        <v>0.13</v>
      </c>
    </row>
    <row r="160" spans="1:6" ht="15" thickBot="1">
      <c r="A160" s="840" t="s">
        <v>526</v>
      </c>
      <c r="B160" s="834" t="s">
        <v>206</v>
      </c>
      <c r="C160" s="1067">
        <v>0.13</v>
      </c>
      <c r="D160" s="1067">
        <v>0.13</v>
      </c>
      <c r="E160" s="1067">
        <v>0.129</v>
      </c>
      <c r="F160" s="1068">
        <v>0.13</v>
      </c>
    </row>
    <row r="161" spans="1:6" ht="15" thickBot="1">
      <c r="A161" s="840" t="s">
        <v>526</v>
      </c>
      <c r="B161" s="834" t="s">
        <v>219</v>
      </c>
      <c r="C161" s="1067">
        <v>0.128</v>
      </c>
      <c r="D161" s="1067">
        <v>0.128</v>
      </c>
      <c r="E161" s="1067">
        <v>0.125</v>
      </c>
      <c r="F161" s="1068">
        <v>0.13</v>
      </c>
    </row>
    <row r="162" spans="1:6" ht="15" thickBot="1">
      <c r="A162" s="840" t="s">
        <v>526</v>
      </c>
      <c r="B162" s="834" t="s">
        <v>231</v>
      </c>
      <c r="C162" s="1067">
        <v>0.122</v>
      </c>
      <c r="D162" s="1067">
        <v>0.122</v>
      </c>
      <c r="E162" s="1067">
        <v>0.126</v>
      </c>
      <c r="F162" s="1068">
        <v>0.122</v>
      </c>
    </row>
    <row r="163" spans="1:6" ht="15" thickBot="1">
      <c r="A163" s="840" t="s">
        <v>526</v>
      </c>
      <c r="B163" s="834" t="s">
        <v>242</v>
      </c>
      <c r="C163" s="1067">
        <v>0.13</v>
      </c>
      <c r="D163" s="1067">
        <v>0.13</v>
      </c>
      <c r="E163" s="1067">
        <v>0.125</v>
      </c>
      <c r="F163" s="1068">
        <v>0.13</v>
      </c>
    </row>
    <row r="164" spans="1:6" ht="15" thickBot="1">
      <c r="A164" s="840" t="s">
        <v>526</v>
      </c>
      <c r="B164" s="834" t="s">
        <v>253</v>
      </c>
      <c r="C164" s="1067">
        <v>0.13</v>
      </c>
      <c r="D164" s="1067">
        <v>0.13</v>
      </c>
      <c r="E164" s="1067">
        <v>0.13</v>
      </c>
      <c r="F164" s="1068">
        <v>0.13</v>
      </c>
    </row>
    <row r="165" spans="1:6" ht="15" thickBot="1">
      <c r="A165" s="840" t="s">
        <v>526</v>
      </c>
      <c r="B165" s="834" t="s">
        <v>264</v>
      </c>
      <c r="C165" s="1067">
        <v>0.13</v>
      </c>
      <c r="D165" s="1067">
        <v>0.13</v>
      </c>
      <c r="E165" s="1067">
        <v>0.124</v>
      </c>
      <c r="F165" s="1068">
        <v>0.13</v>
      </c>
    </row>
    <row r="166" spans="1:6" ht="15" thickBot="1">
      <c r="A166" s="840" t="s">
        <v>526</v>
      </c>
      <c r="B166" s="834" t="s">
        <v>276</v>
      </c>
      <c r="C166" s="1067">
        <v>0.13</v>
      </c>
      <c r="D166" s="1067">
        <v>0.13</v>
      </c>
      <c r="E166" s="1067">
        <v>0.13</v>
      </c>
      <c r="F166" s="1068">
        <v>0.13</v>
      </c>
    </row>
    <row r="167" spans="1:6" ht="15" thickBot="1">
      <c r="A167" s="840" t="s">
        <v>526</v>
      </c>
      <c r="B167" s="834" t="s">
        <v>286</v>
      </c>
      <c r="C167" s="1067">
        <v>0.125</v>
      </c>
      <c r="D167" s="1067">
        <v>0.125</v>
      </c>
      <c r="E167" s="1067">
        <v>0.121</v>
      </c>
      <c r="F167" s="1079"/>
    </row>
    <row r="168" spans="1:6" ht="15" thickBot="1">
      <c r="A168" s="840" t="s">
        <v>526</v>
      </c>
      <c r="B168" s="834" t="s">
        <v>296</v>
      </c>
      <c r="C168" s="1067">
        <v>0.13</v>
      </c>
      <c r="D168" s="1067">
        <v>0.13</v>
      </c>
      <c r="E168" s="1067">
        <v>0.126</v>
      </c>
      <c r="F168" s="1079"/>
    </row>
    <row r="169" spans="1:6" ht="15" thickBot="1">
      <c r="A169" s="840" t="s">
        <v>526</v>
      </c>
      <c r="B169" s="834" t="s">
        <v>306</v>
      </c>
      <c r="C169" s="1067">
        <v>0.128</v>
      </c>
      <c r="D169" s="1067">
        <v>0.129</v>
      </c>
      <c r="E169" s="1067">
        <v>0.13</v>
      </c>
      <c r="F169" s="1079"/>
    </row>
    <row r="170" spans="1:6" ht="15" thickBot="1">
      <c r="A170" s="840" t="s">
        <v>526</v>
      </c>
      <c r="B170" s="834" t="s">
        <v>316</v>
      </c>
      <c r="C170" s="1067">
        <v>0.14099999999999999</v>
      </c>
      <c r="D170" s="1067">
        <v>0.13</v>
      </c>
      <c r="E170" s="1067">
        <v>0.125</v>
      </c>
      <c r="F170" s="1079"/>
    </row>
    <row r="171" spans="1:6" ht="15" thickBot="1">
      <c r="A171" s="840" t="s">
        <v>526</v>
      </c>
      <c r="B171" s="834" t="s">
        <v>917</v>
      </c>
      <c r="C171" s="1067">
        <v>0.127</v>
      </c>
      <c r="D171" s="1067">
        <v>0.126</v>
      </c>
      <c r="E171" s="1067">
        <v>0.126</v>
      </c>
      <c r="F171" s="1068">
        <v>0.11799999999999999</v>
      </c>
    </row>
    <row r="172" spans="1:6" ht="15" thickBot="1">
      <c r="A172" s="840" t="s">
        <v>526</v>
      </c>
      <c r="B172" s="834" t="s">
        <v>918</v>
      </c>
      <c r="C172" s="1067">
        <v>0.13</v>
      </c>
      <c r="D172" s="1067">
        <v>0.13</v>
      </c>
      <c r="E172" s="1067">
        <v>0.13</v>
      </c>
      <c r="F172" s="1079"/>
    </row>
    <row r="173" spans="1:6" ht="15" thickBot="1">
      <c r="A173" s="840" t="s">
        <v>526</v>
      </c>
      <c r="B173" s="834" t="s">
        <v>348</v>
      </c>
      <c r="C173" s="1067">
        <v>0.13</v>
      </c>
      <c r="D173" s="1067">
        <v>0.13</v>
      </c>
      <c r="E173" s="1067">
        <v>0.13</v>
      </c>
      <c r="F173" s="1079"/>
    </row>
    <row r="174" spans="1:6" ht="15" thickBot="1">
      <c r="A174" s="840" t="s">
        <v>526</v>
      </c>
      <c r="B174" s="834" t="s">
        <v>919</v>
      </c>
      <c r="C174" s="1067">
        <v>0.13</v>
      </c>
      <c r="D174" s="1067">
        <v>0.13</v>
      </c>
      <c r="E174" s="1067">
        <v>0.13</v>
      </c>
      <c r="F174" s="1068">
        <v>0.13</v>
      </c>
    </row>
    <row r="175" spans="1:6" ht="15" thickBot="1">
      <c r="A175" s="840" t="s">
        <v>526</v>
      </c>
      <c r="B175" s="834" t="s">
        <v>920</v>
      </c>
      <c r="C175" s="1067">
        <v>0.13</v>
      </c>
      <c r="D175" s="1067">
        <v>0.13</v>
      </c>
      <c r="E175" s="1067">
        <v>0.13</v>
      </c>
      <c r="F175" s="1068">
        <v>0.13</v>
      </c>
    </row>
    <row r="176" spans="1:6" ht="15" thickBot="1">
      <c r="A176" s="840" t="s">
        <v>526</v>
      </c>
      <c r="B176" s="834" t="s">
        <v>378</v>
      </c>
      <c r="C176" s="1067">
        <v>0.13</v>
      </c>
      <c r="D176" s="1067">
        <v>0.13</v>
      </c>
      <c r="E176" s="1067">
        <v>0.13</v>
      </c>
      <c r="F176" s="1068">
        <v>0.13</v>
      </c>
    </row>
    <row r="177" spans="1:6" ht="15" thickBot="1">
      <c r="A177" s="840" t="s">
        <v>526</v>
      </c>
      <c r="B177" s="834" t="s">
        <v>921</v>
      </c>
      <c r="C177" s="1067">
        <v>0.13</v>
      </c>
      <c r="D177" s="1067">
        <v>0.13</v>
      </c>
      <c r="E177" s="1067">
        <v>0.13</v>
      </c>
      <c r="F177" s="1068">
        <v>0.13</v>
      </c>
    </row>
    <row r="178" spans="1:6" ht="15" thickBot="1">
      <c r="A178" s="840" t="s">
        <v>526</v>
      </c>
      <c r="B178" s="834" t="s">
        <v>396</v>
      </c>
      <c r="C178" s="1067">
        <v>0.13</v>
      </c>
      <c r="D178" s="1067">
        <v>0.13</v>
      </c>
      <c r="E178" s="1067">
        <v>0.13</v>
      </c>
      <c r="F178" s="1068">
        <v>0.127</v>
      </c>
    </row>
    <row r="179" spans="1:6" ht="15" thickBot="1">
      <c r="A179" s="840" t="s">
        <v>526</v>
      </c>
      <c r="B179" s="834" t="s">
        <v>404</v>
      </c>
      <c r="C179" s="1067">
        <v>0.13</v>
      </c>
      <c r="D179" s="1067">
        <v>0.13</v>
      </c>
      <c r="E179" s="1067">
        <v>0.13</v>
      </c>
      <c r="F179" s="1079"/>
    </row>
    <row r="180" spans="1:6" ht="15" thickBot="1">
      <c r="A180" s="840" t="s">
        <v>526</v>
      </c>
      <c r="B180" s="834" t="s">
        <v>922</v>
      </c>
      <c r="C180" s="1067">
        <v>0.13</v>
      </c>
      <c r="D180" s="1067">
        <v>0.13</v>
      </c>
      <c r="E180" s="1067">
        <v>0.125</v>
      </c>
      <c r="F180" s="1068">
        <v>0.13</v>
      </c>
    </row>
    <row r="181" spans="1:6" ht="15" thickBot="1">
      <c r="A181" s="840" t="s">
        <v>526</v>
      </c>
      <c r="B181" s="834" t="s">
        <v>418</v>
      </c>
      <c r="C181" s="1067">
        <v>0.122</v>
      </c>
      <c r="D181" s="1067">
        <v>0.123</v>
      </c>
      <c r="E181" s="1067">
        <v>0.126</v>
      </c>
      <c r="F181" s="1068">
        <v>0.121</v>
      </c>
    </row>
    <row r="182" spans="1:6" ht="15" thickBot="1">
      <c r="A182" s="840" t="s">
        <v>526</v>
      </c>
      <c r="B182" s="834" t="s">
        <v>425</v>
      </c>
      <c r="C182" s="1067">
        <v>0.125</v>
      </c>
      <c r="D182" s="1067">
        <v>0.125</v>
      </c>
      <c r="E182" s="1067">
        <v>0.11700000000000001</v>
      </c>
      <c r="F182" s="1068">
        <v>0.13</v>
      </c>
    </row>
    <row r="183" spans="1:6" ht="15" thickBot="1">
      <c r="A183" s="840" t="s">
        <v>526</v>
      </c>
      <c r="B183" s="834" t="s">
        <v>432</v>
      </c>
      <c r="C183" s="1067">
        <v>0.127</v>
      </c>
      <c r="D183" s="1067">
        <v>0.127</v>
      </c>
      <c r="E183" s="1067">
        <v>0.128</v>
      </c>
      <c r="F183" s="1079"/>
    </row>
    <row r="184" spans="1:6" ht="15" thickBot="1">
      <c r="A184" s="840" t="s">
        <v>526</v>
      </c>
      <c r="B184" s="834" t="s">
        <v>439</v>
      </c>
      <c r="C184" s="1067">
        <v>0.125</v>
      </c>
      <c r="D184" s="1067">
        <v>0.125</v>
      </c>
      <c r="E184" s="1067">
        <v>0.127</v>
      </c>
      <c r="F184" s="1079"/>
    </row>
    <row r="185" spans="1:6" ht="15" thickBot="1">
      <c r="A185" s="840" t="s">
        <v>526</v>
      </c>
      <c r="B185" s="834" t="s">
        <v>923</v>
      </c>
      <c r="C185" s="1067">
        <v>0.127</v>
      </c>
      <c r="D185" s="1067">
        <v>0.127</v>
      </c>
      <c r="E185" s="1067">
        <v>0.128</v>
      </c>
      <c r="F185" s="1068">
        <v>0.13</v>
      </c>
    </row>
    <row r="186" spans="1:6" ht="24.6" thickBot="1">
      <c r="A186" s="840" t="s">
        <v>526</v>
      </c>
      <c r="B186" s="834" t="s">
        <v>924</v>
      </c>
      <c r="C186" s="1080"/>
      <c r="D186" s="1080"/>
      <c r="E186" s="1080"/>
      <c r="F186" s="1068">
        <v>0.05</v>
      </c>
    </row>
    <row r="187" spans="1:6" ht="15" thickBot="1">
      <c r="A187" s="840" t="s">
        <v>526</v>
      </c>
      <c r="B187" s="834" t="s">
        <v>925</v>
      </c>
      <c r="C187" s="1080"/>
      <c r="D187" s="1080"/>
      <c r="E187" s="1080"/>
      <c r="F187" s="1068">
        <v>0.05</v>
      </c>
    </row>
    <row r="188" spans="1:6" ht="24.6" thickBot="1">
      <c r="A188" s="840" t="s">
        <v>526</v>
      </c>
      <c r="B188" s="834" t="s">
        <v>926</v>
      </c>
      <c r="C188" s="1080"/>
      <c r="D188" s="1080"/>
      <c r="E188" s="1080"/>
      <c r="F188" s="1068">
        <v>0.05</v>
      </c>
    </row>
    <row r="189" spans="1:6" ht="24.6" thickBot="1">
      <c r="A189" s="840" t="s">
        <v>526</v>
      </c>
      <c r="B189" s="834" t="s">
        <v>927</v>
      </c>
      <c r="C189" s="1080"/>
      <c r="D189" s="1080"/>
      <c r="E189" s="1080"/>
      <c r="F189" s="1068">
        <v>0.05</v>
      </c>
    </row>
    <row r="190" spans="1:6" ht="24.6" thickBot="1">
      <c r="A190" s="840" t="s">
        <v>526</v>
      </c>
      <c r="B190" s="834" t="s">
        <v>928</v>
      </c>
      <c r="C190" s="1080"/>
      <c r="D190" s="1080"/>
      <c r="E190" s="1080"/>
      <c r="F190" s="1068">
        <v>0.05</v>
      </c>
    </row>
    <row r="191" spans="1:6" ht="24.6" thickBot="1">
      <c r="A191" s="840" t="s">
        <v>526</v>
      </c>
      <c r="B191" s="834" t="s">
        <v>929</v>
      </c>
      <c r="C191" s="1080"/>
      <c r="D191" s="1080"/>
      <c r="E191" s="1080"/>
      <c r="F191" s="1068">
        <v>0.05</v>
      </c>
    </row>
    <row r="192" spans="1:6" ht="24.6" thickBot="1">
      <c r="A192" s="840" t="s">
        <v>526</v>
      </c>
      <c r="B192" s="834" t="s">
        <v>930</v>
      </c>
      <c r="C192" s="1080"/>
      <c r="D192" s="1080"/>
      <c r="E192" s="1080"/>
      <c r="F192" s="1068">
        <v>0.05</v>
      </c>
    </row>
    <row r="193" spans="1:6" ht="24.6" thickBot="1">
      <c r="A193" s="840" t="s">
        <v>526</v>
      </c>
      <c r="B193" s="834" t="s">
        <v>931</v>
      </c>
      <c r="C193" s="1080"/>
      <c r="D193" s="1080"/>
      <c r="E193" s="1080"/>
      <c r="F193" s="1068">
        <v>0.05</v>
      </c>
    </row>
    <row r="194" spans="1:6" ht="24.6" thickBot="1">
      <c r="A194" s="840" t="s">
        <v>526</v>
      </c>
      <c r="B194" s="834" t="s">
        <v>932</v>
      </c>
      <c r="C194" s="1080"/>
      <c r="D194" s="1080"/>
      <c r="E194" s="1080"/>
      <c r="F194" s="1068">
        <v>0.05</v>
      </c>
    </row>
    <row r="195" spans="1:6" ht="15" thickBot="1">
      <c r="A195" s="840" t="s">
        <v>526</v>
      </c>
      <c r="B195" s="834" t="s">
        <v>933</v>
      </c>
      <c r="C195" s="1080"/>
      <c r="D195" s="1080"/>
      <c r="E195" s="1080"/>
      <c r="F195" s="1068">
        <v>0.05</v>
      </c>
    </row>
    <row r="196" spans="1:6" ht="24.6" thickBot="1">
      <c r="A196" s="840" t="s">
        <v>526</v>
      </c>
      <c r="B196" s="834" t="s">
        <v>934</v>
      </c>
      <c r="C196" s="1080"/>
      <c r="D196" s="1080"/>
      <c r="E196" s="1080"/>
      <c r="F196" s="1068">
        <v>0.05</v>
      </c>
    </row>
    <row r="197" spans="1:6" ht="24.6" thickBot="1">
      <c r="A197" s="840" t="s">
        <v>526</v>
      </c>
      <c r="B197" s="834" t="s">
        <v>935</v>
      </c>
      <c r="C197" s="1080"/>
      <c r="D197" s="1080"/>
      <c r="E197" s="1080"/>
      <c r="F197" s="1068">
        <v>0.05</v>
      </c>
    </row>
    <row r="198" spans="1:6" ht="24.6" thickBot="1">
      <c r="A198" s="840" t="s">
        <v>526</v>
      </c>
      <c r="B198" s="834" t="s">
        <v>936</v>
      </c>
      <c r="C198" s="1080"/>
      <c r="D198" s="1080"/>
      <c r="E198" s="1080"/>
      <c r="F198" s="1068">
        <v>0.05</v>
      </c>
    </row>
    <row r="199" spans="1:6" ht="24.6" thickBot="1">
      <c r="A199" s="840" t="s">
        <v>526</v>
      </c>
      <c r="B199" s="834" t="s">
        <v>937</v>
      </c>
      <c r="C199" s="1080"/>
      <c r="D199" s="1080"/>
      <c r="E199" s="1080"/>
      <c r="F199" s="1068">
        <v>0.05</v>
      </c>
    </row>
    <row r="200" spans="1:6" ht="24.6" thickBot="1">
      <c r="A200" s="840" t="s">
        <v>526</v>
      </c>
      <c r="B200" s="834" t="s">
        <v>938</v>
      </c>
      <c r="C200" s="1080"/>
      <c r="D200" s="1080"/>
      <c r="E200" s="1080"/>
      <c r="F200" s="1068">
        <v>0.05</v>
      </c>
    </row>
    <row r="201" spans="1:6" ht="24.6" thickBot="1">
      <c r="A201" s="840" t="s">
        <v>526</v>
      </c>
      <c r="B201" s="834" t="s">
        <v>939</v>
      </c>
      <c r="C201" s="1080"/>
      <c r="D201" s="1080"/>
      <c r="E201" s="1080"/>
      <c r="F201" s="1068">
        <v>0.05</v>
      </c>
    </row>
    <row r="202" spans="1:6" ht="24.6" thickBot="1">
      <c r="A202" s="840" t="s">
        <v>526</v>
      </c>
      <c r="B202" s="834" t="s">
        <v>940</v>
      </c>
      <c r="C202" s="1080"/>
      <c r="D202" s="1080"/>
      <c r="E202" s="1080"/>
      <c r="F202" s="1068">
        <v>0.05</v>
      </c>
    </row>
    <row r="203" spans="1:6" ht="24.6" thickBot="1">
      <c r="A203" s="840" t="s">
        <v>526</v>
      </c>
      <c r="B203" s="834" t="s">
        <v>941</v>
      </c>
      <c r="C203" s="1080"/>
      <c r="D203" s="1080"/>
      <c r="E203" s="1080"/>
      <c r="F203" s="1068">
        <v>0.05</v>
      </c>
    </row>
    <row r="204" spans="1:6" ht="15" thickBot="1">
      <c r="A204" s="840" t="s">
        <v>526</v>
      </c>
      <c r="B204" s="834" t="s">
        <v>942</v>
      </c>
      <c r="C204" s="1080"/>
      <c r="D204" s="1080"/>
      <c r="E204" s="1080"/>
      <c r="F204" s="1068">
        <v>0.05</v>
      </c>
    </row>
    <row r="205" spans="1:6" ht="15" thickBot="1">
      <c r="A205" s="850" t="s">
        <v>526</v>
      </c>
      <c r="B205" s="846" t="s">
        <v>943</v>
      </c>
      <c r="C205" s="1077"/>
      <c r="D205" s="1077"/>
      <c r="E205" s="1077"/>
      <c r="F205" s="1070">
        <v>0.05</v>
      </c>
    </row>
    <row r="206" spans="1:6" ht="15" thickBot="1">
      <c r="A206" s="840" t="s">
        <v>528</v>
      </c>
      <c r="B206" s="841" t="s">
        <v>944</v>
      </c>
      <c r="C206" s="1065">
        <v>0.15</v>
      </c>
      <c r="D206" s="1065">
        <v>0.15</v>
      </c>
      <c r="E206" s="1065">
        <v>0.15</v>
      </c>
      <c r="F206" s="1066">
        <v>0.15</v>
      </c>
    </row>
    <row r="207" spans="1:6" ht="15" thickBot="1">
      <c r="A207" s="840" t="s">
        <v>528</v>
      </c>
      <c r="B207" s="834" t="s">
        <v>194</v>
      </c>
      <c r="C207" s="1067">
        <v>0.15</v>
      </c>
      <c r="D207" s="1067">
        <v>0.15</v>
      </c>
      <c r="E207" s="1067">
        <v>0.15</v>
      </c>
      <c r="F207" s="1068">
        <v>0.14399999999999999</v>
      </c>
    </row>
    <row r="208" spans="1:6" ht="15" thickBot="1">
      <c r="A208" s="840" t="s">
        <v>528</v>
      </c>
      <c r="B208" s="834" t="s">
        <v>207</v>
      </c>
      <c r="C208" s="1067">
        <v>0.15</v>
      </c>
      <c r="D208" s="1067">
        <v>0.15</v>
      </c>
      <c r="E208" s="1067">
        <v>0.15</v>
      </c>
      <c r="F208" s="1068">
        <v>0.15</v>
      </c>
    </row>
    <row r="209" spans="1:6" ht="15" thickBot="1">
      <c r="A209" s="840" t="s">
        <v>528</v>
      </c>
      <c r="B209" s="834" t="s">
        <v>220</v>
      </c>
      <c r="C209" s="1067">
        <v>0.13700000000000001</v>
      </c>
      <c r="D209" s="1067">
        <v>0.13700000000000001</v>
      </c>
      <c r="E209" s="1067">
        <v>0.14000000000000001</v>
      </c>
      <c r="F209" s="1068">
        <v>0.11700000000000001</v>
      </c>
    </row>
    <row r="210" spans="1:6" ht="15" thickBot="1">
      <c r="A210" s="840" t="s">
        <v>528</v>
      </c>
      <c r="B210" s="834" t="s">
        <v>945</v>
      </c>
      <c r="C210" s="1067">
        <v>0.15</v>
      </c>
      <c r="D210" s="1067">
        <v>0.15</v>
      </c>
      <c r="E210" s="1067">
        <v>0.15</v>
      </c>
      <c r="F210" s="1068">
        <v>0.13800000000000001</v>
      </c>
    </row>
    <row r="211" spans="1:6" ht="15" thickBot="1">
      <c r="A211" s="840" t="s">
        <v>528</v>
      </c>
      <c r="B211" s="834" t="s">
        <v>946</v>
      </c>
      <c r="C211" s="1067">
        <v>0.13700000000000001</v>
      </c>
      <c r="D211" s="1067">
        <v>0.13500000000000001</v>
      </c>
      <c r="E211" s="1067">
        <v>0.13600000000000001</v>
      </c>
      <c r="F211" s="1068">
        <v>0.1</v>
      </c>
    </row>
    <row r="212" spans="1:6" ht="15" thickBot="1">
      <c r="A212" s="840" t="s">
        <v>528</v>
      </c>
      <c r="B212" s="834" t="s">
        <v>947</v>
      </c>
      <c r="C212" s="1067">
        <v>0.15</v>
      </c>
      <c r="D212" s="1067">
        <v>0.15</v>
      </c>
      <c r="E212" s="1067">
        <v>0.14799999999999999</v>
      </c>
      <c r="F212" s="1068">
        <v>0.13600000000000001</v>
      </c>
    </row>
    <row r="213" spans="1:6" ht="15" thickBot="1">
      <c r="A213" s="840" t="s">
        <v>528</v>
      </c>
      <c r="B213" s="834" t="s">
        <v>265</v>
      </c>
      <c r="C213" s="1067">
        <v>0.15</v>
      </c>
      <c r="D213" s="1067">
        <v>0.15</v>
      </c>
      <c r="E213" s="1067">
        <v>0.15</v>
      </c>
      <c r="F213" s="1068">
        <v>0.13800000000000001</v>
      </c>
    </row>
    <row r="214" spans="1:6" ht="15" thickBot="1">
      <c r="A214" s="840" t="s">
        <v>528</v>
      </c>
      <c r="B214" s="834" t="s">
        <v>277</v>
      </c>
      <c r="C214" s="1067">
        <v>9.0999999999999998E-2</v>
      </c>
      <c r="D214" s="1067">
        <v>0.09</v>
      </c>
      <c r="E214" s="1067">
        <v>9.1999999999999998E-2</v>
      </c>
      <c r="F214" s="1079"/>
    </row>
    <row r="215" spans="1:6" ht="15" thickBot="1">
      <c r="A215" s="840" t="s">
        <v>528</v>
      </c>
      <c r="B215" s="834" t="s">
        <v>948</v>
      </c>
      <c r="C215" s="1067">
        <v>0.15</v>
      </c>
      <c r="D215" s="1067">
        <v>0.15</v>
      </c>
      <c r="E215" s="1067">
        <v>0.15</v>
      </c>
      <c r="F215" s="1068">
        <v>0.15</v>
      </c>
    </row>
    <row r="216" spans="1:6" ht="15" thickBot="1">
      <c r="A216" s="840" t="s">
        <v>528</v>
      </c>
      <c r="B216" s="834" t="s">
        <v>297</v>
      </c>
      <c r="C216" s="1067">
        <v>0.14699999999999999</v>
      </c>
      <c r="D216" s="1067">
        <v>0.14699999999999999</v>
      </c>
      <c r="E216" s="1067">
        <v>0.15</v>
      </c>
      <c r="F216" s="1068">
        <v>0.14000000000000001</v>
      </c>
    </row>
    <row r="217" spans="1:6" ht="15" thickBot="1">
      <c r="A217" s="840" t="s">
        <v>528</v>
      </c>
      <c r="B217" s="834" t="s">
        <v>307</v>
      </c>
      <c r="C217" s="1067">
        <v>0.15</v>
      </c>
      <c r="D217" s="1067">
        <v>0.15</v>
      </c>
      <c r="E217" s="1067">
        <v>0.15</v>
      </c>
      <c r="F217" s="1068">
        <v>0.15</v>
      </c>
    </row>
    <row r="218" spans="1:6" ht="15" thickBot="1">
      <c r="A218" s="840" t="s">
        <v>528</v>
      </c>
      <c r="B218" s="834" t="s">
        <v>949</v>
      </c>
      <c r="C218" s="1067">
        <v>0.15</v>
      </c>
      <c r="D218" s="1067">
        <v>0.15</v>
      </c>
      <c r="E218" s="1067">
        <v>0.15</v>
      </c>
      <c r="F218" s="1068">
        <v>0.15</v>
      </c>
    </row>
    <row r="219" spans="1:6" ht="15" thickBot="1">
      <c r="A219" s="840" t="s">
        <v>528</v>
      </c>
      <c r="B219" s="834" t="s">
        <v>328</v>
      </c>
      <c r="C219" s="1067">
        <v>0.15</v>
      </c>
      <c r="D219" s="1067">
        <v>0.15</v>
      </c>
      <c r="E219" s="1067">
        <v>0.15</v>
      </c>
      <c r="F219" s="1068">
        <v>0.14799999999999999</v>
      </c>
    </row>
    <row r="220" spans="1:6" ht="15" thickBot="1">
      <c r="A220" s="840" t="s">
        <v>528</v>
      </c>
      <c r="B220" s="834" t="s">
        <v>950</v>
      </c>
      <c r="C220" s="1067">
        <v>0.15</v>
      </c>
      <c r="D220" s="1067">
        <v>0.15</v>
      </c>
      <c r="E220" s="1067">
        <v>0.15</v>
      </c>
      <c r="F220" s="1068">
        <v>0.15</v>
      </c>
    </row>
    <row r="221" spans="1:6" ht="15" thickBot="1">
      <c r="A221" s="840" t="s">
        <v>528</v>
      </c>
      <c r="B221" s="834" t="s">
        <v>349</v>
      </c>
      <c r="C221" s="1067"/>
      <c r="D221" s="1080"/>
      <c r="E221" s="1080"/>
      <c r="F221" s="1068">
        <v>0.14799999999999999</v>
      </c>
    </row>
    <row r="222" spans="1:6" ht="15" thickBot="1">
      <c r="A222" s="840" t="s">
        <v>528</v>
      </c>
      <c r="B222" s="834" t="s">
        <v>359</v>
      </c>
      <c r="C222" s="1067"/>
      <c r="D222" s="1080"/>
      <c r="E222" s="1080"/>
      <c r="F222" s="1068">
        <v>0.1</v>
      </c>
    </row>
    <row r="223" spans="1:6" ht="15" thickBot="1">
      <c r="A223" s="840" t="s">
        <v>528</v>
      </c>
      <c r="B223" s="834" t="s">
        <v>369</v>
      </c>
      <c r="C223" s="1067"/>
      <c r="D223" s="1080"/>
      <c r="E223" s="1080"/>
      <c r="F223" s="1068">
        <v>0.15</v>
      </c>
    </row>
    <row r="224" spans="1:6" ht="15" thickBot="1">
      <c r="A224" s="840" t="s">
        <v>528</v>
      </c>
      <c r="B224" s="834" t="s">
        <v>379</v>
      </c>
      <c r="C224" s="1067"/>
      <c r="D224" s="1080"/>
      <c r="E224" s="1080"/>
      <c r="F224" s="1068">
        <v>0.15</v>
      </c>
    </row>
    <row r="225" spans="1:6" ht="15" thickBot="1">
      <c r="A225" s="840" t="s">
        <v>528</v>
      </c>
      <c r="B225" s="834" t="s">
        <v>951</v>
      </c>
      <c r="C225" s="1067">
        <v>0.15</v>
      </c>
      <c r="D225" s="1067">
        <v>0.15</v>
      </c>
      <c r="E225" s="1067">
        <v>0.15</v>
      </c>
      <c r="F225" s="1068">
        <v>0.15</v>
      </c>
    </row>
    <row r="226" spans="1:6" ht="15" thickBot="1">
      <c r="A226" s="840" t="s">
        <v>528</v>
      </c>
      <c r="B226" s="834" t="s">
        <v>397</v>
      </c>
      <c r="C226" s="1067">
        <v>0.15</v>
      </c>
      <c r="D226" s="1067">
        <v>0.15</v>
      </c>
      <c r="E226" s="1067">
        <v>0.15</v>
      </c>
      <c r="F226" s="1068">
        <v>0.14799999999999999</v>
      </c>
    </row>
    <row r="227" spans="1:6" ht="15" thickBot="1">
      <c r="A227" s="840" t="s">
        <v>528</v>
      </c>
      <c r="B227" s="834" t="s">
        <v>952</v>
      </c>
      <c r="C227" s="1067">
        <v>0.15</v>
      </c>
      <c r="D227" s="1067">
        <v>0.15</v>
      </c>
      <c r="E227" s="1067">
        <v>0.15</v>
      </c>
      <c r="F227" s="1068">
        <v>0.15</v>
      </c>
    </row>
    <row r="228" spans="1:6" ht="15" thickBot="1">
      <c r="A228" s="840" t="s">
        <v>528</v>
      </c>
      <c r="B228" s="834" t="s">
        <v>412</v>
      </c>
      <c r="C228" s="1067">
        <v>0.15</v>
      </c>
      <c r="D228" s="1067">
        <v>0.15</v>
      </c>
      <c r="E228" s="1067">
        <v>0.15</v>
      </c>
      <c r="F228" s="1068">
        <v>0.15</v>
      </c>
    </row>
    <row r="229" spans="1:6" ht="15" thickBot="1">
      <c r="A229" s="840" t="s">
        <v>528</v>
      </c>
      <c r="B229" s="834" t="s">
        <v>419</v>
      </c>
      <c r="C229" s="1067">
        <v>0.15</v>
      </c>
      <c r="D229" s="1067">
        <v>0.15</v>
      </c>
      <c r="E229" s="1067">
        <v>0.15</v>
      </c>
      <c r="F229" s="1079"/>
    </row>
    <row r="230" spans="1:6" ht="15" thickBot="1">
      <c r="A230" s="840" t="s">
        <v>528</v>
      </c>
      <c r="B230" s="834" t="s">
        <v>426</v>
      </c>
      <c r="C230" s="1067">
        <v>0.14499999999999999</v>
      </c>
      <c r="D230" s="1067">
        <v>0.14499999999999999</v>
      </c>
      <c r="E230" s="1067">
        <v>0.14399999999999999</v>
      </c>
      <c r="F230" s="1079"/>
    </row>
    <row r="231" spans="1:6" ht="15" thickBot="1">
      <c r="A231" s="840" t="s">
        <v>528</v>
      </c>
      <c r="B231" s="834" t="s">
        <v>953</v>
      </c>
      <c r="C231" s="1067">
        <v>0.128</v>
      </c>
      <c r="D231" s="1067">
        <v>0.125</v>
      </c>
      <c r="E231" s="1067">
        <v>0.13200000000000001</v>
      </c>
      <c r="F231" s="1079"/>
    </row>
    <row r="232" spans="1:6" ht="15" thickBot="1">
      <c r="A232" s="840" t="s">
        <v>528</v>
      </c>
      <c r="B232" s="834" t="s">
        <v>954</v>
      </c>
      <c r="C232" s="1067">
        <v>0.14499999999999999</v>
      </c>
      <c r="D232" s="1067">
        <v>0.14399999999999999</v>
      </c>
      <c r="E232" s="1067">
        <v>0.14599999999999999</v>
      </c>
      <c r="F232" s="1068">
        <v>0.13800000000000001</v>
      </c>
    </row>
    <row r="233" spans="1:6" ht="15" thickBot="1">
      <c r="A233" s="840" t="s">
        <v>528</v>
      </c>
      <c r="B233" s="834" t="s">
        <v>955</v>
      </c>
      <c r="C233" s="1067">
        <v>0.14499999999999999</v>
      </c>
      <c r="D233" s="1067">
        <v>0.14299999999999999</v>
      </c>
      <c r="E233" s="1067">
        <v>0.14199999999999999</v>
      </c>
      <c r="F233" s="1079"/>
    </row>
    <row r="234" spans="1:6" ht="15" thickBot="1">
      <c r="A234" s="840" t="s">
        <v>528</v>
      </c>
      <c r="B234" s="834" t="s">
        <v>956</v>
      </c>
      <c r="C234" s="1067">
        <v>0.14000000000000001</v>
      </c>
      <c r="D234" s="1067">
        <v>0.14000000000000001</v>
      </c>
      <c r="E234" s="1067">
        <v>0.14399999999999999</v>
      </c>
      <c r="F234" s="1079"/>
    </row>
    <row r="235" spans="1:6" ht="15" thickBot="1">
      <c r="A235" s="840" t="s">
        <v>528</v>
      </c>
      <c r="B235" s="834" t="s">
        <v>957</v>
      </c>
      <c r="C235" s="1067">
        <v>0.14099999999999999</v>
      </c>
      <c r="D235" s="1067">
        <v>0.14199999999999999</v>
      </c>
      <c r="E235" s="1067">
        <v>0.14499999999999999</v>
      </c>
      <c r="F235" s="1068">
        <v>0.15</v>
      </c>
    </row>
    <row r="236" spans="1:6" ht="15" thickBot="1">
      <c r="A236" s="840" t="s">
        <v>528</v>
      </c>
      <c r="B236" s="834" t="s">
        <v>461</v>
      </c>
      <c r="C236" s="1080"/>
      <c r="D236" s="1080"/>
      <c r="E236" s="1080"/>
      <c r="F236" s="1068">
        <v>0.14299999999999999</v>
      </c>
    </row>
    <row r="237" spans="1:6" ht="24.6" thickBot="1">
      <c r="A237" s="840" t="s">
        <v>528</v>
      </c>
      <c r="B237" s="834" t="s">
        <v>958</v>
      </c>
      <c r="C237" s="1080"/>
      <c r="D237" s="1080"/>
      <c r="E237" s="1080"/>
      <c r="F237" s="1068">
        <v>0.05</v>
      </c>
    </row>
    <row r="238" spans="1:6" ht="24.6" thickBot="1">
      <c r="A238" s="840" t="s">
        <v>528</v>
      </c>
      <c r="B238" s="834" t="s">
        <v>959</v>
      </c>
      <c r="C238" s="1080"/>
      <c r="D238" s="1080"/>
      <c r="E238" s="1080"/>
      <c r="F238" s="1068">
        <v>0.05</v>
      </c>
    </row>
    <row r="239" spans="1:6" ht="24.6" thickBot="1">
      <c r="A239" s="840" t="s">
        <v>528</v>
      </c>
      <c r="B239" s="834" t="s">
        <v>960</v>
      </c>
      <c r="C239" s="1080"/>
      <c r="D239" s="1080"/>
      <c r="E239" s="1080"/>
      <c r="F239" s="1068">
        <v>0.05</v>
      </c>
    </row>
    <row r="240" spans="1:6" ht="24.6" thickBot="1">
      <c r="A240" s="840" t="s">
        <v>528</v>
      </c>
      <c r="B240" s="834" t="s">
        <v>961</v>
      </c>
      <c r="C240" s="1080"/>
      <c r="D240" s="1080"/>
      <c r="E240" s="1080"/>
      <c r="F240" s="1068">
        <v>0.05</v>
      </c>
    </row>
    <row r="241" spans="1:6" ht="24.6" thickBot="1">
      <c r="A241" s="840" t="s">
        <v>528</v>
      </c>
      <c r="B241" s="834" t="s">
        <v>962</v>
      </c>
      <c r="C241" s="1080"/>
      <c r="D241" s="1080"/>
      <c r="E241" s="1080"/>
      <c r="F241" s="1068">
        <v>0.05</v>
      </c>
    </row>
    <row r="242" spans="1:6" ht="24.6" thickBot="1">
      <c r="A242" s="840" t="s">
        <v>528</v>
      </c>
      <c r="B242" s="834" t="s">
        <v>963</v>
      </c>
      <c r="C242" s="1080"/>
      <c r="D242" s="1080"/>
      <c r="E242" s="1080"/>
      <c r="F242" s="1068">
        <v>0.05</v>
      </c>
    </row>
    <row r="243" spans="1:6" ht="24.6" thickBot="1">
      <c r="A243" s="840" t="s">
        <v>528</v>
      </c>
      <c r="B243" s="834" t="s">
        <v>964</v>
      </c>
      <c r="C243" s="1080"/>
      <c r="D243" s="1080"/>
      <c r="E243" s="1080"/>
      <c r="F243" s="1068">
        <v>0.05</v>
      </c>
    </row>
    <row r="244" spans="1:6" ht="24.6" thickBot="1">
      <c r="A244" s="850" t="s">
        <v>528</v>
      </c>
      <c r="B244" s="846" t="s">
        <v>965</v>
      </c>
      <c r="C244" s="1077"/>
      <c r="D244" s="1077"/>
      <c r="E244" s="1077"/>
      <c r="F244" s="1070">
        <v>0.05</v>
      </c>
    </row>
    <row r="245" spans="1:6" ht="15" thickBot="1">
      <c r="A245" s="840" t="s">
        <v>530</v>
      </c>
      <c r="B245" s="841" t="s">
        <v>966</v>
      </c>
      <c r="C245" s="1065">
        <v>0.15</v>
      </c>
      <c r="D245" s="1065">
        <v>0.15</v>
      </c>
      <c r="E245" s="1065">
        <v>0.15</v>
      </c>
      <c r="F245" s="1066">
        <v>0.14299999999999999</v>
      </c>
    </row>
    <row r="246" spans="1:6" ht="15" thickBot="1">
      <c r="A246" s="840" t="s">
        <v>530</v>
      </c>
      <c r="B246" s="834" t="s">
        <v>195</v>
      </c>
      <c r="C246" s="1067">
        <v>0.15</v>
      </c>
      <c r="D246" s="1067">
        <v>0.15</v>
      </c>
      <c r="E246" s="1067">
        <v>0.15</v>
      </c>
      <c r="F246" s="1068">
        <v>0.114</v>
      </c>
    </row>
    <row r="247" spans="1:6" ht="15" thickBot="1">
      <c r="A247" s="840" t="s">
        <v>530</v>
      </c>
      <c r="B247" s="834" t="s">
        <v>967</v>
      </c>
      <c r="C247" s="1067">
        <v>0.15</v>
      </c>
      <c r="D247" s="1067">
        <v>0.15</v>
      </c>
      <c r="E247" s="1067">
        <v>0.15</v>
      </c>
      <c r="F247" s="1068">
        <v>0.15</v>
      </c>
    </row>
    <row r="248" spans="1:6" ht="15" thickBot="1">
      <c r="A248" s="840" t="s">
        <v>530</v>
      </c>
      <c r="B248" s="834" t="s">
        <v>968</v>
      </c>
      <c r="C248" s="1067">
        <v>0.15</v>
      </c>
      <c r="D248" s="1067">
        <v>0.15</v>
      </c>
      <c r="E248" s="1067">
        <v>0.15</v>
      </c>
      <c r="F248" s="1068">
        <v>0.14000000000000001</v>
      </c>
    </row>
    <row r="249" spans="1:6" ht="15" thickBot="1">
      <c r="A249" s="840" t="s">
        <v>530</v>
      </c>
      <c r="B249" s="834" t="s">
        <v>969</v>
      </c>
      <c r="C249" s="1067">
        <v>0.15</v>
      </c>
      <c r="D249" s="1067">
        <v>0.14899999999999999</v>
      </c>
      <c r="E249" s="1067">
        <v>0.15</v>
      </c>
      <c r="F249" s="1068">
        <v>0.1</v>
      </c>
    </row>
    <row r="250" spans="1:6" ht="15" thickBot="1">
      <c r="A250" s="840" t="s">
        <v>530</v>
      </c>
      <c r="B250" s="834" t="s">
        <v>970</v>
      </c>
      <c r="C250" s="1067">
        <v>0.15</v>
      </c>
      <c r="D250" s="1067">
        <v>0.15</v>
      </c>
      <c r="E250" s="1067">
        <v>0.15</v>
      </c>
      <c r="F250" s="1068">
        <v>0.14399999999999999</v>
      </c>
    </row>
    <row r="251" spans="1:6" ht="15" thickBot="1">
      <c r="A251" s="840" t="s">
        <v>530</v>
      </c>
      <c r="B251" s="834" t="s">
        <v>255</v>
      </c>
      <c r="C251" s="1067">
        <v>0.15</v>
      </c>
      <c r="D251" s="1067">
        <v>0.15</v>
      </c>
      <c r="E251" s="1067">
        <v>0.15</v>
      </c>
      <c r="F251" s="1068">
        <v>0.14299999999999999</v>
      </c>
    </row>
    <row r="252" spans="1:6" ht="15" thickBot="1">
      <c r="A252" s="840" t="s">
        <v>530</v>
      </c>
      <c r="B252" s="834" t="s">
        <v>266</v>
      </c>
      <c r="C252" s="1067">
        <v>0.15</v>
      </c>
      <c r="D252" s="1067">
        <v>0.15</v>
      </c>
      <c r="E252" s="1067">
        <v>0.15</v>
      </c>
      <c r="F252" s="1068">
        <v>0.1</v>
      </c>
    </row>
    <row r="253" spans="1:6" ht="15" thickBot="1">
      <c r="A253" s="840" t="s">
        <v>530</v>
      </c>
      <c r="B253" s="834" t="s">
        <v>278</v>
      </c>
      <c r="C253" s="1067">
        <v>0.15</v>
      </c>
      <c r="D253" s="1067">
        <v>0.15</v>
      </c>
      <c r="E253" s="1067">
        <v>0.15</v>
      </c>
      <c r="F253" s="1068">
        <v>0.1</v>
      </c>
    </row>
    <row r="254" spans="1:6" ht="15" thickBot="1">
      <c r="A254" s="840" t="s">
        <v>530</v>
      </c>
      <c r="B254" s="834" t="s">
        <v>288</v>
      </c>
      <c r="C254" s="1080"/>
      <c r="D254" s="1080"/>
      <c r="E254" s="1080"/>
      <c r="F254" s="1068">
        <v>0.15</v>
      </c>
    </row>
    <row r="255" spans="1:6" ht="15" thickBot="1">
      <c r="A255" s="840" t="s">
        <v>530</v>
      </c>
      <c r="B255" s="834" t="s">
        <v>298</v>
      </c>
      <c r="C255" s="1080"/>
      <c r="D255" s="1080"/>
      <c r="E255" s="1080"/>
      <c r="F255" s="1068">
        <v>0.14299999999999999</v>
      </c>
    </row>
    <row r="256" spans="1:6" ht="15" thickBot="1">
      <c r="A256" s="840" t="s">
        <v>530</v>
      </c>
      <c r="B256" s="834" t="s">
        <v>971</v>
      </c>
      <c r="C256" s="1067">
        <v>0.14599999999999999</v>
      </c>
      <c r="D256" s="1067">
        <v>0.14699999999999999</v>
      </c>
      <c r="E256" s="1067">
        <v>0.15</v>
      </c>
      <c r="F256" s="1068">
        <v>0.13200000000000001</v>
      </c>
    </row>
    <row r="257" spans="1:6" ht="15" thickBot="1">
      <c r="A257" s="840" t="s">
        <v>530</v>
      </c>
      <c r="B257" s="834" t="s">
        <v>318</v>
      </c>
      <c r="C257" s="1067">
        <v>0.15</v>
      </c>
      <c r="D257" s="1067">
        <v>0.15</v>
      </c>
      <c r="E257" s="1067">
        <v>0.15</v>
      </c>
      <c r="F257" s="1068">
        <v>0.13900000000000001</v>
      </c>
    </row>
    <row r="258" spans="1:6" ht="15" thickBot="1">
      <c r="A258" s="840" t="s">
        <v>530</v>
      </c>
      <c r="B258" s="834" t="s">
        <v>329</v>
      </c>
      <c r="C258" s="1067">
        <v>0.15</v>
      </c>
      <c r="D258" s="1067">
        <v>0.15</v>
      </c>
      <c r="E258" s="1067">
        <v>0.15</v>
      </c>
      <c r="F258" s="1068">
        <v>0.13</v>
      </c>
    </row>
    <row r="259" spans="1:6" ht="15" thickBot="1">
      <c r="A259" s="840" t="s">
        <v>530</v>
      </c>
      <c r="B259" s="834" t="s">
        <v>972</v>
      </c>
      <c r="C259" s="1067">
        <v>0.14799999999999999</v>
      </c>
      <c r="D259" s="1067">
        <v>0.14899999999999999</v>
      </c>
      <c r="E259" s="1067">
        <v>0.15</v>
      </c>
      <c r="F259" s="1068">
        <v>0.13700000000000001</v>
      </c>
    </row>
    <row r="260" spans="1:6" ht="15" thickBot="1">
      <c r="A260" s="840" t="s">
        <v>530</v>
      </c>
      <c r="B260" s="834" t="s">
        <v>350</v>
      </c>
      <c r="C260" s="1067">
        <v>0.15</v>
      </c>
      <c r="D260" s="1067">
        <v>0.15</v>
      </c>
      <c r="E260" s="1067">
        <v>0.15</v>
      </c>
      <c r="F260" s="1068">
        <v>0.14199999999999999</v>
      </c>
    </row>
    <row r="261" spans="1:6" ht="15" thickBot="1">
      <c r="A261" s="840" t="s">
        <v>530</v>
      </c>
      <c r="B261" s="834" t="s">
        <v>360</v>
      </c>
      <c r="C261" s="1067">
        <v>0.15</v>
      </c>
      <c r="D261" s="1067">
        <v>0.15</v>
      </c>
      <c r="E261" s="1067">
        <v>0.14899999999999999</v>
      </c>
      <c r="F261" s="1068">
        <v>0.14799999999999999</v>
      </c>
    </row>
    <row r="262" spans="1:6" ht="15" thickBot="1">
      <c r="A262" s="840" t="s">
        <v>530</v>
      </c>
      <c r="B262" s="834" t="s">
        <v>370</v>
      </c>
      <c r="C262" s="1067">
        <v>0.15</v>
      </c>
      <c r="D262" s="1067">
        <v>0.15</v>
      </c>
      <c r="E262" s="1067">
        <v>0.15</v>
      </c>
      <c r="F262" s="1079"/>
    </row>
    <row r="263" spans="1:6" ht="15" thickBot="1">
      <c r="A263" s="840" t="s">
        <v>530</v>
      </c>
      <c r="B263" s="834" t="s">
        <v>973</v>
      </c>
      <c r="C263" s="1067">
        <v>0.14899999999999999</v>
      </c>
      <c r="D263" s="1067">
        <v>0.14899999999999999</v>
      </c>
      <c r="E263" s="1067">
        <v>0.15</v>
      </c>
      <c r="F263" s="1068">
        <v>0.13</v>
      </c>
    </row>
    <row r="264" spans="1:6" ht="15" thickBot="1">
      <c r="A264" s="840" t="s">
        <v>530</v>
      </c>
      <c r="B264" s="834" t="s">
        <v>389</v>
      </c>
      <c r="C264" s="1067">
        <v>0.14799999999999999</v>
      </c>
      <c r="D264" s="1067">
        <v>0.14699999999999999</v>
      </c>
      <c r="E264" s="1067">
        <v>0.15</v>
      </c>
      <c r="F264" s="1068">
        <v>7.8E-2</v>
      </c>
    </row>
    <row r="265" spans="1:6" ht="15" thickBot="1">
      <c r="A265" s="840" t="s">
        <v>530</v>
      </c>
      <c r="B265" s="834" t="s">
        <v>398</v>
      </c>
      <c r="C265" s="1067">
        <v>0.15</v>
      </c>
      <c r="D265" s="1067">
        <v>0.15</v>
      </c>
      <c r="E265" s="1067">
        <v>0.15</v>
      </c>
      <c r="F265" s="1068">
        <v>7.3999999999999996E-2</v>
      </c>
    </row>
    <row r="266" spans="1:6" ht="15" thickBot="1">
      <c r="A266" s="840" t="s">
        <v>530</v>
      </c>
      <c r="B266" s="834" t="s">
        <v>406</v>
      </c>
      <c r="C266" s="1067">
        <v>0.14699999999999999</v>
      </c>
      <c r="D266" s="1067">
        <v>0.14699999999999999</v>
      </c>
      <c r="E266" s="1067">
        <v>0.15</v>
      </c>
      <c r="F266" s="1068">
        <v>0.14299999999999999</v>
      </c>
    </row>
    <row r="267" spans="1:6" ht="15" thickBot="1">
      <c r="A267" s="840" t="s">
        <v>530</v>
      </c>
      <c r="B267" s="834" t="s">
        <v>413</v>
      </c>
      <c r="C267" s="1067">
        <v>0.14199999999999999</v>
      </c>
      <c r="D267" s="1067">
        <v>0.14299999999999999</v>
      </c>
      <c r="E267" s="1067">
        <v>0.15</v>
      </c>
      <c r="F267" s="1079"/>
    </row>
    <row r="268" spans="1:6" ht="15" thickBot="1">
      <c r="A268" s="840" t="s">
        <v>530</v>
      </c>
      <c r="B268" s="834" t="s">
        <v>974</v>
      </c>
      <c r="C268" s="1067">
        <v>0.15</v>
      </c>
      <c r="D268" s="1067">
        <v>0.15</v>
      </c>
      <c r="E268" s="1067">
        <v>0.15</v>
      </c>
      <c r="F268" s="1068">
        <v>0.13</v>
      </c>
    </row>
    <row r="269" spans="1:6" ht="15" thickBot="1">
      <c r="A269" s="840" t="s">
        <v>530</v>
      </c>
      <c r="B269" s="834" t="s">
        <v>427</v>
      </c>
      <c r="C269" s="1067">
        <v>0.15</v>
      </c>
      <c r="D269" s="1067">
        <v>0.15</v>
      </c>
      <c r="E269" s="1067">
        <v>0.15</v>
      </c>
      <c r="F269" s="1068">
        <v>0.14299999999999999</v>
      </c>
    </row>
    <row r="270" spans="1:6" ht="15" thickBot="1">
      <c r="A270" s="840" t="s">
        <v>530</v>
      </c>
      <c r="B270" s="834" t="s">
        <v>434</v>
      </c>
      <c r="C270" s="1067">
        <v>0.14499999999999999</v>
      </c>
      <c r="D270" s="1067">
        <v>0.14499999999999999</v>
      </c>
      <c r="E270" s="1067">
        <v>0.15</v>
      </c>
      <c r="F270" s="1068">
        <v>0.14699999999999999</v>
      </c>
    </row>
    <row r="271" spans="1:6" ht="15" thickBot="1">
      <c r="A271" s="840" t="s">
        <v>530</v>
      </c>
      <c r="B271" s="834" t="s">
        <v>441</v>
      </c>
      <c r="C271" s="1067">
        <v>0.15</v>
      </c>
      <c r="D271" s="1067">
        <v>0.15</v>
      </c>
      <c r="E271" s="1067">
        <v>0.15</v>
      </c>
      <c r="F271" s="1068">
        <v>0.13800000000000001</v>
      </c>
    </row>
    <row r="272" spans="1:6" ht="15" thickBot="1">
      <c r="A272" s="840" t="s">
        <v>530</v>
      </c>
      <c r="B272" s="834" t="s">
        <v>448</v>
      </c>
      <c r="C272" s="1080"/>
      <c r="D272" s="1080"/>
      <c r="E272" s="1080"/>
      <c r="F272" s="1068">
        <v>0.14000000000000001</v>
      </c>
    </row>
    <row r="273" spans="1:6" ht="15" thickBot="1">
      <c r="A273" s="840" t="s">
        <v>530</v>
      </c>
      <c r="B273" s="834" t="s">
        <v>975</v>
      </c>
      <c r="C273" s="1067">
        <v>0.14199999999999999</v>
      </c>
      <c r="D273" s="1067">
        <v>0.14299999999999999</v>
      </c>
      <c r="E273" s="1067">
        <v>0.15</v>
      </c>
      <c r="F273" s="1068">
        <v>0.1</v>
      </c>
    </row>
    <row r="274" spans="1:6" ht="15" thickBot="1">
      <c r="A274" s="840" t="s">
        <v>530</v>
      </c>
      <c r="B274" s="834" t="s">
        <v>976</v>
      </c>
      <c r="C274" s="1067">
        <v>0.14799999999999999</v>
      </c>
      <c r="D274" s="1067">
        <v>0.14799999999999999</v>
      </c>
      <c r="E274" s="1067">
        <v>0.15</v>
      </c>
      <c r="F274" s="1068">
        <v>6.7000000000000004E-2</v>
      </c>
    </row>
    <row r="275" spans="1:6" ht="15" thickBot="1">
      <c r="A275" s="840" t="s">
        <v>530</v>
      </c>
      <c r="B275" s="834" t="s">
        <v>977</v>
      </c>
      <c r="C275" s="1067">
        <v>0.15</v>
      </c>
      <c r="D275" s="1067">
        <v>0.15</v>
      </c>
      <c r="E275" s="1067">
        <v>0.15</v>
      </c>
      <c r="F275" s="1068">
        <v>0.15</v>
      </c>
    </row>
    <row r="276" spans="1:6" ht="15" thickBot="1">
      <c r="A276" s="840" t="s">
        <v>530</v>
      </c>
      <c r="B276" s="834" t="s">
        <v>978</v>
      </c>
      <c r="C276" s="1067">
        <v>0.14499999999999999</v>
      </c>
      <c r="D276" s="1067">
        <v>0.14299999999999999</v>
      </c>
      <c r="E276" s="1067">
        <v>0.15</v>
      </c>
      <c r="F276" s="1068">
        <v>5.8999999999999997E-2</v>
      </c>
    </row>
    <row r="277" spans="1:6" ht="15" thickBot="1">
      <c r="A277" s="840" t="s">
        <v>530</v>
      </c>
      <c r="B277" s="834" t="s">
        <v>979</v>
      </c>
      <c r="C277" s="1067">
        <v>0.15</v>
      </c>
      <c r="D277" s="1067">
        <v>0.15</v>
      </c>
      <c r="E277" s="1067">
        <v>0.15</v>
      </c>
      <c r="F277" s="1068">
        <v>0.121</v>
      </c>
    </row>
    <row r="278" spans="1:6" ht="15" thickBot="1">
      <c r="A278" s="840" t="s">
        <v>530</v>
      </c>
      <c r="B278" s="834" t="s">
        <v>980</v>
      </c>
      <c r="C278" s="1067">
        <v>0.15</v>
      </c>
      <c r="D278" s="1067">
        <v>0.15</v>
      </c>
      <c r="E278" s="1067">
        <v>0.15</v>
      </c>
      <c r="F278" s="1068">
        <v>0.13800000000000001</v>
      </c>
    </row>
    <row r="279" spans="1:6" ht="24.6" thickBot="1">
      <c r="A279" s="840" t="s">
        <v>530</v>
      </c>
      <c r="B279" s="834" t="s">
        <v>981</v>
      </c>
      <c r="C279" s="1080"/>
      <c r="D279" s="1080"/>
      <c r="E279" s="1080"/>
      <c r="F279" s="1068">
        <v>0.05</v>
      </c>
    </row>
    <row r="280" spans="1:6" ht="24.6" thickBot="1">
      <c r="A280" s="840" t="s">
        <v>530</v>
      </c>
      <c r="B280" s="834" t="s">
        <v>982</v>
      </c>
      <c r="C280" s="1080"/>
      <c r="D280" s="1080"/>
      <c r="E280" s="1080"/>
      <c r="F280" s="1068">
        <v>0.05</v>
      </c>
    </row>
    <row r="281" spans="1:6" ht="24.6" thickBot="1">
      <c r="A281" s="840" t="s">
        <v>530</v>
      </c>
      <c r="B281" s="834" t="s">
        <v>983</v>
      </c>
      <c r="C281" s="1080"/>
      <c r="D281" s="1080"/>
      <c r="E281" s="1080"/>
      <c r="F281" s="1068">
        <v>0.05</v>
      </c>
    </row>
    <row r="282" spans="1:6" ht="24.6" thickBot="1">
      <c r="A282" s="840" t="s">
        <v>530</v>
      </c>
      <c r="B282" s="834" t="s">
        <v>984</v>
      </c>
      <c r="C282" s="1080"/>
      <c r="D282" s="1080"/>
      <c r="E282" s="1080"/>
      <c r="F282" s="1068">
        <v>0.05</v>
      </c>
    </row>
    <row r="283" spans="1:6" ht="24.6" thickBot="1">
      <c r="A283" s="840" t="s">
        <v>530</v>
      </c>
      <c r="B283" s="834" t="s">
        <v>985</v>
      </c>
      <c r="C283" s="1080"/>
      <c r="D283" s="1080"/>
      <c r="E283" s="1080"/>
      <c r="F283" s="1068">
        <v>0.05</v>
      </c>
    </row>
    <row r="284" spans="1:6" ht="24.6" thickBot="1">
      <c r="A284" s="840" t="s">
        <v>530</v>
      </c>
      <c r="B284" s="834" t="s">
        <v>986</v>
      </c>
      <c r="C284" s="1080"/>
      <c r="D284" s="1080"/>
      <c r="E284" s="1080"/>
      <c r="F284" s="1068">
        <v>0.05</v>
      </c>
    </row>
    <row r="285" spans="1:6" ht="24.6" thickBot="1">
      <c r="A285" s="840" t="s">
        <v>530</v>
      </c>
      <c r="B285" s="834" t="s">
        <v>987</v>
      </c>
      <c r="C285" s="1080"/>
      <c r="D285" s="1080"/>
      <c r="E285" s="1080"/>
      <c r="F285" s="1068">
        <v>0.05</v>
      </c>
    </row>
    <row r="286" spans="1:6" ht="24.6" thickBot="1">
      <c r="A286" s="840" t="s">
        <v>530</v>
      </c>
      <c r="B286" s="834" t="s">
        <v>988</v>
      </c>
      <c r="C286" s="1080"/>
      <c r="D286" s="1080"/>
      <c r="E286" s="1080"/>
      <c r="F286" s="1068">
        <v>0.05</v>
      </c>
    </row>
    <row r="287" spans="1:6" ht="24.6" thickBot="1">
      <c r="A287" s="840" t="s">
        <v>530</v>
      </c>
      <c r="B287" s="834" t="s">
        <v>989</v>
      </c>
      <c r="C287" s="1080"/>
      <c r="D287" s="1080"/>
      <c r="E287" s="1080"/>
      <c r="F287" s="1068">
        <v>0.05</v>
      </c>
    </row>
    <row r="288" spans="1:6" ht="24.6" thickBot="1">
      <c r="A288" s="840" t="s">
        <v>530</v>
      </c>
      <c r="B288" s="834" t="s">
        <v>990</v>
      </c>
      <c r="C288" s="1080"/>
      <c r="D288" s="1080"/>
      <c r="E288" s="1080"/>
      <c r="F288" s="1068">
        <v>0.05</v>
      </c>
    </row>
    <row r="289" spans="1:6" ht="24.6" thickBot="1">
      <c r="A289" s="850" t="s">
        <v>530</v>
      </c>
      <c r="B289" s="846" t="s">
        <v>991</v>
      </c>
      <c r="C289" s="1077"/>
      <c r="D289" s="1077"/>
      <c r="E289" s="1077"/>
      <c r="F289" s="1070">
        <v>0.05</v>
      </c>
    </row>
    <row r="290" spans="1:6" ht="15" thickBot="1">
      <c r="A290" s="840" t="s">
        <v>534</v>
      </c>
      <c r="B290" s="841" t="s">
        <v>992</v>
      </c>
      <c r="C290" s="1065">
        <v>0.15</v>
      </c>
      <c r="D290" s="1065">
        <v>0.15</v>
      </c>
      <c r="E290" s="1065">
        <v>0.15</v>
      </c>
      <c r="F290" s="1082"/>
    </row>
    <row r="291" spans="1:6" ht="15" thickBot="1">
      <c r="A291" s="840" t="s">
        <v>534</v>
      </c>
      <c r="B291" s="834" t="s">
        <v>196</v>
      </c>
      <c r="C291" s="1067">
        <v>0.15</v>
      </c>
      <c r="D291" s="1067">
        <v>0.15</v>
      </c>
      <c r="E291" s="1067">
        <v>0.15</v>
      </c>
      <c r="F291" s="1079"/>
    </row>
    <row r="292" spans="1:6" ht="15" thickBot="1">
      <c r="A292" s="840" t="s">
        <v>534</v>
      </c>
      <c r="B292" s="834" t="s">
        <v>993</v>
      </c>
      <c r="C292" s="1067">
        <v>0.15</v>
      </c>
      <c r="D292" s="1067">
        <v>0.15</v>
      </c>
      <c r="E292" s="1067">
        <v>0.15</v>
      </c>
      <c r="F292" s="1068">
        <v>0.14699999999999999</v>
      </c>
    </row>
    <row r="293" spans="1:6" ht="15" thickBot="1">
      <c r="A293" s="840" t="s">
        <v>534</v>
      </c>
      <c r="B293" s="834" t="s">
        <v>994</v>
      </c>
      <c r="C293" s="1080"/>
      <c r="D293" s="1080"/>
      <c r="E293" s="1080"/>
      <c r="F293" s="1068">
        <v>0.1</v>
      </c>
    </row>
    <row r="294" spans="1:6" ht="15" thickBot="1">
      <c r="A294" s="840" t="s">
        <v>534</v>
      </c>
      <c r="B294" s="834" t="s">
        <v>995</v>
      </c>
      <c r="C294" s="1067">
        <v>0.15</v>
      </c>
      <c r="D294" s="1067">
        <v>0.15</v>
      </c>
      <c r="E294" s="1067">
        <v>0.15</v>
      </c>
      <c r="F294" s="1068">
        <v>0.15</v>
      </c>
    </row>
    <row r="295" spans="1:6" ht="15" thickBot="1">
      <c r="A295" s="840" t="s">
        <v>534</v>
      </c>
      <c r="B295" s="834" t="s">
        <v>234</v>
      </c>
      <c r="C295" s="1067">
        <v>0.15</v>
      </c>
      <c r="D295" s="1067">
        <v>0.15</v>
      </c>
      <c r="E295" s="1067">
        <v>0.15</v>
      </c>
      <c r="F295" s="1068">
        <v>0.15</v>
      </c>
    </row>
    <row r="296" spans="1:6" ht="15" thickBot="1">
      <c r="A296" s="840" t="s">
        <v>534</v>
      </c>
      <c r="B296" s="834" t="s">
        <v>996</v>
      </c>
      <c r="C296" s="1067">
        <v>0.15</v>
      </c>
      <c r="D296" s="1067">
        <v>0.15</v>
      </c>
      <c r="E296" s="1067">
        <v>0.15</v>
      </c>
      <c r="F296" s="1068">
        <v>0.15</v>
      </c>
    </row>
    <row r="297" spans="1:6" ht="15" thickBot="1">
      <c r="A297" s="840" t="s">
        <v>534</v>
      </c>
      <c r="B297" s="834" t="s">
        <v>997</v>
      </c>
      <c r="C297" s="1067">
        <v>0.14799999999999999</v>
      </c>
      <c r="D297" s="1067">
        <v>0.14899999999999999</v>
      </c>
      <c r="E297" s="1067">
        <v>0.15</v>
      </c>
      <c r="F297" s="1068">
        <v>0.13700000000000001</v>
      </c>
    </row>
    <row r="298" spans="1:6" ht="15" thickBot="1">
      <c r="A298" s="840" t="s">
        <v>534</v>
      </c>
      <c r="B298" s="834" t="s">
        <v>267</v>
      </c>
      <c r="C298" s="1067">
        <v>0.13400000000000001</v>
      </c>
      <c r="D298" s="1067">
        <v>0.13400000000000001</v>
      </c>
      <c r="E298" s="1067">
        <v>0.14499999999999999</v>
      </c>
      <c r="F298" s="1068">
        <v>0.14799999999999999</v>
      </c>
    </row>
    <row r="299" spans="1:6" ht="15" thickBot="1">
      <c r="A299" s="840" t="s">
        <v>534</v>
      </c>
      <c r="B299" s="834" t="s">
        <v>279</v>
      </c>
      <c r="C299" s="1067">
        <v>0.15</v>
      </c>
      <c r="D299" s="1067">
        <v>0.15</v>
      </c>
      <c r="E299" s="1067">
        <v>0.15</v>
      </c>
      <c r="F299" s="1079"/>
    </row>
    <row r="300" spans="1:6" ht="15" thickBot="1">
      <c r="A300" s="840" t="s">
        <v>534</v>
      </c>
      <c r="B300" s="834" t="s">
        <v>998</v>
      </c>
      <c r="C300" s="1067">
        <v>0.15</v>
      </c>
      <c r="D300" s="1067">
        <v>0.15</v>
      </c>
      <c r="E300" s="1067">
        <v>0.15</v>
      </c>
      <c r="F300" s="1068">
        <v>0.15</v>
      </c>
    </row>
    <row r="301" spans="1:6" ht="15" thickBot="1">
      <c r="A301" s="840" t="s">
        <v>534</v>
      </c>
      <c r="B301" s="834" t="s">
        <v>299</v>
      </c>
      <c r="C301" s="1067">
        <v>0.15</v>
      </c>
      <c r="D301" s="1067">
        <v>0.15</v>
      </c>
      <c r="E301" s="1067">
        <v>0.15</v>
      </c>
      <c r="F301" s="1079"/>
    </row>
    <row r="302" spans="1:6" ht="15" thickBot="1">
      <c r="A302" s="840" t="s">
        <v>534</v>
      </c>
      <c r="B302" s="834" t="s">
        <v>999</v>
      </c>
      <c r="C302" s="1067">
        <v>0.15</v>
      </c>
      <c r="D302" s="1067">
        <v>0.15</v>
      </c>
      <c r="E302" s="1067">
        <v>0.15</v>
      </c>
      <c r="F302" s="1068">
        <v>0.15</v>
      </c>
    </row>
    <row r="303" spans="1:6" ht="15" thickBot="1">
      <c r="A303" s="840" t="s">
        <v>534</v>
      </c>
      <c r="B303" s="834" t="s">
        <v>319</v>
      </c>
      <c r="C303" s="1067">
        <v>0.15</v>
      </c>
      <c r="D303" s="1067">
        <v>0.15</v>
      </c>
      <c r="E303" s="1067">
        <v>0.15</v>
      </c>
      <c r="F303" s="1068">
        <v>0.15</v>
      </c>
    </row>
    <row r="304" spans="1:6" ht="15" thickBot="1">
      <c r="A304" s="840" t="s">
        <v>534</v>
      </c>
      <c r="B304" s="834" t="s">
        <v>330</v>
      </c>
      <c r="C304" s="1067">
        <v>0.15</v>
      </c>
      <c r="D304" s="1067">
        <v>0.15</v>
      </c>
      <c r="E304" s="1067">
        <v>0.15</v>
      </c>
      <c r="F304" s="1079"/>
    </row>
    <row r="305" spans="1:6" ht="15" thickBot="1">
      <c r="A305" s="840" t="s">
        <v>534</v>
      </c>
      <c r="B305" s="834" t="s">
        <v>1000</v>
      </c>
      <c r="C305" s="1067">
        <v>0.15</v>
      </c>
      <c r="D305" s="1067">
        <v>0.15</v>
      </c>
      <c r="E305" s="1067">
        <v>0.15</v>
      </c>
      <c r="F305" s="1068">
        <v>0.14000000000000001</v>
      </c>
    </row>
    <row r="306" spans="1:6" ht="15" thickBot="1">
      <c r="A306" s="840" t="s">
        <v>534</v>
      </c>
      <c r="B306" s="834" t="s">
        <v>351</v>
      </c>
      <c r="C306" s="1067">
        <v>0.15</v>
      </c>
      <c r="D306" s="1067">
        <v>0.15</v>
      </c>
      <c r="E306" s="1067">
        <v>0.15</v>
      </c>
      <c r="F306" s="1079"/>
    </row>
    <row r="307" spans="1:6" ht="15" thickBot="1">
      <c r="A307" s="840" t="s">
        <v>534</v>
      </c>
      <c r="B307" s="834" t="s">
        <v>1001</v>
      </c>
      <c r="C307" s="1067">
        <v>0.15</v>
      </c>
      <c r="D307" s="1067">
        <v>0.15</v>
      </c>
      <c r="E307" s="1067">
        <v>0.15</v>
      </c>
      <c r="F307" s="1068">
        <v>0.14299999999999999</v>
      </c>
    </row>
    <row r="308" spans="1:6" ht="15" thickBot="1">
      <c r="A308" s="840" t="s">
        <v>534</v>
      </c>
      <c r="B308" s="834" t="s">
        <v>371</v>
      </c>
      <c r="C308" s="1067">
        <v>0.15</v>
      </c>
      <c r="D308" s="1067">
        <v>0.15</v>
      </c>
      <c r="E308" s="1067">
        <v>0.15</v>
      </c>
      <c r="F308" s="1068">
        <v>0.15</v>
      </c>
    </row>
    <row r="309" spans="1:6" ht="15" thickBot="1">
      <c r="A309" s="840" t="s">
        <v>534</v>
      </c>
      <c r="B309" s="834" t="s">
        <v>381</v>
      </c>
      <c r="C309" s="1067">
        <v>0.15</v>
      </c>
      <c r="D309" s="1067">
        <v>0.15</v>
      </c>
      <c r="E309" s="1067">
        <v>0.15</v>
      </c>
      <c r="F309" s="1079"/>
    </row>
    <row r="310" spans="1:6" ht="15" thickBot="1">
      <c r="A310" s="840" t="s">
        <v>534</v>
      </c>
      <c r="B310" s="834" t="s">
        <v>1002</v>
      </c>
      <c r="C310" s="1067">
        <v>0.15</v>
      </c>
      <c r="D310" s="1067">
        <v>0.15</v>
      </c>
      <c r="E310" s="1067">
        <v>0.15</v>
      </c>
      <c r="F310" s="1068">
        <v>0.13700000000000001</v>
      </c>
    </row>
    <row r="311" spans="1:6" ht="15" thickBot="1">
      <c r="A311" s="840" t="s">
        <v>534</v>
      </c>
      <c r="B311" s="834" t="s">
        <v>1003</v>
      </c>
      <c r="C311" s="1067">
        <v>0.15</v>
      </c>
      <c r="D311" s="1067">
        <v>0.15</v>
      </c>
      <c r="E311" s="1067">
        <v>0.15</v>
      </c>
      <c r="F311" s="1068">
        <v>0.15</v>
      </c>
    </row>
    <row r="312" spans="1:6" ht="15" thickBot="1">
      <c r="A312" s="840" t="s">
        <v>534</v>
      </c>
      <c r="B312" s="834" t="s">
        <v>407</v>
      </c>
      <c r="C312" s="1067">
        <v>0.15</v>
      </c>
      <c r="D312" s="1067">
        <v>0.15</v>
      </c>
      <c r="E312" s="1067">
        <v>0.15</v>
      </c>
      <c r="F312" s="1068">
        <v>0.1</v>
      </c>
    </row>
    <row r="313" spans="1:6" ht="15" thickBot="1">
      <c r="A313" s="840" t="s">
        <v>534</v>
      </c>
      <c r="B313" s="834" t="s">
        <v>1004</v>
      </c>
      <c r="C313" s="1067">
        <v>0.15</v>
      </c>
      <c r="D313" s="1067">
        <v>0.15</v>
      </c>
      <c r="E313" s="1067">
        <v>0.15</v>
      </c>
      <c r="F313" s="1068">
        <v>0.15</v>
      </c>
    </row>
    <row r="314" spans="1:6" ht="24.6" thickBot="1">
      <c r="A314" s="840" t="s">
        <v>534</v>
      </c>
      <c r="B314" s="834" t="s">
        <v>1005</v>
      </c>
      <c r="C314" s="1080"/>
      <c r="D314" s="1080"/>
      <c r="E314" s="1080"/>
      <c r="F314" s="1068">
        <v>0.05</v>
      </c>
    </row>
    <row r="315" spans="1:6" ht="24.6" thickBot="1">
      <c r="A315" s="840" t="s">
        <v>534</v>
      </c>
      <c r="B315" s="834" t="s">
        <v>1006</v>
      </c>
      <c r="C315" s="1080"/>
      <c r="D315" s="1080"/>
      <c r="E315" s="1080"/>
      <c r="F315" s="1068">
        <v>0.05</v>
      </c>
    </row>
    <row r="316" spans="1:6" ht="24.6" thickBot="1">
      <c r="A316" s="850" t="s">
        <v>534</v>
      </c>
      <c r="B316" s="846" t="s">
        <v>1007</v>
      </c>
      <c r="C316" s="1077"/>
      <c r="D316" s="1077"/>
      <c r="E316" s="1077"/>
      <c r="F316" s="1070">
        <v>0.05</v>
      </c>
    </row>
    <row r="317" spans="1:6" ht="15" thickBot="1">
      <c r="A317" s="840" t="s">
        <v>1008</v>
      </c>
      <c r="B317" s="841" t="s">
        <v>1009</v>
      </c>
      <c r="C317" s="1065">
        <v>0.15</v>
      </c>
      <c r="D317" s="1065">
        <v>0.15</v>
      </c>
      <c r="E317" s="1065">
        <v>0.15</v>
      </c>
      <c r="F317" s="1066">
        <v>0.15</v>
      </c>
    </row>
    <row r="318" spans="1:6" ht="15" thickBot="1">
      <c r="A318" s="840" t="s">
        <v>1008</v>
      </c>
      <c r="B318" s="834" t="s">
        <v>1010</v>
      </c>
      <c r="C318" s="1067">
        <v>0.107</v>
      </c>
      <c r="D318" s="1067">
        <v>0.11</v>
      </c>
      <c r="E318" s="1067">
        <v>0.112</v>
      </c>
      <c r="F318" s="1079"/>
    </row>
    <row r="319" spans="1:6" ht="15" thickBot="1">
      <c r="A319" s="840" t="s">
        <v>1008</v>
      </c>
      <c r="B319" s="834" t="s">
        <v>1011</v>
      </c>
      <c r="C319" s="1067">
        <v>0.15</v>
      </c>
      <c r="D319" s="1067">
        <v>0.15</v>
      </c>
      <c r="E319" s="1067">
        <v>0.15</v>
      </c>
      <c r="F319" s="1068">
        <v>0.15</v>
      </c>
    </row>
    <row r="320" spans="1:6" ht="15" thickBot="1">
      <c r="A320" s="840" t="s">
        <v>1008</v>
      </c>
      <c r="B320" s="834" t="s">
        <v>223</v>
      </c>
      <c r="C320" s="1067">
        <v>0.15</v>
      </c>
      <c r="D320" s="1067">
        <v>0.15</v>
      </c>
      <c r="E320" s="1067">
        <v>0.15</v>
      </c>
      <c r="F320" s="1079"/>
    </row>
    <row r="321" spans="1:6" ht="15" thickBot="1">
      <c r="A321" s="840" t="s">
        <v>1008</v>
      </c>
      <c r="B321" s="834" t="s">
        <v>1012</v>
      </c>
      <c r="C321" s="1067">
        <v>0.15</v>
      </c>
      <c r="D321" s="1067">
        <v>0.15</v>
      </c>
      <c r="E321" s="1067">
        <v>0.15</v>
      </c>
      <c r="F321" s="1079"/>
    </row>
    <row r="322" spans="1:6" ht="15" thickBot="1">
      <c r="A322" s="840" t="s">
        <v>1008</v>
      </c>
      <c r="B322" s="834" t="s">
        <v>1013</v>
      </c>
      <c r="C322" s="1067">
        <v>0.15</v>
      </c>
      <c r="D322" s="1067">
        <v>0.15</v>
      </c>
      <c r="E322" s="1067">
        <v>0.15</v>
      </c>
      <c r="F322" s="1068">
        <v>0.15</v>
      </c>
    </row>
    <row r="323" spans="1:6" ht="15" thickBot="1">
      <c r="A323" s="840" t="s">
        <v>1008</v>
      </c>
      <c r="B323" s="834" t="s">
        <v>1014</v>
      </c>
      <c r="C323" s="1067">
        <v>0.15</v>
      </c>
      <c r="D323" s="1067">
        <v>0.15</v>
      </c>
      <c r="E323" s="1067">
        <v>0.15</v>
      </c>
      <c r="F323" s="1079"/>
    </row>
    <row r="324" spans="1:6" ht="15" thickBot="1">
      <c r="A324" s="840" t="s">
        <v>1008</v>
      </c>
      <c r="B324" s="834" t="s">
        <v>1015</v>
      </c>
      <c r="C324" s="1067">
        <v>0.15</v>
      </c>
      <c r="D324" s="1067">
        <v>0.15</v>
      </c>
      <c r="E324" s="1067">
        <v>0.15</v>
      </c>
      <c r="F324" s="1079"/>
    </row>
    <row r="325" spans="1:6" ht="15" thickBot="1">
      <c r="A325" s="840" t="s">
        <v>1008</v>
      </c>
      <c r="B325" s="834" t="s">
        <v>1016</v>
      </c>
      <c r="C325" s="1067">
        <v>0.15</v>
      </c>
      <c r="D325" s="1067">
        <v>0.15</v>
      </c>
      <c r="E325" s="1067">
        <v>0.15</v>
      </c>
      <c r="F325" s="1068">
        <v>0.14699999999999999</v>
      </c>
    </row>
    <row r="326" spans="1:6" ht="15" thickBot="1">
      <c r="A326" s="840" t="s">
        <v>1008</v>
      </c>
      <c r="B326" s="834" t="s">
        <v>290</v>
      </c>
      <c r="C326" s="1067">
        <v>0.15</v>
      </c>
      <c r="D326" s="1067">
        <v>0.15</v>
      </c>
      <c r="E326" s="1067">
        <v>0.15</v>
      </c>
      <c r="F326" s="1079"/>
    </row>
    <row r="327" spans="1:6" ht="15" thickBot="1">
      <c r="A327" s="840" t="s">
        <v>1008</v>
      </c>
      <c r="B327" s="834" t="s">
        <v>1017</v>
      </c>
      <c r="C327" s="1067">
        <v>0.15</v>
      </c>
      <c r="D327" s="1067">
        <v>0.15</v>
      </c>
      <c r="E327" s="1067">
        <v>0.15</v>
      </c>
      <c r="F327" s="1068">
        <v>0.15</v>
      </c>
    </row>
    <row r="328" spans="1:6" ht="15" thickBot="1">
      <c r="A328" s="840" t="s">
        <v>1008</v>
      </c>
      <c r="B328" s="834" t="s">
        <v>310</v>
      </c>
      <c r="C328" s="1067">
        <v>0.15</v>
      </c>
      <c r="D328" s="1067">
        <v>0.15</v>
      </c>
      <c r="E328" s="1067">
        <v>0.15</v>
      </c>
      <c r="F328" s="1068">
        <v>0.14099999999999999</v>
      </c>
    </row>
    <row r="329" spans="1:6" ht="15" thickBot="1">
      <c r="A329" s="840" t="s">
        <v>1008</v>
      </c>
      <c r="B329" s="834" t="s">
        <v>320</v>
      </c>
      <c r="C329" s="1067">
        <v>0.15</v>
      </c>
      <c r="D329" s="1067">
        <v>0.15</v>
      </c>
      <c r="E329" s="1067">
        <v>0.15</v>
      </c>
      <c r="F329" s="1068">
        <v>0.15</v>
      </c>
    </row>
    <row r="330" spans="1:6" ht="15" thickBot="1">
      <c r="A330" s="840" t="s">
        <v>1008</v>
      </c>
      <c r="B330" s="834" t="s">
        <v>331</v>
      </c>
      <c r="C330" s="1067">
        <v>0.15</v>
      </c>
      <c r="D330" s="1067">
        <v>0.15</v>
      </c>
      <c r="E330" s="1067">
        <v>0.15</v>
      </c>
      <c r="F330" s="1079"/>
    </row>
    <row r="331" spans="1:6" ht="15" thickBot="1">
      <c r="A331" s="840" t="s">
        <v>1008</v>
      </c>
      <c r="B331" s="834" t="s">
        <v>1018</v>
      </c>
      <c r="C331" s="1067">
        <v>0.15</v>
      </c>
      <c r="D331" s="1067">
        <v>0.15</v>
      </c>
      <c r="E331" s="1067">
        <v>0.15</v>
      </c>
      <c r="F331" s="1068">
        <v>0.15</v>
      </c>
    </row>
    <row r="332" spans="1:6" ht="15" thickBot="1">
      <c r="A332" s="840" t="s">
        <v>1008</v>
      </c>
      <c r="B332" s="834" t="s">
        <v>352</v>
      </c>
      <c r="C332" s="1067">
        <v>0.15</v>
      </c>
      <c r="D332" s="1067">
        <v>0.15</v>
      </c>
      <c r="E332" s="1067">
        <v>0.15</v>
      </c>
      <c r="F332" s="1068">
        <v>0.15</v>
      </c>
    </row>
    <row r="333" spans="1:6" ht="15" thickBot="1">
      <c r="A333" s="840" t="s">
        <v>1008</v>
      </c>
      <c r="B333" s="834" t="s">
        <v>1019</v>
      </c>
      <c r="C333" s="1067">
        <v>0.15</v>
      </c>
      <c r="D333" s="1067">
        <v>0.15</v>
      </c>
      <c r="E333" s="1067">
        <v>0.15</v>
      </c>
      <c r="F333" s="1068">
        <v>0.14099999999999999</v>
      </c>
    </row>
    <row r="334" spans="1:6" ht="15" thickBot="1">
      <c r="A334" s="840" t="s">
        <v>1008</v>
      </c>
      <c r="B334" s="834" t="s">
        <v>372</v>
      </c>
      <c r="C334" s="1067">
        <v>0.15</v>
      </c>
      <c r="D334" s="1067">
        <v>0.15</v>
      </c>
      <c r="E334" s="1067">
        <v>0.15</v>
      </c>
      <c r="F334" s="1068">
        <v>0.15</v>
      </c>
    </row>
    <row r="335" spans="1:6" ht="15" thickBot="1">
      <c r="A335" s="840" t="s">
        <v>1008</v>
      </c>
      <c r="B335" s="834" t="s">
        <v>382</v>
      </c>
      <c r="C335" s="1067">
        <v>0.15</v>
      </c>
      <c r="D335" s="1067">
        <v>0.15</v>
      </c>
      <c r="E335" s="1067">
        <v>0.15</v>
      </c>
      <c r="F335" s="1079"/>
    </row>
    <row r="336" spans="1:6" ht="15" thickBot="1">
      <c r="A336" s="840" t="s">
        <v>1008</v>
      </c>
      <c r="B336" s="834" t="s">
        <v>1020</v>
      </c>
      <c r="C336" s="1067">
        <v>0.15</v>
      </c>
      <c r="D336" s="1067">
        <v>0.15</v>
      </c>
      <c r="E336" s="1067">
        <v>0.15</v>
      </c>
      <c r="F336" s="1068">
        <v>0.11799999999999999</v>
      </c>
    </row>
    <row r="337" spans="1:6" ht="15" thickBot="1">
      <c r="A337" s="850" t="s">
        <v>1008</v>
      </c>
      <c r="B337" s="846" t="s">
        <v>400</v>
      </c>
      <c r="C337" s="1077"/>
      <c r="D337" s="1077"/>
      <c r="E337" s="1077"/>
      <c r="F337" s="1070">
        <v>0.14299999999999999</v>
      </c>
    </row>
    <row r="338" spans="1:6" ht="15" thickBot="1">
      <c r="A338" s="840" t="s">
        <v>1021</v>
      </c>
      <c r="B338" s="841" t="s">
        <v>1022</v>
      </c>
      <c r="C338" s="1065">
        <v>0.15</v>
      </c>
      <c r="D338" s="1065">
        <v>0.15</v>
      </c>
      <c r="E338" s="1065">
        <v>0.15</v>
      </c>
      <c r="F338" s="1082"/>
    </row>
    <row r="339" spans="1:6" ht="15" thickBot="1">
      <c r="A339" s="840" t="s">
        <v>1021</v>
      </c>
      <c r="B339" s="834" t="s">
        <v>1023</v>
      </c>
      <c r="C339" s="1067">
        <v>0.15</v>
      </c>
      <c r="D339" s="1067">
        <v>0.15</v>
      </c>
      <c r="E339" s="1067">
        <v>0.15</v>
      </c>
      <c r="F339" s="1079"/>
    </row>
    <row r="340" spans="1:6" ht="15" thickBot="1">
      <c r="A340" s="840" t="s">
        <v>1021</v>
      </c>
      <c r="B340" s="834" t="s">
        <v>1024</v>
      </c>
      <c r="C340" s="1067">
        <v>0.15</v>
      </c>
      <c r="D340" s="1067">
        <v>0.15</v>
      </c>
      <c r="E340" s="1067">
        <v>0.15</v>
      </c>
      <c r="F340" s="1079"/>
    </row>
    <row r="341" spans="1:6" ht="15" thickBot="1">
      <c r="A341" s="840" t="s">
        <v>1021</v>
      </c>
      <c r="B341" s="834" t="s">
        <v>1025</v>
      </c>
      <c r="C341" s="1067">
        <v>0.15</v>
      </c>
      <c r="D341" s="1067">
        <v>0.15</v>
      </c>
      <c r="E341" s="1067">
        <v>0.15</v>
      </c>
      <c r="F341" s="1068">
        <v>0.15</v>
      </c>
    </row>
    <row r="342" spans="1:6" ht="15" thickBot="1">
      <c r="A342" s="840" t="s">
        <v>1021</v>
      </c>
      <c r="B342" s="834" t="s">
        <v>1026</v>
      </c>
      <c r="C342" s="1067">
        <v>0.15</v>
      </c>
      <c r="D342" s="1067">
        <v>0.15</v>
      </c>
      <c r="E342" s="1067">
        <v>0.15</v>
      </c>
      <c r="F342" s="1068">
        <v>0.15</v>
      </c>
    </row>
    <row r="343" spans="1:6" ht="15" thickBot="1">
      <c r="A343" s="840" t="s">
        <v>1021</v>
      </c>
      <c r="B343" s="834" t="s">
        <v>1027</v>
      </c>
      <c r="C343" s="1067">
        <v>0.15</v>
      </c>
      <c r="D343" s="1067">
        <v>0.15</v>
      </c>
      <c r="E343" s="1067">
        <v>0.15</v>
      </c>
      <c r="F343" s="1068">
        <v>0.15</v>
      </c>
    </row>
    <row r="344" spans="1:6" ht="1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41" customWidth="1"/>
    <col min="2" max="2" width="13.21875" style="1647" customWidth="1"/>
    <col min="3" max="3" width="15.6640625" style="1647" customWidth="1"/>
    <col min="4" max="4" width="9.33203125" style="1647" bestFit="1" customWidth="1"/>
    <col min="5" max="5" width="13.44140625" style="1647" customWidth="1"/>
    <col min="6" max="6" width="9" style="1647"/>
    <col min="7" max="7" width="9.33203125" style="1647" bestFit="1" customWidth="1"/>
    <col min="8" max="8" width="12.21875" style="1647" customWidth="1"/>
    <col min="9" max="9" width="9" style="1647"/>
    <col min="10" max="10" width="9.33203125" style="1647" bestFit="1" customWidth="1"/>
    <col min="11" max="11" width="4" style="1641" customWidth="1"/>
    <col min="12" max="12" width="5.109375" style="1647" customWidth="1"/>
    <col min="13" max="13" width="13.77734375" style="1647" customWidth="1"/>
    <col min="14" max="256" width="9" style="1647"/>
    <col min="257" max="257" width="4.88671875" style="1638" customWidth="1"/>
    <col min="258" max="258" width="13.21875" style="1638" customWidth="1"/>
    <col min="259" max="259" width="15.6640625" style="1638" customWidth="1"/>
    <col min="260" max="260" width="9.33203125" style="1638" bestFit="1" customWidth="1"/>
    <col min="261" max="261" width="13.44140625" style="1638" customWidth="1"/>
    <col min="262" max="262" width="9" style="1638"/>
    <col min="263" max="263" width="9.33203125" style="1638" bestFit="1" customWidth="1"/>
    <col min="264" max="265" width="9" style="1638"/>
    <col min="266" max="266" width="9.33203125" style="1638" bestFit="1" customWidth="1"/>
    <col min="267" max="267" width="4" style="1638" customWidth="1"/>
    <col min="268" max="268" width="5.109375" style="1638" customWidth="1"/>
    <col min="269" max="269" width="13.77734375" style="1638" customWidth="1"/>
    <col min="270" max="512" width="9" style="1638"/>
    <col min="513" max="513" width="4.88671875" style="1638" customWidth="1"/>
    <col min="514" max="514" width="13.21875" style="1638" customWidth="1"/>
    <col min="515" max="515" width="15.6640625" style="1638" customWidth="1"/>
    <col min="516" max="516" width="9.33203125" style="1638" bestFit="1" customWidth="1"/>
    <col min="517" max="517" width="13.44140625" style="1638" customWidth="1"/>
    <col min="518" max="518" width="9" style="1638"/>
    <col min="519" max="519" width="9.33203125" style="1638" bestFit="1" customWidth="1"/>
    <col min="520" max="521" width="9" style="1638"/>
    <col min="522" max="522" width="9.33203125" style="1638" bestFit="1" customWidth="1"/>
    <col min="523" max="523" width="4" style="1638" customWidth="1"/>
    <col min="524" max="524" width="5.109375" style="1638" customWidth="1"/>
    <col min="525" max="525" width="13.77734375" style="1638" customWidth="1"/>
    <col min="526" max="768" width="9" style="1638"/>
    <col min="769" max="769" width="4.88671875" style="1638" customWidth="1"/>
    <col min="770" max="770" width="13.21875" style="1638" customWidth="1"/>
    <col min="771" max="771" width="15.6640625" style="1638" customWidth="1"/>
    <col min="772" max="772" width="9.33203125" style="1638" bestFit="1" customWidth="1"/>
    <col min="773" max="773" width="13.44140625" style="1638" customWidth="1"/>
    <col min="774" max="774" width="9" style="1638"/>
    <col min="775" max="775" width="9.33203125" style="1638" bestFit="1" customWidth="1"/>
    <col min="776" max="777" width="9" style="1638"/>
    <col min="778" max="778" width="9.33203125" style="1638" bestFit="1" customWidth="1"/>
    <col min="779" max="779" width="4" style="1638" customWidth="1"/>
    <col min="780" max="780" width="5.109375" style="1638" customWidth="1"/>
    <col min="781" max="781" width="13.77734375" style="1638" customWidth="1"/>
    <col min="782" max="1024" width="9" style="1638"/>
    <col min="1025" max="1025" width="4.88671875" style="1638" customWidth="1"/>
    <col min="1026" max="1026" width="13.21875" style="1638" customWidth="1"/>
    <col min="1027" max="1027" width="15.6640625" style="1638" customWidth="1"/>
    <col min="1028" max="1028" width="9.33203125" style="1638" bestFit="1" customWidth="1"/>
    <col min="1029" max="1029" width="13.44140625" style="1638" customWidth="1"/>
    <col min="1030" max="1030" width="9" style="1638"/>
    <col min="1031" max="1031" width="9.33203125" style="1638" bestFit="1" customWidth="1"/>
    <col min="1032" max="1033" width="9" style="1638"/>
    <col min="1034" max="1034" width="9.33203125" style="1638" bestFit="1" customWidth="1"/>
    <col min="1035" max="1035" width="4" style="1638" customWidth="1"/>
    <col min="1036" max="1036" width="5.109375" style="1638" customWidth="1"/>
    <col min="1037" max="1037" width="13.77734375" style="1638" customWidth="1"/>
    <col min="1038" max="1280" width="9" style="1638"/>
    <col min="1281" max="1281" width="4.88671875" style="1638" customWidth="1"/>
    <col min="1282" max="1282" width="13.21875" style="1638" customWidth="1"/>
    <col min="1283" max="1283" width="15.6640625" style="1638" customWidth="1"/>
    <col min="1284" max="1284" width="9.33203125" style="1638" bestFit="1" customWidth="1"/>
    <col min="1285" max="1285" width="13.44140625" style="1638" customWidth="1"/>
    <col min="1286" max="1286" width="9" style="1638"/>
    <col min="1287" max="1287" width="9.33203125" style="1638" bestFit="1" customWidth="1"/>
    <col min="1288" max="1289" width="9" style="1638"/>
    <col min="1290" max="1290" width="9.33203125" style="1638" bestFit="1" customWidth="1"/>
    <col min="1291" max="1291" width="4" style="1638" customWidth="1"/>
    <col min="1292" max="1292" width="5.109375" style="1638" customWidth="1"/>
    <col min="1293" max="1293" width="13.77734375" style="1638" customWidth="1"/>
    <col min="1294" max="1536" width="9" style="1638"/>
    <col min="1537" max="1537" width="4.88671875" style="1638" customWidth="1"/>
    <col min="1538" max="1538" width="13.21875" style="1638" customWidth="1"/>
    <col min="1539" max="1539" width="15.6640625" style="1638" customWidth="1"/>
    <col min="1540" max="1540" width="9.33203125" style="1638" bestFit="1" customWidth="1"/>
    <col min="1541" max="1541" width="13.44140625" style="1638" customWidth="1"/>
    <col min="1542" max="1542" width="9" style="1638"/>
    <col min="1543" max="1543" width="9.33203125" style="1638" bestFit="1" customWidth="1"/>
    <col min="1544" max="1545" width="9" style="1638"/>
    <col min="1546" max="1546" width="9.33203125" style="1638" bestFit="1" customWidth="1"/>
    <col min="1547" max="1547" width="4" style="1638" customWidth="1"/>
    <col min="1548" max="1548" width="5.109375" style="1638" customWidth="1"/>
    <col min="1549" max="1549" width="13.77734375" style="1638" customWidth="1"/>
    <col min="1550" max="1792" width="9" style="1638"/>
    <col min="1793" max="1793" width="4.88671875" style="1638" customWidth="1"/>
    <col min="1794" max="1794" width="13.21875" style="1638" customWidth="1"/>
    <col min="1795" max="1795" width="15.6640625" style="1638" customWidth="1"/>
    <col min="1796" max="1796" width="9.33203125" style="1638" bestFit="1" customWidth="1"/>
    <col min="1797" max="1797" width="13.44140625" style="1638" customWidth="1"/>
    <col min="1798" max="1798" width="9" style="1638"/>
    <col min="1799" max="1799" width="9.33203125" style="1638" bestFit="1" customWidth="1"/>
    <col min="1800" max="1801" width="9" style="1638"/>
    <col min="1802" max="1802" width="9.33203125" style="1638" bestFit="1" customWidth="1"/>
    <col min="1803" max="1803" width="4" style="1638" customWidth="1"/>
    <col min="1804" max="1804" width="5.109375" style="1638" customWidth="1"/>
    <col min="1805" max="1805" width="13.77734375" style="1638" customWidth="1"/>
    <col min="1806" max="2048" width="9" style="1638"/>
    <col min="2049" max="2049" width="4.88671875" style="1638" customWidth="1"/>
    <col min="2050" max="2050" width="13.21875" style="1638" customWidth="1"/>
    <col min="2051" max="2051" width="15.6640625" style="1638" customWidth="1"/>
    <col min="2052" max="2052" width="9.33203125" style="1638" bestFit="1" customWidth="1"/>
    <col min="2053" max="2053" width="13.44140625" style="1638" customWidth="1"/>
    <col min="2054" max="2054" width="9" style="1638"/>
    <col min="2055" max="2055" width="9.33203125" style="1638" bestFit="1" customWidth="1"/>
    <col min="2056" max="2057" width="9" style="1638"/>
    <col min="2058" max="2058" width="9.33203125" style="1638" bestFit="1" customWidth="1"/>
    <col min="2059" max="2059" width="4" style="1638" customWidth="1"/>
    <col min="2060" max="2060" width="5.109375" style="1638" customWidth="1"/>
    <col min="2061" max="2061" width="13.77734375" style="1638" customWidth="1"/>
    <col min="2062" max="2304" width="9" style="1638"/>
    <col min="2305" max="2305" width="4.88671875" style="1638" customWidth="1"/>
    <col min="2306" max="2306" width="13.21875" style="1638" customWidth="1"/>
    <col min="2307" max="2307" width="15.6640625" style="1638" customWidth="1"/>
    <col min="2308" max="2308" width="9.33203125" style="1638" bestFit="1" customWidth="1"/>
    <col min="2309" max="2309" width="13.44140625" style="1638" customWidth="1"/>
    <col min="2310" max="2310" width="9" style="1638"/>
    <col min="2311" max="2311" width="9.33203125" style="1638" bestFit="1" customWidth="1"/>
    <col min="2312" max="2313" width="9" style="1638"/>
    <col min="2314" max="2314" width="9.33203125" style="1638" bestFit="1" customWidth="1"/>
    <col min="2315" max="2315" width="4" style="1638" customWidth="1"/>
    <col min="2316" max="2316" width="5.109375" style="1638" customWidth="1"/>
    <col min="2317" max="2317" width="13.77734375" style="1638" customWidth="1"/>
    <col min="2318" max="2560" width="9" style="1638"/>
    <col min="2561" max="2561" width="4.88671875" style="1638" customWidth="1"/>
    <col min="2562" max="2562" width="13.21875" style="1638" customWidth="1"/>
    <col min="2563" max="2563" width="15.6640625" style="1638" customWidth="1"/>
    <col min="2564" max="2564" width="9.33203125" style="1638" bestFit="1" customWidth="1"/>
    <col min="2565" max="2565" width="13.44140625" style="1638" customWidth="1"/>
    <col min="2566" max="2566" width="9" style="1638"/>
    <col min="2567" max="2567" width="9.33203125" style="1638" bestFit="1" customWidth="1"/>
    <col min="2568" max="2569" width="9" style="1638"/>
    <col min="2570" max="2570" width="9.33203125" style="1638" bestFit="1" customWidth="1"/>
    <col min="2571" max="2571" width="4" style="1638" customWidth="1"/>
    <col min="2572" max="2572" width="5.109375" style="1638" customWidth="1"/>
    <col min="2573" max="2573" width="13.77734375" style="1638" customWidth="1"/>
    <col min="2574" max="2816" width="9" style="1638"/>
    <col min="2817" max="2817" width="4.88671875" style="1638" customWidth="1"/>
    <col min="2818" max="2818" width="13.21875" style="1638" customWidth="1"/>
    <col min="2819" max="2819" width="15.6640625" style="1638" customWidth="1"/>
    <col min="2820" max="2820" width="9.33203125" style="1638" bestFit="1" customWidth="1"/>
    <col min="2821" max="2821" width="13.44140625" style="1638" customWidth="1"/>
    <col min="2822" max="2822" width="9" style="1638"/>
    <col min="2823" max="2823" width="9.33203125" style="1638" bestFit="1" customWidth="1"/>
    <col min="2824" max="2825" width="9" style="1638"/>
    <col min="2826" max="2826" width="9.33203125" style="1638" bestFit="1" customWidth="1"/>
    <col min="2827" max="2827" width="4" style="1638" customWidth="1"/>
    <col min="2828" max="2828" width="5.109375" style="1638" customWidth="1"/>
    <col min="2829" max="2829" width="13.77734375" style="1638" customWidth="1"/>
    <col min="2830" max="3072" width="9" style="1638"/>
    <col min="3073" max="3073" width="4.88671875" style="1638" customWidth="1"/>
    <col min="3074" max="3074" width="13.21875" style="1638" customWidth="1"/>
    <col min="3075" max="3075" width="15.6640625" style="1638" customWidth="1"/>
    <col min="3076" max="3076" width="9.33203125" style="1638" bestFit="1" customWidth="1"/>
    <col min="3077" max="3077" width="13.44140625" style="1638" customWidth="1"/>
    <col min="3078" max="3078" width="9" style="1638"/>
    <col min="3079" max="3079" width="9.33203125" style="1638" bestFit="1" customWidth="1"/>
    <col min="3080" max="3081" width="9" style="1638"/>
    <col min="3082" max="3082" width="9.33203125" style="1638" bestFit="1" customWidth="1"/>
    <col min="3083" max="3083" width="4" style="1638" customWidth="1"/>
    <col min="3084" max="3084" width="5.109375" style="1638" customWidth="1"/>
    <col min="3085" max="3085" width="13.77734375" style="1638" customWidth="1"/>
    <col min="3086" max="3328" width="9" style="1638"/>
    <col min="3329" max="3329" width="4.88671875" style="1638" customWidth="1"/>
    <col min="3330" max="3330" width="13.21875" style="1638" customWidth="1"/>
    <col min="3331" max="3331" width="15.6640625" style="1638" customWidth="1"/>
    <col min="3332" max="3332" width="9.33203125" style="1638" bestFit="1" customWidth="1"/>
    <col min="3333" max="3333" width="13.44140625" style="1638" customWidth="1"/>
    <col min="3334" max="3334" width="9" style="1638"/>
    <col min="3335" max="3335" width="9.33203125" style="1638" bestFit="1" customWidth="1"/>
    <col min="3336" max="3337" width="9" style="1638"/>
    <col min="3338" max="3338" width="9.33203125" style="1638" bestFit="1" customWidth="1"/>
    <col min="3339" max="3339" width="4" style="1638" customWidth="1"/>
    <col min="3340" max="3340" width="5.109375" style="1638" customWidth="1"/>
    <col min="3341" max="3341" width="13.77734375" style="1638" customWidth="1"/>
    <col min="3342" max="3584" width="9" style="1638"/>
    <col min="3585" max="3585" width="4.88671875" style="1638" customWidth="1"/>
    <col min="3586" max="3586" width="13.21875" style="1638" customWidth="1"/>
    <col min="3587" max="3587" width="15.6640625" style="1638" customWidth="1"/>
    <col min="3588" max="3588" width="9.33203125" style="1638" bestFit="1" customWidth="1"/>
    <col min="3589" max="3589" width="13.44140625" style="1638" customWidth="1"/>
    <col min="3590" max="3590" width="9" style="1638"/>
    <col min="3591" max="3591" width="9.33203125" style="1638" bestFit="1" customWidth="1"/>
    <col min="3592" max="3593" width="9" style="1638"/>
    <col min="3594" max="3594" width="9.33203125" style="1638" bestFit="1" customWidth="1"/>
    <col min="3595" max="3595" width="4" style="1638" customWidth="1"/>
    <col min="3596" max="3596" width="5.109375" style="1638" customWidth="1"/>
    <col min="3597" max="3597" width="13.77734375" style="1638" customWidth="1"/>
    <col min="3598" max="3840" width="9" style="1638"/>
    <col min="3841" max="3841" width="4.88671875" style="1638" customWidth="1"/>
    <col min="3842" max="3842" width="13.21875" style="1638" customWidth="1"/>
    <col min="3843" max="3843" width="15.6640625" style="1638" customWidth="1"/>
    <col min="3844" max="3844" width="9.33203125" style="1638" bestFit="1" customWidth="1"/>
    <col min="3845" max="3845" width="13.44140625" style="1638" customWidth="1"/>
    <col min="3846" max="3846" width="9" style="1638"/>
    <col min="3847" max="3847" width="9.33203125" style="1638" bestFit="1" customWidth="1"/>
    <col min="3848" max="3849" width="9" style="1638"/>
    <col min="3850" max="3850" width="9.33203125" style="1638" bestFit="1" customWidth="1"/>
    <col min="3851" max="3851" width="4" style="1638" customWidth="1"/>
    <col min="3852" max="3852" width="5.109375" style="1638" customWidth="1"/>
    <col min="3853" max="3853" width="13.77734375" style="1638" customWidth="1"/>
    <col min="3854" max="4096" width="9" style="1638"/>
    <col min="4097" max="4097" width="4.88671875" style="1638" customWidth="1"/>
    <col min="4098" max="4098" width="13.21875" style="1638" customWidth="1"/>
    <col min="4099" max="4099" width="15.6640625" style="1638" customWidth="1"/>
    <col min="4100" max="4100" width="9.33203125" style="1638" bestFit="1" customWidth="1"/>
    <col min="4101" max="4101" width="13.44140625" style="1638" customWidth="1"/>
    <col min="4102" max="4102" width="9" style="1638"/>
    <col min="4103" max="4103" width="9.33203125" style="1638" bestFit="1" customWidth="1"/>
    <col min="4104" max="4105" width="9" style="1638"/>
    <col min="4106" max="4106" width="9.33203125" style="1638" bestFit="1" customWidth="1"/>
    <col min="4107" max="4107" width="4" style="1638" customWidth="1"/>
    <col min="4108" max="4108" width="5.109375" style="1638" customWidth="1"/>
    <col min="4109" max="4109" width="13.77734375" style="1638" customWidth="1"/>
    <col min="4110" max="4352" width="9" style="1638"/>
    <col min="4353" max="4353" width="4.88671875" style="1638" customWidth="1"/>
    <col min="4354" max="4354" width="13.21875" style="1638" customWidth="1"/>
    <col min="4355" max="4355" width="15.6640625" style="1638" customWidth="1"/>
    <col min="4356" max="4356" width="9.33203125" style="1638" bestFit="1" customWidth="1"/>
    <col min="4357" max="4357" width="13.44140625" style="1638" customWidth="1"/>
    <col min="4358" max="4358" width="9" style="1638"/>
    <col min="4359" max="4359" width="9.33203125" style="1638" bestFit="1" customWidth="1"/>
    <col min="4360" max="4361" width="9" style="1638"/>
    <col min="4362" max="4362" width="9.33203125" style="1638" bestFit="1" customWidth="1"/>
    <col min="4363" max="4363" width="4" style="1638" customWidth="1"/>
    <col min="4364" max="4364" width="5.109375" style="1638" customWidth="1"/>
    <col min="4365" max="4365" width="13.77734375" style="1638" customWidth="1"/>
    <col min="4366" max="4608" width="9" style="1638"/>
    <col min="4609" max="4609" width="4.88671875" style="1638" customWidth="1"/>
    <col min="4610" max="4610" width="13.21875" style="1638" customWidth="1"/>
    <col min="4611" max="4611" width="15.6640625" style="1638" customWidth="1"/>
    <col min="4612" max="4612" width="9.33203125" style="1638" bestFit="1" customWidth="1"/>
    <col min="4613" max="4613" width="13.44140625" style="1638" customWidth="1"/>
    <col min="4614" max="4614" width="9" style="1638"/>
    <col min="4615" max="4615" width="9.33203125" style="1638" bestFit="1" customWidth="1"/>
    <col min="4616" max="4617" width="9" style="1638"/>
    <col min="4618" max="4618" width="9.33203125" style="1638" bestFit="1" customWidth="1"/>
    <col min="4619" max="4619" width="4" style="1638" customWidth="1"/>
    <col min="4620" max="4620" width="5.109375" style="1638" customWidth="1"/>
    <col min="4621" max="4621" width="13.77734375" style="1638" customWidth="1"/>
    <col min="4622" max="4864" width="9" style="1638"/>
    <col min="4865" max="4865" width="4.88671875" style="1638" customWidth="1"/>
    <col min="4866" max="4866" width="13.21875" style="1638" customWidth="1"/>
    <col min="4867" max="4867" width="15.6640625" style="1638" customWidth="1"/>
    <col min="4868" max="4868" width="9.33203125" style="1638" bestFit="1" customWidth="1"/>
    <col min="4869" max="4869" width="13.44140625" style="1638" customWidth="1"/>
    <col min="4870" max="4870" width="9" style="1638"/>
    <col min="4871" max="4871" width="9.33203125" style="1638" bestFit="1" customWidth="1"/>
    <col min="4872" max="4873" width="9" style="1638"/>
    <col min="4874" max="4874" width="9.33203125" style="1638" bestFit="1" customWidth="1"/>
    <col min="4875" max="4875" width="4" style="1638" customWidth="1"/>
    <col min="4876" max="4876" width="5.109375" style="1638" customWidth="1"/>
    <col min="4877" max="4877" width="13.77734375" style="1638" customWidth="1"/>
    <col min="4878" max="5120" width="9" style="1638"/>
    <col min="5121" max="5121" width="4.88671875" style="1638" customWidth="1"/>
    <col min="5122" max="5122" width="13.21875" style="1638" customWidth="1"/>
    <col min="5123" max="5123" width="15.6640625" style="1638" customWidth="1"/>
    <col min="5124" max="5124" width="9.33203125" style="1638" bestFit="1" customWidth="1"/>
    <col min="5125" max="5125" width="13.44140625" style="1638" customWidth="1"/>
    <col min="5126" max="5126" width="9" style="1638"/>
    <col min="5127" max="5127" width="9.33203125" style="1638" bestFit="1" customWidth="1"/>
    <col min="5128" max="5129" width="9" style="1638"/>
    <col min="5130" max="5130" width="9.33203125" style="1638" bestFit="1" customWidth="1"/>
    <col min="5131" max="5131" width="4" style="1638" customWidth="1"/>
    <col min="5132" max="5132" width="5.109375" style="1638" customWidth="1"/>
    <col min="5133" max="5133" width="13.77734375" style="1638" customWidth="1"/>
    <col min="5134" max="5376" width="9" style="1638"/>
    <col min="5377" max="5377" width="4.88671875" style="1638" customWidth="1"/>
    <col min="5378" max="5378" width="13.21875" style="1638" customWidth="1"/>
    <col min="5379" max="5379" width="15.6640625" style="1638" customWidth="1"/>
    <col min="5380" max="5380" width="9.33203125" style="1638" bestFit="1" customWidth="1"/>
    <col min="5381" max="5381" width="13.44140625" style="1638" customWidth="1"/>
    <col min="5382" max="5382" width="9" style="1638"/>
    <col min="5383" max="5383" width="9.33203125" style="1638" bestFit="1" customWidth="1"/>
    <col min="5384" max="5385" width="9" style="1638"/>
    <col min="5386" max="5386" width="9.33203125" style="1638" bestFit="1" customWidth="1"/>
    <col min="5387" max="5387" width="4" style="1638" customWidth="1"/>
    <col min="5388" max="5388" width="5.109375" style="1638" customWidth="1"/>
    <col min="5389" max="5389" width="13.77734375" style="1638" customWidth="1"/>
    <col min="5390" max="5632" width="9" style="1638"/>
    <col min="5633" max="5633" width="4.88671875" style="1638" customWidth="1"/>
    <col min="5634" max="5634" width="13.21875" style="1638" customWidth="1"/>
    <col min="5635" max="5635" width="15.6640625" style="1638" customWidth="1"/>
    <col min="5636" max="5636" width="9.33203125" style="1638" bestFit="1" customWidth="1"/>
    <col min="5637" max="5637" width="13.44140625" style="1638" customWidth="1"/>
    <col min="5638" max="5638" width="9" style="1638"/>
    <col min="5639" max="5639" width="9.33203125" style="1638" bestFit="1" customWidth="1"/>
    <col min="5640" max="5641" width="9" style="1638"/>
    <col min="5642" max="5642" width="9.33203125" style="1638" bestFit="1" customWidth="1"/>
    <col min="5643" max="5643" width="4" style="1638" customWidth="1"/>
    <col min="5644" max="5644" width="5.109375" style="1638" customWidth="1"/>
    <col min="5645" max="5645" width="13.77734375" style="1638" customWidth="1"/>
    <col min="5646" max="5888" width="9" style="1638"/>
    <col min="5889" max="5889" width="4.88671875" style="1638" customWidth="1"/>
    <col min="5890" max="5890" width="13.21875" style="1638" customWidth="1"/>
    <col min="5891" max="5891" width="15.6640625" style="1638" customWidth="1"/>
    <col min="5892" max="5892" width="9.33203125" style="1638" bestFit="1" customWidth="1"/>
    <col min="5893" max="5893" width="13.44140625" style="1638" customWidth="1"/>
    <col min="5894" max="5894" width="9" style="1638"/>
    <col min="5895" max="5895" width="9.33203125" style="1638" bestFit="1" customWidth="1"/>
    <col min="5896" max="5897" width="9" style="1638"/>
    <col min="5898" max="5898" width="9.33203125" style="1638" bestFit="1" customWidth="1"/>
    <col min="5899" max="5899" width="4" style="1638" customWidth="1"/>
    <col min="5900" max="5900" width="5.109375" style="1638" customWidth="1"/>
    <col min="5901" max="5901" width="13.77734375" style="1638" customWidth="1"/>
    <col min="5902" max="6144" width="9" style="1638"/>
    <col min="6145" max="6145" width="4.88671875" style="1638" customWidth="1"/>
    <col min="6146" max="6146" width="13.21875" style="1638" customWidth="1"/>
    <col min="6147" max="6147" width="15.6640625" style="1638" customWidth="1"/>
    <col min="6148" max="6148" width="9.33203125" style="1638" bestFit="1" customWidth="1"/>
    <col min="6149" max="6149" width="13.44140625" style="1638" customWidth="1"/>
    <col min="6150" max="6150" width="9" style="1638"/>
    <col min="6151" max="6151" width="9.33203125" style="1638" bestFit="1" customWidth="1"/>
    <col min="6152" max="6153" width="9" style="1638"/>
    <col min="6154" max="6154" width="9.33203125" style="1638" bestFit="1" customWidth="1"/>
    <col min="6155" max="6155" width="4" style="1638" customWidth="1"/>
    <col min="6156" max="6156" width="5.109375" style="1638" customWidth="1"/>
    <col min="6157" max="6157" width="13.77734375" style="1638" customWidth="1"/>
    <col min="6158" max="6400" width="9" style="1638"/>
    <col min="6401" max="6401" width="4.88671875" style="1638" customWidth="1"/>
    <col min="6402" max="6402" width="13.21875" style="1638" customWidth="1"/>
    <col min="6403" max="6403" width="15.6640625" style="1638" customWidth="1"/>
    <col min="6404" max="6404" width="9.33203125" style="1638" bestFit="1" customWidth="1"/>
    <col min="6405" max="6405" width="13.44140625" style="1638" customWidth="1"/>
    <col min="6406" max="6406" width="9" style="1638"/>
    <col min="6407" max="6407" width="9.33203125" style="1638" bestFit="1" customWidth="1"/>
    <col min="6408" max="6409" width="9" style="1638"/>
    <col min="6410" max="6410" width="9.33203125" style="1638" bestFit="1" customWidth="1"/>
    <col min="6411" max="6411" width="4" style="1638" customWidth="1"/>
    <col min="6412" max="6412" width="5.109375" style="1638" customWidth="1"/>
    <col min="6413" max="6413" width="13.77734375" style="1638" customWidth="1"/>
    <col min="6414" max="6656" width="9" style="1638"/>
    <col min="6657" max="6657" width="4.88671875" style="1638" customWidth="1"/>
    <col min="6658" max="6658" width="13.21875" style="1638" customWidth="1"/>
    <col min="6659" max="6659" width="15.6640625" style="1638" customWidth="1"/>
    <col min="6660" max="6660" width="9.33203125" style="1638" bestFit="1" customWidth="1"/>
    <col min="6661" max="6661" width="13.44140625" style="1638" customWidth="1"/>
    <col min="6662" max="6662" width="9" style="1638"/>
    <col min="6663" max="6663" width="9.33203125" style="1638" bestFit="1" customWidth="1"/>
    <col min="6664" max="6665" width="9" style="1638"/>
    <col min="6666" max="6666" width="9.33203125" style="1638" bestFit="1" customWidth="1"/>
    <col min="6667" max="6667" width="4" style="1638" customWidth="1"/>
    <col min="6668" max="6668" width="5.109375" style="1638" customWidth="1"/>
    <col min="6669" max="6669" width="13.77734375" style="1638" customWidth="1"/>
    <col min="6670" max="6912" width="9" style="1638"/>
    <col min="6913" max="6913" width="4.88671875" style="1638" customWidth="1"/>
    <col min="6914" max="6914" width="13.21875" style="1638" customWidth="1"/>
    <col min="6915" max="6915" width="15.6640625" style="1638" customWidth="1"/>
    <col min="6916" max="6916" width="9.33203125" style="1638" bestFit="1" customWidth="1"/>
    <col min="6917" max="6917" width="13.44140625" style="1638" customWidth="1"/>
    <col min="6918" max="6918" width="9" style="1638"/>
    <col min="6919" max="6919" width="9.33203125" style="1638" bestFit="1" customWidth="1"/>
    <col min="6920" max="6921" width="9" style="1638"/>
    <col min="6922" max="6922" width="9.33203125" style="1638" bestFit="1" customWidth="1"/>
    <col min="6923" max="6923" width="4" style="1638" customWidth="1"/>
    <col min="6924" max="6924" width="5.109375" style="1638" customWidth="1"/>
    <col min="6925" max="6925" width="13.77734375" style="1638" customWidth="1"/>
    <col min="6926" max="7168" width="9" style="1638"/>
    <col min="7169" max="7169" width="4.88671875" style="1638" customWidth="1"/>
    <col min="7170" max="7170" width="13.21875" style="1638" customWidth="1"/>
    <col min="7171" max="7171" width="15.6640625" style="1638" customWidth="1"/>
    <col min="7172" max="7172" width="9.33203125" style="1638" bestFit="1" customWidth="1"/>
    <col min="7173" max="7173" width="13.44140625" style="1638" customWidth="1"/>
    <col min="7174" max="7174" width="9" style="1638"/>
    <col min="7175" max="7175" width="9.33203125" style="1638" bestFit="1" customWidth="1"/>
    <col min="7176" max="7177" width="9" style="1638"/>
    <col min="7178" max="7178" width="9.33203125" style="1638" bestFit="1" customWidth="1"/>
    <col min="7179" max="7179" width="4" style="1638" customWidth="1"/>
    <col min="7180" max="7180" width="5.109375" style="1638" customWidth="1"/>
    <col min="7181" max="7181" width="13.77734375" style="1638" customWidth="1"/>
    <col min="7182" max="7424" width="9" style="1638"/>
    <col min="7425" max="7425" width="4.88671875" style="1638" customWidth="1"/>
    <col min="7426" max="7426" width="13.21875" style="1638" customWidth="1"/>
    <col min="7427" max="7427" width="15.6640625" style="1638" customWidth="1"/>
    <col min="7428" max="7428" width="9.33203125" style="1638" bestFit="1" customWidth="1"/>
    <col min="7429" max="7429" width="13.44140625" style="1638" customWidth="1"/>
    <col min="7430" max="7430" width="9" style="1638"/>
    <col min="7431" max="7431" width="9.33203125" style="1638" bestFit="1" customWidth="1"/>
    <col min="7432" max="7433" width="9" style="1638"/>
    <col min="7434" max="7434" width="9.33203125" style="1638" bestFit="1" customWidth="1"/>
    <col min="7435" max="7435" width="4" style="1638" customWidth="1"/>
    <col min="7436" max="7436" width="5.109375" style="1638" customWidth="1"/>
    <col min="7437" max="7437" width="13.77734375" style="1638" customWidth="1"/>
    <col min="7438" max="7680" width="9" style="1638"/>
    <col min="7681" max="7681" width="4.88671875" style="1638" customWidth="1"/>
    <col min="7682" max="7682" width="13.21875" style="1638" customWidth="1"/>
    <col min="7683" max="7683" width="15.6640625" style="1638" customWidth="1"/>
    <col min="7684" max="7684" width="9.33203125" style="1638" bestFit="1" customWidth="1"/>
    <col min="7685" max="7685" width="13.44140625" style="1638" customWidth="1"/>
    <col min="7686" max="7686" width="9" style="1638"/>
    <col min="7687" max="7687" width="9.33203125" style="1638" bestFit="1" customWidth="1"/>
    <col min="7688" max="7689" width="9" style="1638"/>
    <col min="7690" max="7690" width="9.33203125" style="1638" bestFit="1" customWidth="1"/>
    <col min="7691" max="7691" width="4" style="1638" customWidth="1"/>
    <col min="7692" max="7692" width="5.109375" style="1638" customWidth="1"/>
    <col min="7693" max="7693" width="13.77734375" style="1638" customWidth="1"/>
    <col min="7694" max="7936" width="9" style="1638"/>
    <col min="7937" max="7937" width="4.88671875" style="1638" customWidth="1"/>
    <col min="7938" max="7938" width="13.21875" style="1638" customWidth="1"/>
    <col min="7939" max="7939" width="15.6640625" style="1638" customWidth="1"/>
    <col min="7940" max="7940" width="9.33203125" style="1638" bestFit="1" customWidth="1"/>
    <col min="7941" max="7941" width="13.44140625" style="1638" customWidth="1"/>
    <col min="7942" max="7942" width="9" style="1638"/>
    <col min="7943" max="7943" width="9.33203125" style="1638" bestFit="1" customWidth="1"/>
    <col min="7944" max="7945" width="9" style="1638"/>
    <col min="7946" max="7946" width="9.33203125" style="1638" bestFit="1" customWidth="1"/>
    <col min="7947" max="7947" width="4" style="1638" customWidth="1"/>
    <col min="7948" max="7948" width="5.109375" style="1638" customWidth="1"/>
    <col min="7949" max="7949" width="13.77734375" style="1638" customWidth="1"/>
    <col min="7950" max="8192" width="9" style="1638"/>
    <col min="8193" max="8193" width="4.88671875" style="1638" customWidth="1"/>
    <col min="8194" max="8194" width="13.21875" style="1638" customWidth="1"/>
    <col min="8195" max="8195" width="15.6640625" style="1638" customWidth="1"/>
    <col min="8196" max="8196" width="9.33203125" style="1638" bestFit="1" customWidth="1"/>
    <col min="8197" max="8197" width="13.44140625" style="1638" customWidth="1"/>
    <col min="8198" max="8198" width="9" style="1638"/>
    <col min="8199" max="8199" width="9.33203125" style="1638" bestFit="1" customWidth="1"/>
    <col min="8200" max="8201" width="9" style="1638"/>
    <col min="8202" max="8202" width="9.33203125" style="1638" bestFit="1" customWidth="1"/>
    <col min="8203" max="8203" width="4" style="1638" customWidth="1"/>
    <col min="8204" max="8204" width="5.109375" style="1638" customWidth="1"/>
    <col min="8205" max="8205" width="13.77734375" style="1638" customWidth="1"/>
    <col min="8206" max="8448" width="9" style="1638"/>
    <col min="8449" max="8449" width="4.88671875" style="1638" customWidth="1"/>
    <col min="8450" max="8450" width="13.21875" style="1638" customWidth="1"/>
    <col min="8451" max="8451" width="15.6640625" style="1638" customWidth="1"/>
    <col min="8452" max="8452" width="9.33203125" style="1638" bestFit="1" customWidth="1"/>
    <col min="8453" max="8453" width="13.44140625" style="1638" customWidth="1"/>
    <col min="8454" max="8454" width="9" style="1638"/>
    <col min="8455" max="8455" width="9.33203125" style="1638" bestFit="1" customWidth="1"/>
    <col min="8456" max="8457" width="9" style="1638"/>
    <col min="8458" max="8458" width="9.33203125" style="1638" bestFit="1" customWidth="1"/>
    <col min="8459" max="8459" width="4" style="1638" customWidth="1"/>
    <col min="8460" max="8460" width="5.109375" style="1638" customWidth="1"/>
    <col min="8461" max="8461" width="13.77734375" style="1638" customWidth="1"/>
    <col min="8462" max="8704" width="9" style="1638"/>
    <col min="8705" max="8705" width="4.88671875" style="1638" customWidth="1"/>
    <col min="8706" max="8706" width="13.21875" style="1638" customWidth="1"/>
    <col min="8707" max="8707" width="15.6640625" style="1638" customWidth="1"/>
    <col min="8708" max="8708" width="9.33203125" style="1638" bestFit="1" customWidth="1"/>
    <col min="8709" max="8709" width="13.44140625" style="1638" customWidth="1"/>
    <col min="8710" max="8710" width="9" style="1638"/>
    <col min="8711" max="8711" width="9.33203125" style="1638" bestFit="1" customWidth="1"/>
    <col min="8712" max="8713" width="9" style="1638"/>
    <col min="8714" max="8714" width="9.33203125" style="1638" bestFit="1" customWidth="1"/>
    <col min="8715" max="8715" width="4" style="1638" customWidth="1"/>
    <col min="8716" max="8716" width="5.109375" style="1638" customWidth="1"/>
    <col min="8717" max="8717" width="13.77734375" style="1638" customWidth="1"/>
    <col min="8718" max="8960" width="9" style="1638"/>
    <col min="8961" max="8961" width="4.88671875" style="1638" customWidth="1"/>
    <col min="8962" max="8962" width="13.21875" style="1638" customWidth="1"/>
    <col min="8963" max="8963" width="15.6640625" style="1638" customWidth="1"/>
    <col min="8964" max="8964" width="9.33203125" style="1638" bestFit="1" customWidth="1"/>
    <col min="8965" max="8965" width="13.44140625" style="1638" customWidth="1"/>
    <col min="8966" max="8966" width="9" style="1638"/>
    <col min="8967" max="8967" width="9.33203125" style="1638" bestFit="1" customWidth="1"/>
    <col min="8968" max="8969" width="9" style="1638"/>
    <col min="8970" max="8970" width="9.33203125" style="1638" bestFit="1" customWidth="1"/>
    <col min="8971" max="8971" width="4" style="1638" customWidth="1"/>
    <col min="8972" max="8972" width="5.109375" style="1638" customWidth="1"/>
    <col min="8973" max="8973" width="13.77734375" style="1638" customWidth="1"/>
    <col min="8974" max="9216" width="9" style="1638"/>
    <col min="9217" max="9217" width="4.88671875" style="1638" customWidth="1"/>
    <col min="9218" max="9218" width="13.21875" style="1638" customWidth="1"/>
    <col min="9219" max="9219" width="15.6640625" style="1638" customWidth="1"/>
    <col min="9220" max="9220" width="9.33203125" style="1638" bestFit="1" customWidth="1"/>
    <col min="9221" max="9221" width="13.44140625" style="1638" customWidth="1"/>
    <col min="9222" max="9222" width="9" style="1638"/>
    <col min="9223" max="9223" width="9.33203125" style="1638" bestFit="1" customWidth="1"/>
    <col min="9224" max="9225" width="9" style="1638"/>
    <col min="9226" max="9226" width="9.33203125" style="1638" bestFit="1" customWidth="1"/>
    <col min="9227" max="9227" width="4" style="1638" customWidth="1"/>
    <col min="9228" max="9228" width="5.109375" style="1638" customWidth="1"/>
    <col min="9229" max="9229" width="13.77734375" style="1638" customWidth="1"/>
    <col min="9230" max="9472" width="9" style="1638"/>
    <col min="9473" max="9473" width="4.88671875" style="1638" customWidth="1"/>
    <col min="9474" max="9474" width="13.21875" style="1638" customWidth="1"/>
    <col min="9475" max="9475" width="15.6640625" style="1638" customWidth="1"/>
    <col min="9476" max="9476" width="9.33203125" style="1638" bestFit="1" customWidth="1"/>
    <col min="9477" max="9477" width="13.44140625" style="1638" customWidth="1"/>
    <col min="9478" max="9478" width="9" style="1638"/>
    <col min="9479" max="9479" width="9.33203125" style="1638" bestFit="1" customWidth="1"/>
    <col min="9480" max="9481" width="9" style="1638"/>
    <col min="9482" max="9482" width="9.33203125" style="1638" bestFit="1" customWidth="1"/>
    <col min="9483" max="9483" width="4" style="1638" customWidth="1"/>
    <col min="9484" max="9484" width="5.109375" style="1638" customWidth="1"/>
    <col min="9485" max="9485" width="13.77734375" style="1638" customWidth="1"/>
    <col min="9486" max="9728" width="9" style="1638"/>
    <col min="9729" max="9729" width="4.88671875" style="1638" customWidth="1"/>
    <col min="9730" max="9730" width="13.21875" style="1638" customWidth="1"/>
    <col min="9731" max="9731" width="15.6640625" style="1638" customWidth="1"/>
    <col min="9732" max="9732" width="9.33203125" style="1638" bestFit="1" customWidth="1"/>
    <col min="9733" max="9733" width="13.44140625" style="1638" customWidth="1"/>
    <col min="9734" max="9734" width="9" style="1638"/>
    <col min="9735" max="9735" width="9.33203125" style="1638" bestFit="1" customWidth="1"/>
    <col min="9736" max="9737" width="9" style="1638"/>
    <col min="9738" max="9738" width="9.33203125" style="1638" bestFit="1" customWidth="1"/>
    <col min="9739" max="9739" width="4" style="1638" customWidth="1"/>
    <col min="9740" max="9740" width="5.109375" style="1638" customWidth="1"/>
    <col min="9741" max="9741" width="13.77734375" style="1638" customWidth="1"/>
    <col min="9742" max="9984" width="9" style="1638"/>
    <col min="9985" max="9985" width="4.88671875" style="1638" customWidth="1"/>
    <col min="9986" max="9986" width="13.21875" style="1638" customWidth="1"/>
    <col min="9987" max="9987" width="15.6640625" style="1638" customWidth="1"/>
    <col min="9988" max="9988" width="9.33203125" style="1638" bestFit="1" customWidth="1"/>
    <col min="9989" max="9989" width="13.44140625" style="1638" customWidth="1"/>
    <col min="9990" max="9990" width="9" style="1638"/>
    <col min="9991" max="9991" width="9.33203125" style="1638" bestFit="1" customWidth="1"/>
    <col min="9992" max="9993" width="9" style="1638"/>
    <col min="9994" max="9994" width="9.33203125" style="1638" bestFit="1" customWidth="1"/>
    <col min="9995" max="9995" width="4" style="1638" customWidth="1"/>
    <col min="9996" max="9996" width="5.109375" style="1638" customWidth="1"/>
    <col min="9997" max="9997" width="13.77734375" style="1638" customWidth="1"/>
    <col min="9998" max="10240" width="9" style="1638"/>
    <col min="10241" max="10241" width="4.88671875" style="1638" customWidth="1"/>
    <col min="10242" max="10242" width="13.21875" style="1638" customWidth="1"/>
    <col min="10243" max="10243" width="15.6640625" style="1638" customWidth="1"/>
    <col min="10244" max="10244" width="9.33203125" style="1638" bestFit="1" customWidth="1"/>
    <col min="10245" max="10245" width="13.44140625" style="1638" customWidth="1"/>
    <col min="10246" max="10246" width="9" style="1638"/>
    <col min="10247" max="10247" width="9.33203125" style="1638" bestFit="1" customWidth="1"/>
    <col min="10248" max="10249" width="9" style="1638"/>
    <col min="10250" max="10250" width="9.33203125" style="1638" bestFit="1" customWidth="1"/>
    <col min="10251" max="10251" width="4" style="1638" customWidth="1"/>
    <col min="10252" max="10252" width="5.109375" style="1638" customWidth="1"/>
    <col min="10253" max="10253" width="13.77734375" style="1638" customWidth="1"/>
    <col min="10254" max="10496" width="9" style="1638"/>
    <col min="10497" max="10497" width="4.88671875" style="1638" customWidth="1"/>
    <col min="10498" max="10498" width="13.21875" style="1638" customWidth="1"/>
    <col min="10499" max="10499" width="15.6640625" style="1638" customWidth="1"/>
    <col min="10500" max="10500" width="9.33203125" style="1638" bestFit="1" customWidth="1"/>
    <col min="10501" max="10501" width="13.44140625" style="1638" customWidth="1"/>
    <col min="10502" max="10502" width="9" style="1638"/>
    <col min="10503" max="10503" width="9.33203125" style="1638" bestFit="1" customWidth="1"/>
    <col min="10504" max="10505" width="9" style="1638"/>
    <col min="10506" max="10506" width="9.33203125" style="1638" bestFit="1" customWidth="1"/>
    <col min="10507" max="10507" width="4" style="1638" customWidth="1"/>
    <col min="10508" max="10508" width="5.109375" style="1638" customWidth="1"/>
    <col min="10509" max="10509" width="13.77734375" style="1638" customWidth="1"/>
    <col min="10510" max="10752" width="9" style="1638"/>
    <col min="10753" max="10753" width="4.88671875" style="1638" customWidth="1"/>
    <col min="10754" max="10754" width="13.21875" style="1638" customWidth="1"/>
    <col min="10755" max="10755" width="15.6640625" style="1638" customWidth="1"/>
    <col min="10756" max="10756" width="9.33203125" style="1638" bestFit="1" customWidth="1"/>
    <col min="10757" max="10757" width="13.44140625" style="1638" customWidth="1"/>
    <col min="10758" max="10758" width="9" style="1638"/>
    <col min="10759" max="10759" width="9.33203125" style="1638" bestFit="1" customWidth="1"/>
    <col min="10760" max="10761" width="9" style="1638"/>
    <col min="10762" max="10762" width="9.33203125" style="1638" bestFit="1" customWidth="1"/>
    <col min="10763" max="10763" width="4" style="1638" customWidth="1"/>
    <col min="10764" max="10764" width="5.109375" style="1638" customWidth="1"/>
    <col min="10765" max="10765" width="13.77734375" style="1638" customWidth="1"/>
    <col min="10766" max="11008" width="9" style="1638"/>
    <col min="11009" max="11009" width="4.88671875" style="1638" customWidth="1"/>
    <col min="11010" max="11010" width="13.21875" style="1638" customWidth="1"/>
    <col min="11011" max="11011" width="15.6640625" style="1638" customWidth="1"/>
    <col min="11012" max="11012" width="9.33203125" style="1638" bestFit="1" customWidth="1"/>
    <col min="11013" max="11013" width="13.44140625" style="1638" customWidth="1"/>
    <col min="11014" max="11014" width="9" style="1638"/>
    <col min="11015" max="11015" width="9.33203125" style="1638" bestFit="1" customWidth="1"/>
    <col min="11016" max="11017" width="9" style="1638"/>
    <col min="11018" max="11018" width="9.33203125" style="1638" bestFit="1" customWidth="1"/>
    <col min="11019" max="11019" width="4" style="1638" customWidth="1"/>
    <col min="11020" max="11020" width="5.109375" style="1638" customWidth="1"/>
    <col min="11021" max="11021" width="13.77734375" style="1638" customWidth="1"/>
    <col min="11022" max="11264" width="9" style="1638"/>
    <col min="11265" max="11265" width="4.88671875" style="1638" customWidth="1"/>
    <col min="11266" max="11266" width="13.21875" style="1638" customWidth="1"/>
    <col min="11267" max="11267" width="15.6640625" style="1638" customWidth="1"/>
    <col min="11268" max="11268" width="9.33203125" style="1638" bestFit="1" customWidth="1"/>
    <col min="11269" max="11269" width="13.44140625" style="1638" customWidth="1"/>
    <col min="11270" max="11270" width="9" style="1638"/>
    <col min="11271" max="11271" width="9.33203125" style="1638" bestFit="1" customWidth="1"/>
    <col min="11272" max="11273" width="9" style="1638"/>
    <col min="11274" max="11274" width="9.33203125" style="1638" bestFit="1" customWidth="1"/>
    <col min="11275" max="11275" width="4" style="1638" customWidth="1"/>
    <col min="11276" max="11276" width="5.109375" style="1638" customWidth="1"/>
    <col min="11277" max="11277" width="13.77734375" style="1638" customWidth="1"/>
    <col min="11278" max="11520" width="9" style="1638"/>
    <col min="11521" max="11521" width="4.88671875" style="1638" customWidth="1"/>
    <col min="11522" max="11522" width="13.21875" style="1638" customWidth="1"/>
    <col min="11523" max="11523" width="15.6640625" style="1638" customWidth="1"/>
    <col min="11524" max="11524" width="9.33203125" style="1638" bestFit="1" customWidth="1"/>
    <col min="11525" max="11525" width="13.44140625" style="1638" customWidth="1"/>
    <col min="11526" max="11526" width="9" style="1638"/>
    <col min="11527" max="11527" width="9.33203125" style="1638" bestFit="1" customWidth="1"/>
    <col min="11528" max="11529" width="9" style="1638"/>
    <col min="11530" max="11530" width="9.33203125" style="1638" bestFit="1" customWidth="1"/>
    <col min="11531" max="11531" width="4" style="1638" customWidth="1"/>
    <col min="11532" max="11532" width="5.109375" style="1638" customWidth="1"/>
    <col min="11533" max="11533" width="13.77734375" style="1638" customWidth="1"/>
    <col min="11534" max="11776" width="9" style="1638"/>
    <col min="11777" max="11777" width="4.88671875" style="1638" customWidth="1"/>
    <col min="11778" max="11778" width="13.21875" style="1638" customWidth="1"/>
    <col min="11779" max="11779" width="15.6640625" style="1638" customWidth="1"/>
    <col min="11780" max="11780" width="9.33203125" style="1638" bestFit="1" customWidth="1"/>
    <col min="11781" max="11781" width="13.44140625" style="1638" customWidth="1"/>
    <col min="11782" max="11782" width="9" style="1638"/>
    <col min="11783" max="11783" width="9.33203125" style="1638" bestFit="1" customWidth="1"/>
    <col min="11784" max="11785" width="9" style="1638"/>
    <col min="11786" max="11786" width="9.33203125" style="1638" bestFit="1" customWidth="1"/>
    <col min="11787" max="11787" width="4" style="1638" customWidth="1"/>
    <col min="11788" max="11788" width="5.109375" style="1638" customWidth="1"/>
    <col min="11789" max="11789" width="13.77734375" style="1638" customWidth="1"/>
    <col min="11790" max="12032" width="9" style="1638"/>
    <col min="12033" max="12033" width="4.88671875" style="1638" customWidth="1"/>
    <col min="12034" max="12034" width="13.21875" style="1638" customWidth="1"/>
    <col min="12035" max="12035" width="15.6640625" style="1638" customWidth="1"/>
    <col min="12036" max="12036" width="9.33203125" style="1638" bestFit="1" customWidth="1"/>
    <col min="12037" max="12037" width="13.44140625" style="1638" customWidth="1"/>
    <col min="12038" max="12038" width="9" style="1638"/>
    <col min="12039" max="12039" width="9.33203125" style="1638" bestFit="1" customWidth="1"/>
    <col min="12040" max="12041" width="9" style="1638"/>
    <col min="12042" max="12042" width="9.33203125" style="1638" bestFit="1" customWidth="1"/>
    <col min="12043" max="12043" width="4" style="1638" customWidth="1"/>
    <col min="12044" max="12044" width="5.109375" style="1638" customWidth="1"/>
    <col min="12045" max="12045" width="13.77734375" style="1638" customWidth="1"/>
    <col min="12046" max="12288" width="9" style="1638"/>
    <col min="12289" max="12289" width="4.88671875" style="1638" customWidth="1"/>
    <col min="12290" max="12290" width="13.21875" style="1638" customWidth="1"/>
    <col min="12291" max="12291" width="15.6640625" style="1638" customWidth="1"/>
    <col min="12292" max="12292" width="9.33203125" style="1638" bestFit="1" customWidth="1"/>
    <col min="12293" max="12293" width="13.44140625" style="1638" customWidth="1"/>
    <col min="12294" max="12294" width="9" style="1638"/>
    <col min="12295" max="12295" width="9.33203125" style="1638" bestFit="1" customWidth="1"/>
    <col min="12296" max="12297" width="9" style="1638"/>
    <col min="12298" max="12298" width="9.33203125" style="1638" bestFit="1" customWidth="1"/>
    <col min="12299" max="12299" width="4" style="1638" customWidth="1"/>
    <col min="12300" max="12300" width="5.109375" style="1638" customWidth="1"/>
    <col min="12301" max="12301" width="13.77734375" style="1638" customWidth="1"/>
    <col min="12302" max="12544" width="9" style="1638"/>
    <col min="12545" max="12545" width="4.88671875" style="1638" customWidth="1"/>
    <col min="12546" max="12546" width="13.21875" style="1638" customWidth="1"/>
    <col min="12547" max="12547" width="15.6640625" style="1638" customWidth="1"/>
    <col min="12548" max="12548" width="9.33203125" style="1638" bestFit="1" customWidth="1"/>
    <col min="12549" max="12549" width="13.44140625" style="1638" customWidth="1"/>
    <col min="12550" max="12550" width="9" style="1638"/>
    <col min="12551" max="12551" width="9.33203125" style="1638" bestFit="1" customWidth="1"/>
    <col min="12552" max="12553" width="9" style="1638"/>
    <col min="12554" max="12554" width="9.33203125" style="1638" bestFit="1" customWidth="1"/>
    <col min="12555" max="12555" width="4" style="1638" customWidth="1"/>
    <col min="12556" max="12556" width="5.109375" style="1638" customWidth="1"/>
    <col min="12557" max="12557" width="13.77734375" style="1638" customWidth="1"/>
    <col min="12558" max="12800" width="9" style="1638"/>
    <col min="12801" max="12801" width="4.88671875" style="1638" customWidth="1"/>
    <col min="12802" max="12802" width="13.21875" style="1638" customWidth="1"/>
    <col min="12803" max="12803" width="15.6640625" style="1638" customWidth="1"/>
    <col min="12804" max="12804" width="9.33203125" style="1638" bestFit="1" customWidth="1"/>
    <col min="12805" max="12805" width="13.44140625" style="1638" customWidth="1"/>
    <col min="12806" max="12806" width="9" style="1638"/>
    <col min="12807" max="12807" width="9.33203125" style="1638" bestFit="1" customWidth="1"/>
    <col min="12808" max="12809" width="9" style="1638"/>
    <col min="12810" max="12810" width="9.33203125" style="1638" bestFit="1" customWidth="1"/>
    <col min="12811" max="12811" width="4" style="1638" customWidth="1"/>
    <col min="12812" max="12812" width="5.109375" style="1638" customWidth="1"/>
    <col min="12813" max="12813" width="13.77734375" style="1638" customWidth="1"/>
    <col min="12814" max="13056" width="9" style="1638"/>
    <col min="13057" max="13057" width="4.88671875" style="1638" customWidth="1"/>
    <col min="13058" max="13058" width="13.21875" style="1638" customWidth="1"/>
    <col min="13059" max="13059" width="15.6640625" style="1638" customWidth="1"/>
    <col min="13060" max="13060" width="9.33203125" style="1638" bestFit="1" customWidth="1"/>
    <col min="13061" max="13061" width="13.44140625" style="1638" customWidth="1"/>
    <col min="13062" max="13062" width="9" style="1638"/>
    <col min="13063" max="13063" width="9.33203125" style="1638" bestFit="1" customWidth="1"/>
    <col min="13064" max="13065" width="9" style="1638"/>
    <col min="13066" max="13066" width="9.33203125" style="1638" bestFit="1" customWidth="1"/>
    <col min="13067" max="13067" width="4" style="1638" customWidth="1"/>
    <col min="13068" max="13068" width="5.109375" style="1638" customWidth="1"/>
    <col min="13069" max="13069" width="13.77734375" style="1638" customWidth="1"/>
    <col min="13070" max="13312" width="9" style="1638"/>
    <col min="13313" max="13313" width="4.88671875" style="1638" customWidth="1"/>
    <col min="13314" max="13314" width="13.21875" style="1638" customWidth="1"/>
    <col min="13315" max="13315" width="15.6640625" style="1638" customWidth="1"/>
    <col min="13316" max="13316" width="9.33203125" style="1638" bestFit="1" customWidth="1"/>
    <col min="13317" max="13317" width="13.44140625" style="1638" customWidth="1"/>
    <col min="13318" max="13318" width="9" style="1638"/>
    <col min="13319" max="13319" width="9.33203125" style="1638" bestFit="1" customWidth="1"/>
    <col min="13320" max="13321" width="9" style="1638"/>
    <col min="13322" max="13322" width="9.33203125" style="1638" bestFit="1" customWidth="1"/>
    <col min="13323" max="13323" width="4" style="1638" customWidth="1"/>
    <col min="13324" max="13324" width="5.109375" style="1638" customWidth="1"/>
    <col min="13325" max="13325" width="13.77734375" style="1638" customWidth="1"/>
    <col min="13326" max="13568" width="9" style="1638"/>
    <col min="13569" max="13569" width="4.88671875" style="1638" customWidth="1"/>
    <col min="13570" max="13570" width="13.21875" style="1638" customWidth="1"/>
    <col min="13571" max="13571" width="15.6640625" style="1638" customWidth="1"/>
    <col min="13572" max="13572" width="9.33203125" style="1638" bestFit="1" customWidth="1"/>
    <col min="13573" max="13573" width="13.44140625" style="1638" customWidth="1"/>
    <col min="13574" max="13574" width="9" style="1638"/>
    <col min="13575" max="13575" width="9.33203125" style="1638" bestFit="1" customWidth="1"/>
    <col min="13576" max="13577" width="9" style="1638"/>
    <col min="13578" max="13578" width="9.33203125" style="1638" bestFit="1" customWidth="1"/>
    <col min="13579" max="13579" width="4" style="1638" customWidth="1"/>
    <col min="13580" max="13580" width="5.109375" style="1638" customWidth="1"/>
    <col min="13581" max="13581" width="13.77734375" style="1638" customWidth="1"/>
    <col min="13582" max="13824" width="9" style="1638"/>
    <col min="13825" max="13825" width="4.88671875" style="1638" customWidth="1"/>
    <col min="13826" max="13826" width="13.21875" style="1638" customWidth="1"/>
    <col min="13827" max="13827" width="15.6640625" style="1638" customWidth="1"/>
    <col min="13828" max="13828" width="9.33203125" style="1638" bestFit="1" customWidth="1"/>
    <col min="13829" max="13829" width="13.44140625" style="1638" customWidth="1"/>
    <col min="13830" max="13830" width="9" style="1638"/>
    <col min="13831" max="13831" width="9.33203125" style="1638" bestFit="1" customWidth="1"/>
    <col min="13832" max="13833" width="9" style="1638"/>
    <col min="13834" max="13834" width="9.33203125" style="1638" bestFit="1" customWidth="1"/>
    <col min="13835" max="13835" width="4" style="1638" customWidth="1"/>
    <col min="13836" max="13836" width="5.109375" style="1638" customWidth="1"/>
    <col min="13837" max="13837" width="13.77734375" style="1638" customWidth="1"/>
    <col min="13838" max="14080" width="9" style="1638"/>
    <col min="14081" max="14081" width="4.88671875" style="1638" customWidth="1"/>
    <col min="14082" max="14082" width="13.21875" style="1638" customWidth="1"/>
    <col min="14083" max="14083" width="15.6640625" style="1638" customWidth="1"/>
    <col min="14084" max="14084" width="9.33203125" style="1638" bestFit="1" customWidth="1"/>
    <col min="14085" max="14085" width="13.44140625" style="1638" customWidth="1"/>
    <col min="14086" max="14086" width="9" style="1638"/>
    <col min="14087" max="14087" width="9.33203125" style="1638" bestFit="1" customWidth="1"/>
    <col min="14088" max="14089" width="9" style="1638"/>
    <col min="14090" max="14090" width="9.33203125" style="1638" bestFit="1" customWidth="1"/>
    <col min="14091" max="14091" width="4" style="1638" customWidth="1"/>
    <col min="14092" max="14092" width="5.109375" style="1638" customWidth="1"/>
    <col min="14093" max="14093" width="13.77734375" style="1638" customWidth="1"/>
    <col min="14094" max="14336" width="9" style="1638"/>
    <col min="14337" max="14337" width="4.88671875" style="1638" customWidth="1"/>
    <col min="14338" max="14338" width="13.21875" style="1638" customWidth="1"/>
    <col min="14339" max="14339" width="15.6640625" style="1638" customWidth="1"/>
    <col min="14340" max="14340" width="9.33203125" style="1638" bestFit="1" customWidth="1"/>
    <col min="14341" max="14341" width="13.44140625" style="1638" customWidth="1"/>
    <col min="14342" max="14342" width="9" style="1638"/>
    <col min="14343" max="14343" width="9.33203125" style="1638" bestFit="1" customWidth="1"/>
    <col min="14344" max="14345" width="9" style="1638"/>
    <col min="14346" max="14346" width="9.33203125" style="1638" bestFit="1" customWidth="1"/>
    <col min="14347" max="14347" width="4" style="1638" customWidth="1"/>
    <col min="14348" max="14348" width="5.109375" style="1638" customWidth="1"/>
    <col min="14349" max="14349" width="13.77734375" style="1638" customWidth="1"/>
    <col min="14350" max="14592" width="9" style="1638"/>
    <col min="14593" max="14593" width="4.88671875" style="1638" customWidth="1"/>
    <col min="14594" max="14594" width="13.21875" style="1638" customWidth="1"/>
    <col min="14595" max="14595" width="15.6640625" style="1638" customWidth="1"/>
    <col min="14596" max="14596" width="9.33203125" style="1638" bestFit="1" customWidth="1"/>
    <col min="14597" max="14597" width="13.44140625" style="1638" customWidth="1"/>
    <col min="14598" max="14598" width="9" style="1638"/>
    <col min="14599" max="14599" width="9.33203125" style="1638" bestFit="1" customWidth="1"/>
    <col min="14600" max="14601" width="9" style="1638"/>
    <col min="14602" max="14602" width="9.33203125" style="1638" bestFit="1" customWidth="1"/>
    <col min="14603" max="14603" width="4" style="1638" customWidth="1"/>
    <col min="14604" max="14604" width="5.109375" style="1638" customWidth="1"/>
    <col min="14605" max="14605" width="13.77734375" style="1638" customWidth="1"/>
    <col min="14606" max="14848" width="9" style="1638"/>
    <col min="14849" max="14849" width="4.88671875" style="1638" customWidth="1"/>
    <col min="14850" max="14850" width="13.21875" style="1638" customWidth="1"/>
    <col min="14851" max="14851" width="15.6640625" style="1638" customWidth="1"/>
    <col min="14852" max="14852" width="9.33203125" style="1638" bestFit="1" customWidth="1"/>
    <col min="14853" max="14853" width="13.44140625" style="1638" customWidth="1"/>
    <col min="14854" max="14854" width="9" style="1638"/>
    <col min="14855" max="14855" width="9.33203125" style="1638" bestFit="1" customWidth="1"/>
    <col min="14856" max="14857" width="9" style="1638"/>
    <col min="14858" max="14858" width="9.33203125" style="1638" bestFit="1" customWidth="1"/>
    <col min="14859" max="14859" width="4" style="1638" customWidth="1"/>
    <col min="14860" max="14860" width="5.109375" style="1638" customWidth="1"/>
    <col min="14861" max="14861" width="13.77734375" style="1638" customWidth="1"/>
    <col min="14862" max="15104" width="9" style="1638"/>
    <col min="15105" max="15105" width="4.88671875" style="1638" customWidth="1"/>
    <col min="15106" max="15106" width="13.21875" style="1638" customWidth="1"/>
    <col min="15107" max="15107" width="15.6640625" style="1638" customWidth="1"/>
    <col min="15108" max="15108" width="9.33203125" style="1638" bestFit="1" customWidth="1"/>
    <col min="15109" max="15109" width="13.44140625" style="1638" customWidth="1"/>
    <col min="15110" max="15110" width="9" style="1638"/>
    <col min="15111" max="15111" width="9.33203125" style="1638" bestFit="1" customWidth="1"/>
    <col min="15112" max="15113" width="9" style="1638"/>
    <col min="15114" max="15114" width="9.33203125" style="1638" bestFit="1" customWidth="1"/>
    <col min="15115" max="15115" width="4" style="1638" customWidth="1"/>
    <col min="15116" max="15116" width="5.109375" style="1638" customWidth="1"/>
    <col min="15117" max="15117" width="13.77734375" style="1638" customWidth="1"/>
    <col min="15118" max="15360" width="9" style="1638"/>
    <col min="15361" max="15361" width="4.88671875" style="1638" customWidth="1"/>
    <col min="15362" max="15362" width="13.21875" style="1638" customWidth="1"/>
    <col min="15363" max="15363" width="15.6640625" style="1638" customWidth="1"/>
    <col min="15364" max="15364" width="9.33203125" style="1638" bestFit="1" customWidth="1"/>
    <col min="15365" max="15365" width="13.44140625" style="1638" customWidth="1"/>
    <col min="15366" max="15366" width="9" style="1638"/>
    <col min="15367" max="15367" width="9.33203125" style="1638" bestFit="1" customWidth="1"/>
    <col min="15368" max="15369" width="9" style="1638"/>
    <col min="15370" max="15370" width="9.33203125" style="1638" bestFit="1" customWidth="1"/>
    <col min="15371" max="15371" width="4" style="1638" customWidth="1"/>
    <col min="15372" max="15372" width="5.109375" style="1638" customWidth="1"/>
    <col min="15373" max="15373" width="13.77734375" style="1638" customWidth="1"/>
    <col min="15374" max="15616" width="9" style="1638"/>
    <col min="15617" max="15617" width="4.88671875" style="1638" customWidth="1"/>
    <col min="15618" max="15618" width="13.21875" style="1638" customWidth="1"/>
    <col min="15619" max="15619" width="15.6640625" style="1638" customWidth="1"/>
    <col min="15620" max="15620" width="9.33203125" style="1638" bestFit="1" customWidth="1"/>
    <col min="15621" max="15621" width="13.44140625" style="1638" customWidth="1"/>
    <col min="15622" max="15622" width="9" style="1638"/>
    <col min="15623" max="15623" width="9.33203125" style="1638" bestFit="1" customWidth="1"/>
    <col min="15624" max="15625" width="9" style="1638"/>
    <col min="15626" max="15626" width="9.33203125" style="1638" bestFit="1" customWidth="1"/>
    <col min="15627" max="15627" width="4" style="1638" customWidth="1"/>
    <col min="15628" max="15628" width="5.109375" style="1638" customWidth="1"/>
    <col min="15629" max="15629" width="13.77734375" style="1638" customWidth="1"/>
    <col min="15630" max="15872" width="9" style="1638"/>
    <col min="15873" max="15873" width="4.88671875" style="1638" customWidth="1"/>
    <col min="15874" max="15874" width="13.21875" style="1638" customWidth="1"/>
    <col min="15875" max="15875" width="15.6640625" style="1638" customWidth="1"/>
    <col min="15876" max="15876" width="9.33203125" style="1638" bestFit="1" customWidth="1"/>
    <col min="15877" max="15877" width="13.44140625" style="1638" customWidth="1"/>
    <col min="15878" max="15878" width="9" style="1638"/>
    <col min="15879" max="15879" width="9.33203125" style="1638" bestFit="1" customWidth="1"/>
    <col min="15880" max="15881" width="9" style="1638"/>
    <col min="15882" max="15882" width="9.33203125" style="1638" bestFit="1" customWidth="1"/>
    <col min="15883" max="15883" width="4" style="1638" customWidth="1"/>
    <col min="15884" max="15884" width="5.109375" style="1638" customWidth="1"/>
    <col min="15885" max="15885" width="13.77734375" style="1638" customWidth="1"/>
    <col min="15886" max="16128" width="9" style="1638"/>
    <col min="16129" max="16129" width="4.88671875" style="1638" customWidth="1"/>
    <col min="16130" max="16130" width="13.21875" style="1638" customWidth="1"/>
    <col min="16131" max="16131" width="15.6640625" style="1638" customWidth="1"/>
    <col min="16132" max="16132" width="9.33203125" style="1638" bestFit="1" customWidth="1"/>
    <col min="16133" max="16133" width="13.44140625" style="1638" customWidth="1"/>
    <col min="16134" max="16134" width="9" style="1638"/>
    <col min="16135" max="16135" width="9.33203125" style="1638" bestFit="1" customWidth="1"/>
    <col min="16136" max="16137" width="9" style="1638"/>
    <col min="16138" max="16138" width="9.33203125" style="1638" bestFit="1" customWidth="1"/>
    <col min="16139" max="16139" width="4" style="1638" customWidth="1"/>
    <col min="16140" max="16140" width="5.109375" style="1638" customWidth="1"/>
    <col min="16141" max="16141" width="13.77734375" style="1638" customWidth="1"/>
    <col min="16142" max="16384" width="9" style="1638"/>
  </cols>
  <sheetData>
    <row r="1" spans="1:257" s="1702" customFormat="1" ht="15" thickBot="1">
      <c r="A1" s="1696"/>
      <c r="B1" s="1703" t="s">
        <v>1300</v>
      </c>
      <c r="C1" s="1697">
        <f>项目基本情况!D3</f>
        <v>43339</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6"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399999999999999">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2">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31.2">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6.8">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5" t="s">
        <v>1372</v>
      </c>
      <c r="E1" s="1779" t="s">
        <v>1376</v>
      </c>
      <c r="F1" s="1780" t="s">
        <v>1380</v>
      </c>
    </row>
    <row r="2" spans="1:13" ht="19.8">
      <c r="A2" s="1786" t="s">
        <v>1373</v>
      </c>
    </row>
    <row r="3" spans="1:13" ht="15.6">
      <c r="A3" s="1787" t="s">
        <v>1374</v>
      </c>
    </row>
    <row r="4" spans="1:13">
      <c r="A4" s="1777" t="s">
        <v>1375</v>
      </c>
      <c r="B4" s="1782" t="s">
        <v>1377</v>
      </c>
      <c r="C4" s="1783"/>
      <c r="D4" s="1784"/>
      <c r="E4" s="1782" t="s">
        <v>27</v>
      </c>
      <c r="F4" s="1783"/>
      <c r="G4" s="1784"/>
      <c r="H4" s="1782" t="s">
        <v>1378</v>
      </c>
      <c r="I4" s="1783"/>
      <c r="J4" s="1784"/>
      <c r="K4" s="1782" t="s">
        <v>6</v>
      </c>
      <c r="L4" s="1783"/>
      <c r="M4" s="1784"/>
    </row>
    <row r="5" spans="1:13">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8" customWidth="1"/>
    <col min="2" max="9" width="12.109375" style="1948" customWidth="1"/>
    <col min="10" max="16384" width="9" style="1948"/>
  </cols>
  <sheetData>
    <row r="1" spans="1:9" ht="18" thickBot="1">
      <c r="A1" s="2969" t="str">
        <f>IF(项目基本情况!B9="房地产市场价值","估价结果一览表","结果表-2")</f>
        <v>结果表-2</v>
      </c>
      <c r="B1" s="2969"/>
      <c r="C1" s="2969"/>
      <c r="D1" s="2969"/>
      <c r="E1" s="2969"/>
      <c r="F1" s="2969"/>
      <c r="G1" s="2969"/>
      <c r="H1" s="2969"/>
      <c r="I1" s="2969"/>
    </row>
    <row r="2" spans="1:9" ht="30" customHeight="1" thickTop="1">
      <c r="A2" s="2970" t="s">
        <v>1641</v>
      </c>
      <c r="B2" s="2970" t="s">
        <v>1642</v>
      </c>
      <c r="C2" s="2970" t="s">
        <v>1643</v>
      </c>
      <c r="D2" s="2970" t="str">
        <f>结果表!D116</f>
        <v>出让国有建设用地使用权价值</v>
      </c>
      <c r="E2" s="2970"/>
      <c r="F2" s="2970" t="str">
        <f>结果表!F116</f>
        <v>在建建筑物价值</v>
      </c>
      <c r="G2" s="2970"/>
      <c r="H2" s="2970" t="str">
        <f>IF(项目基本情况!B9="房地产市场价值","房地产市场价值","房地产价值")</f>
        <v>房地产价值</v>
      </c>
      <c r="I2" s="2970"/>
    </row>
    <row r="3" spans="1:9" ht="15.6">
      <c r="A3" s="2971"/>
      <c r="B3" s="2971"/>
      <c r="C3" s="2971"/>
      <c r="D3" s="1047" t="s">
        <v>1638</v>
      </c>
      <c r="E3" s="1047" t="s">
        <v>1644</v>
      </c>
      <c r="F3" s="1047" t="s">
        <v>1638</v>
      </c>
      <c r="G3" s="1047" t="s">
        <v>1639</v>
      </c>
      <c r="H3" s="1047" t="s">
        <v>1638</v>
      </c>
      <c r="I3" s="1047" t="s">
        <v>1639</v>
      </c>
    </row>
    <row r="4" spans="1:9" ht="30">
      <c r="A4" s="1976" t="str">
        <f>项目基本情况!S2</f>
        <v>河北省廊坊市大厂回族自治县大福南路60号房地产</v>
      </c>
      <c r="B4" s="1047">
        <f>项目基本情况!C17</f>
        <v>36762</v>
      </c>
      <c r="C4" s="1047">
        <f>项目基本情况!C18</f>
        <v>26594.63</v>
      </c>
      <c r="D4" s="1047">
        <f ca="1">结果表!D118</f>
        <v>3542</v>
      </c>
      <c r="E4" s="1047">
        <f ca="1">结果表!E118</f>
        <v>963</v>
      </c>
      <c r="F4" s="1047">
        <f ca="1">结果表!F118</f>
        <v>10347</v>
      </c>
      <c r="G4" s="1047">
        <f ca="1">结果表!G118</f>
        <v>2815</v>
      </c>
      <c r="H4" s="1047">
        <f ca="1">结果表!H118</f>
        <v>13889</v>
      </c>
      <c r="I4" s="1047">
        <f ca="1">结果表!I118</f>
        <v>3778</v>
      </c>
    </row>
    <row r="5" spans="1:9" ht="30" customHeight="1">
      <c r="A5" s="2971" t="s">
        <v>1640</v>
      </c>
      <c r="B5" s="2971"/>
      <c r="C5" s="2971"/>
      <c r="D5" s="2972" t="str">
        <f ca="1">结果表!D119</f>
        <v>叁仟伍佰肆拾贰万元整</v>
      </c>
      <c r="E5" s="2972"/>
      <c r="F5" s="2972" t="str">
        <f ca="1">结果表!F119</f>
        <v>壹亿零叁佰肆拾柒万元整</v>
      </c>
      <c r="G5" s="2972"/>
      <c r="H5" s="2972" t="str">
        <f ca="1">结果表!H119</f>
        <v>壹亿叁仟捌佰捌拾玖万元整</v>
      </c>
      <c r="I5" s="2972"/>
    </row>
    <row r="6" spans="1:9" ht="15.6">
      <c r="A6" s="2973" t="str">
        <f>结果表!A120</f>
        <v>估价师知悉的法定优先受偿款</v>
      </c>
      <c r="B6" s="2973"/>
      <c r="C6" s="2973"/>
      <c r="D6" s="2973">
        <f>结果表!D120</f>
        <v>0</v>
      </c>
      <c r="E6" s="2973"/>
      <c r="F6" s="2973"/>
      <c r="G6" s="2973"/>
      <c r="H6" s="2973"/>
      <c r="I6" s="2973"/>
    </row>
    <row r="7" spans="1:9" ht="15">
      <c r="A7" s="2971" t="s">
        <v>1640</v>
      </c>
      <c r="B7" s="2971"/>
      <c r="C7" s="2971"/>
      <c r="D7" s="2974" t="str">
        <f>结果表!D121</f>
        <v>零元整</v>
      </c>
      <c r="E7" s="2975"/>
      <c r="F7" s="2975"/>
      <c r="G7" s="2975"/>
      <c r="H7" s="2975"/>
      <c r="I7" s="2976"/>
    </row>
    <row r="8" spans="1:9" ht="15.6">
      <c r="A8" s="2973" t="str">
        <f>结果表!A122</f>
        <v>房地产抵押价值</v>
      </c>
      <c r="B8" s="2973"/>
      <c r="C8" s="2973"/>
      <c r="D8" s="2973">
        <f ca="1">结果表!D122</f>
        <v>13889</v>
      </c>
      <c r="E8" s="2973"/>
      <c r="F8" s="2973"/>
      <c r="G8" s="2973"/>
      <c r="H8" s="2973"/>
      <c r="I8" s="2973"/>
    </row>
    <row r="9" spans="1:9" ht="15">
      <c r="A9" s="2971" t="s">
        <v>1640</v>
      </c>
      <c r="B9" s="2971"/>
      <c r="C9" s="2971"/>
      <c r="D9" s="2972" t="str">
        <f ca="1">结果表!D123</f>
        <v>壹亿叁仟捌佰捌拾玖万元整</v>
      </c>
      <c r="E9" s="2972"/>
      <c r="F9" s="2972"/>
      <c r="G9" s="2972"/>
      <c r="H9" s="2972"/>
      <c r="I9" s="2972"/>
    </row>
    <row r="10" spans="1:9" ht="15.6">
      <c r="A10" s="2973" t="str">
        <f>结果表!A124</f>
        <v/>
      </c>
      <c r="B10" s="2973"/>
      <c r="C10" s="2973"/>
      <c r="D10" s="2973" t="str">
        <f>结果表!D124</f>
        <v>——</v>
      </c>
      <c r="E10" s="2973"/>
      <c r="F10" s="2973"/>
      <c r="G10" s="2973"/>
      <c r="H10" s="2973"/>
      <c r="I10" s="2973"/>
    </row>
    <row r="11" spans="1:9" ht="15">
      <c r="A11" s="2971" t="s">
        <v>1640</v>
      </c>
      <c r="B11" s="2971"/>
      <c r="C11" s="2971"/>
      <c r="D11" s="2972" t="e">
        <f>结果表!D125</f>
        <v>#VALUE!</v>
      </c>
      <c r="E11" s="2972"/>
      <c r="F11" s="2972"/>
      <c r="G11" s="2972"/>
      <c r="H11" s="2972"/>
      <c r="I11" s="2972"/>
    </row>
    <row r="12" spans="1:9" ht="15.6">
      <c r="A12" s="2973" t="str">
        <f>结果表!A126</f>
        <v/>
      </c>
      <c r="B12" s="2973"/>
      <c r="C12" s="2973"/>
      <c r="D12" s="2973" t="str">
        <f>结果表!D126</f>
        <v>——</v>
      </c>
      <c r="E12" s="2973"/>
      <c r="F12" s="2973"/>
      <c r="G12" s="2973"/>
      <c r="H12" s="2973"/>
      <c r="I12" s="2973"/>
    </row>
    <row r="13" spans="1:9" ht="15.6" thickBot="1">
      <c r="A13" s="2977" t="s">
        <v>1640</v>
      </c>
      <c r="B13" s="2977"/>
      <c r="C13" s="2977"/>
      <c r="D13" s="2978" t="e">
        <f>结果表!D127</f>
        <v>#VALUE!</v>
      </c>
      <c r="E13" s="2978"/>
      <c r="F13" s="2978"/>
      <c r="G13" s="2978"/>
      <c r="H13" s="2978"/>
      <c r="I13" s="2978"/>
    </row>
    <row r="14" spans="1:9" ht="14.4" thickTop="1">
      <c r="A14" s="2979" t="s">
        <v>1645</v>
      </c>
      <c r="B14" s="2979"/>
      <c r="C14" s="2979"/>
      <c r="D14" s="2979"/>
      <c r="E14" s="2979"/>
      <c r="F14" s="2979"/>
      <c r="G14" s="2979"/>
      <c r="H14" s="2979"/>
      <c r="I14" s="2979"/>
    </row>
    <row r="16" spans="1:9" ht="17.399999999999999">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8" customWidth="1"/>
    <col min="2" max="3" width="22.33203125" style="1948" customWidth="1"/>
    <col min="4" max="4" width="23" style="1948" customWidth="1"/>
    <col min="5" max="16384" width="9" style="1948"/>
  </cols>
  <sheetData>
    <row r="1" spans="1:4" ht="17.399999999999999">
      <c r="A1" s="2980" t="s">
        <v>1662</v>
      </c>
      <c r="B1" s="2980"/>
      <c r="C1" s="2980"/>
      <c r="D1" s="2980"/>
    </row>
    <row r="2" spans="1:4" ht="17.399999999999999">
      <c r="A2" s="2981" t="s">
        <v>1646</v>
      </c>
      <c r="B2" s="2981"/>
      <c r="C2" s="2981"/>
      <c r="D2" s="2981"/>
    </row>
    <row r="3" spans="1:4" ht="17.399999999999999">
      <c r="A3" s="1980" t="s">
        <v>1647</v>
      </c>
      <c r="B3" s="1980" t="s">
        <v>1648</v>
      </c>
      <c r="C3" s="1980" t="s">
        <v>1649</v>
      </c>
      <c r="D3" s="1980" t="s">
        <v>1650</v>
      </c>
    </row>
    <row r="4" spans="1:4" ht="56.25" customHeight="1">
      <c r="A4" s="1981" t="str">
        <f>项目基本情况!B4</f>
        <v>欧红伟</v>
      </c>
      <c r="B4" s="1982">
        <f ca="1">项目基本情况!C4</f>
        <v>1120000080</v>
      </c>
      <c r="C4" s="1983"/>
      <c r="D4" s="1984" t="s">
        <v>1651</v>
      </c>
    </row>
    <row r="5" spans="1:4" ht="56.25" customHeight="1">
      <c r="A5" s="1981" t="str">
        <f>项目基本情况!D4</f>
        <v>崔锴</v>
      </c>
      <c r="B5" s="1982">
        <f ca="1">项目基本情况!E4</f>
        <v>1120100036</v>
      </c>
      <c r="C5" s="1985"/>
      <c r="D5" s="1984" t="s">
        <v>1651</v>
      </c>
    </row>
    <row r="6" spans="1:4" ht="17.399999999999999">
      <c r="A6" s="2981" t="s">
        <v>1652</v>
      </c>
      <c r="B6" s="2981"/>
      <c r="C6" s="2981"/>
      <c r="D6" s="2981"/>
    </row>
    <row r="7" spans="1:4" ht="17.399999999999999">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7.399999999999999">
      <c r="A10" s="1987" t="s">
        <v>1654</v>
      </c>
      <c r="B10" s="728"/>
      <c r="C10" s="728"/>
      <c r="D10" s="728"/>
    </row>
    <row r="11" spans="1:4" ht="30" customHeight="1">
      <c r="A11" s="2982" t="s">
        <v>1655</v>
      </c>
      <c r="B11" s="2983"/>
      <c r="C11" s="2983"/>
      <c r="D11" s="2983"/>
    </row>
    <row r="12" spans="1:4" ht="15.6">
      <c r="A12" s="29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4"/>
      <c r="C12" s="2984"/>
      <c r="D12" s="2984"/>
    </row>
    <row r="13" spans="1:4" ht="30" customHeight="1">
      <c r="A13" s="29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4"/>
      <c r="C13" s="2984"/>
      <c r="D13" s="2984"/>
    </row>
    <row r="14" spans="1:4" ht="15.75" customHeight="1">
      <c r="A14" s="2983" t="str">
        <f>IF(项目基本情况!B8="抵押","4.本次评估估价师所知悉的法定优先受偿款情况说明如下：","——")</f>
        <v>4.本次评估估价师所知悉的法定优先受偿款情况说明如下：</v>
      </c>
      <c r="B14" s="2984"/>
      <c r="C14" s="2984"/>
      <c r="D14" s="2984"/>
    </row>
    <row r="15" spans="1:4" ht="42" customHeight="1">
      <c r="A15" s="2983" t="str">
        <f>IF(项目基本情况!B8="抵押","（1）"&amp;CONCATENATE(项目基本情况!L20,项目基本情况!L21,项目基本情况!L22),"——")</f>
        <v>（1）根据估价对象《房屋所有权证》原件、《国有土地使用权》原件，截至价值时点，估价对象抵押权未见登记。</v>
      </c>
      <c r="B15" s="2983"/>
      <c r="C15" s="2983"/>
      <c r="D15" s="2983"/>
    </row>
    <row r="16" spans="1:4" ht="30" customHeight="1">
      <c r="A16" s="2986" t="s">
        <v>1656</v>
      </c>
      <c r="B16" s="2986"/>
      <c r="C16" s="2986"/>
      <c r="D16" s="2986"/>
    </row>
    <row r="17" spans="1:4" ht="144" customHeight="1">
      <c r="A17" s="2986" t="s">
        <v>1657</v>
      </c>
      <c r="B17" s="2986"/>
      <c r="C17" s="2986"/>
      <c r="D17" s="2986"/>
    </row>
    <row r="18" spans="1:4" ht="15.75" customHeight="1">
      <c r="A18" s="2983" t="str">
        <f>IF(项目基本情况!B8="抵押",结果表!K120,"——")</f>
        <v>故，本次评估不存在估价师知悉的法定优先受偿款</v>
      </c>
      <c r="B18" s="2983"/>
      <c r="C18" s="2983"/>
      <c r="D18" s="2983"/>
    </row>
    <row r="19" spans="1:4" ht="46.5" customHeight="1">
      <c r="A19" s="29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3"/>
      <c r="C19" s="2983"/>
      <c r="D19" s="2983"/>
    </row>
    <row r="20" spans="1:4" ht="57.75" customHeight="1">
      <c r="A20" s="29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3"/>
      <c r="C20" s="2983"/>
      <c r="D20" s="2983"/>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1658</v>
      </c>
      <c r="B22" s="2988"/>
      <c r="C22" s="2988"/>
      <c r="D22" s="2988"/>
    </row>
    <row r="23" spans="1:4">
      <c r="A23" s="1988"/>
      <c r="B23" s="1960"/>
      <c r="C23" s="1960"/>
      <c r="D23" s="1960"/>
    </row>
    <row r="24" spans="1:4">
      <c r="A24" s="1988"/>
      <c r="B24" s="1960"/>
      <c r="C24" s="1960"/>
      <c r="D24" s="1960"/>
    </row>
    <row r="25" spans="1:4" ht="17.399999999999999">
      <c r="A25" s="1989" t="s">
        <v>1659</v>
      </c>
    </row>
    <row r="26" spans="1:4" ht="17.399999999999999">
      <c r="A26" s="1958"/>
    </row>
    <row r="27" spans="1:4" ht="17.399999999999999">
      <c r="A27" s="1958" t="s">
        <v>1660</v>
      </c>
    </row>
    <row r="30" spans="1:4" ht="17.399999999999999">
      <c r="D30" s="1989" t="s">
        <v>1661</v>
      </c>
    </row>
    <row r="31" spans="1:4" ht="13.5" customHeight="1">
      <c r="C31" s="2985">
        <v>42551</v>
      </c>
      <c r="D31" s="29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6" customWidth="1"/>
    <col min="3" max="10" width="12.44140625" style="1946" customWidth="1"/>
    <col min="11" max="16384" width="9" style="1946"/>
  </cols>
  <sheetData>
    <row r="1" spans="1:10" ht="17.399999999999999">
      <c r="A1" s="1979" t="s">
        <v>870</v>
      </c>
      <c r="B1" s="1990"/>
      <c r="C1" s="1990"/>
      <c r="D1" s="1990"/>
      <c r="E1" s="1990"/>
      <c r="F1" s="1990"/>
      <c r="G1" s="1990"/>
      <c r="H1" s="1990"/>
      <c r="I1" s="1990"/>
      <c r="J1" s="1990"/>
    </row>
    <row r="2" spans="1:10" ht="17.399999999999999">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44140625" defaultRowHeight="15.6"/>
  <cols>
    <col min="1" max="1" width="14.44140625" style="1996" customWidth="1"/>
    <col min="2" max="16384" width="14.44140625" style="1978"/>
  </cols>
  <sheetData>
    <row r="1" spans="1:7" s="1993" customFormat="1" ht="17.399999999999999">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4.4">
      <c r="A15" s="2994" t="s">
        <v>1669</v>
      </c>
      <c r="B15" s="2989" t="s">
        <v>136</v>
      </c>
      <c r="C15" s="2990"/>
    </row>
    <row r="16" spans="1:7" ht="14.4">
      <c r="A16" s="2995"/>
      <c r="B16" s="2989" t="s">
        <v>69</v>
      </c>
      <c r="C16" s="2990"/>
    </row>
    <row r="17" spans="1:3" ht="14.4">
      <c r="A17" s="2995"/>
      <c r="B17" s="2992" t="s">
        <v>1670</v>
      </c>
      <c r="C17" s="2003" t="s">
        <v>1669</v>
      </c>
    </row>
    <row r="18" spans="1:3" ht="14.4">
      <c r="A18" s="2995"/>
      <c r="B18" s="2992"/>
      <c r="C18" s="2003" t="s">
        <v>1671</v>
      </c>
    </row>
    <row r="19" spans="1:3" ht="14.4">
      <c r="A19" s="2995"/>
      <c r="B19" s="2992"/>
      <c r="C19" s="2003" t="s">
        <v>1672</v>
      </c>
    </row>
    <row r="20" spans="1:3" ht="14.4">
      <c r="A20" s="2996"/>
      <c r="B20" s="2991" t="s">
        <v>1673</v>
      </c>
      <c r="C20" s="2990"/>
    </row>
    <row r="21" spans="1:3" ht="14.4">
      <c r="A21" s="2004" t="s">
        <v>1674</v>
      </c>
      <c r="B21" s="2005"/>
      <c r="C21" s="2006"/>
    </row>
    <row r="22" spans="1:3" ht="14.4">
      <c r="A22" s="2993" t="s">
        <v>1675</v>
      </c>
      <c r="B22" s="2991" t="s">
        <v>1676</v>
      </c>
      <c r="C22" s="2990"/>
    </row>
    <row r="23" spans="1:3" ht="14.4">
      <c r="A23" s="2993"/>
      <c r="B23" s="2991" t="s">
        <v>1677</v>
      </c>
      <c r="C23" s="2990"/>
    </row>
    <row r="24" spans="1:3" ht="14.4">
      <c r="A24" s="2993"/>
      <c r="B24" s="2991" t="s">
        <v>1678</v>
      </c>
      <c r="C24" s="2990"/>
    </row>
    <row r="25" spans="1:3" ht="14.4">
      <c r="A25" s="2993"/>
      <c r="B25" s="2992" t="s">
        <v>1679</v>
      </c>
      <c r="C25" s="2003" t="s">
        <v>1680</v>
      </c>
    </row>
    <row r="26" spans="1:3" ht="14.4">
      <c r="A26" s="2993"/>
      <c r="B26" s="2992"/>
      <c r="C26" s="2003" t="s">
        <v>1681</v>
      </c>
    </row>
    <row r="27" spans="1:3" ht="14.4">
      <c r="A27" s="2993"/>
      <c r="B27" s="2992"/>
      <c r="C27" s="2003" t="s">
        <v>1682</v>
      </c>
    </row>
    <row r="28" spans="1:3" ht="14.4">
      <c r="A28" s="2993"/>
      <c r="B28" s="2992"/>
      <c r="C28" s="2003" t="s">
        <v>1683</v>
      </c>
    </row>
    <row r="29" spans="1:3" ht="14.4">
      <c r="A29" s="2993"/>
      <c r="B29" s="2992"/>
      <c r="C29" s="2003" t="s">
        <v>1684</v>
      </c>
    </row>
    <row r="30" spans="1:3" ht="14.4">
      <c r="A30" s="2993"/>
      <c r="B30" s="2992"/>
      <c r="C30" s="2003" t="s">
        <v>1685</v>
      </c>
    </row>
    <row r="31" spans="1:3" ht="14.4">
      <c r="A31" s="2993"/>
      <c r="B31" s="2992"/>
      <c r="C31" s="2003" t="s">
        <v>1686</v>
      </c>
    </row>
    <row r="32" spans="1:3" ht="14.4">
      <c r="A32" s="2993"/>
      <c r="B32" s="2992"/>
      <c r="C32" s="2003" t="s">
        <v>1687</v>
      </c>
    </row>
    <row r="33" spans="1:3" ht="14.4">
      <c r="A33" s="2993"/>
      <c r="B33" s="2992"/>
      <c r="C33" s="2003" t="s">
        <v>1688</v>
      </c>
    </row>
    <row r="34" spans="1:3">
      <c r="A34" s="2007" t="s">
        <v>76</v>
      </c>
    </row>
    <row r="37" spans="1:3">
      <c r="A37" s="2007" t="s">
        <v>1689</v>
      </c>
    </row>
    <row r="38" spans="1:3" ht="14.4">
      <c r="A38" s="2008" t="s">
        <v>77</v>
      </c>
    </row>
    <row r="39" spans="1:3" ht="14.4">
      <c r="A39" s="2008" t="s">
        <v>78</v>
      </c>
    </row>
    <row r="40" spans="1:3" ht="14.4">
      <c r="A40" s="2008" t="s">
        <v>79</v>
      </c>
    </row>
    <row r="41" spans="1:3" ht="14.4">
      <c r="A41" s="2009" t="s">
        <v>80</v>
      </c>
    </row>
    <row r="42" spans="1:3" ht="14.4">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640625" defaultRowHeight="24" customHeight="1"/>
  <cols>
    <col min="1" max="2" width="22.6640625" style="1018"/>
    <col min="3" max="3" width="23.6640625" style="1018" bestFit="1" customWidth="1"/>
    <col min="4" max="5" width="22.6640625" style="1018"/>
    <col min="6" max="6" width="25.6640625" style="1018" customWidth="1"/>
    <col min="7" max="16384" width="22.6640625" style="1018"/>
  </cols>
  <sheetData>
    <row r="2" spans="1:6" ht="24" customHeight="1">
      <c r="A2" s="1020" t="s">
        <v>825</v>
      </c>
      <c r="B2" s="1021">
        <f ca="1">TODAY()</f>
        <v>43340</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t="s">
        <v>3044</v>
      </c>
      <c r="B12" s="1025">
        <v>1120110054</v>
      </c>
      <c r="C12" s="2944">
        <v>43937</v>
      </c>
      <c r="D12" s="1705" t="s">
        <v>3044</v>
      </c>
      <c r="E12" s="1025">
        <v>2008110060</v>
      </c>
      <c r="F12" s="1033">
        <v>47177</v>
      </c>
    </row>
    <row r="13" spans="1:6" ht="24" customHeight="1">
      <c r="A13" s="1705" t="s">
        <v>840</v>
      </c>
      <c r="B13" s="1025">
        <f ca="1">IF(C13&lt;B2,"已过期",1120070131)</f>
        <v>1120070131</v>
      </c>
      <c r="C13" s="2349">
        <v>43814</v>
      </c>
      <c r="D13" s="2352" t="s">
        <v>840</v>
      </c>
      <c r="E13" s="1025">
        <v>2014110011</v>
      </c>
      <c r="F13" s="1033">
        <v>49302</v>
      </c>
    </row>
    <row r="14" spans="1:6" ht="24" customHeight="1">
      <c r="A14" s="1705" t="s">
        <v>841</v>
      </c>
      <c r="B14" s="1025">
        <f ca="1">IF(C14&lt;B2,"已过期",1120130020)</f>
        <v>1120130020</v>
      </c>
      <c r="C14" s="2349">
        <v>43622</v>
      </c>
      <c r="D14" s="2352"/>
      <c r="E14" s="1025"/>
      <c r="F14" s="1025"/>
    </row>
    <row r="15" spans="1:6" ht="24" customHeight="1">
      <c r="A15" s="1706" t="s">
        <v>1149</v>
      </c>
      <c r="B15" s="1025">
        <v>1120070085</v>
      </c>
      <c r="C15" s="2349">
        <v>43814</v>
      </c>
      <c r="D15" s="2353" t="s">
        <v>1149</v>
      </c>
      <c r="E15" s="1025">
        <v>2004110128</v>
      </c>
      <c r="F15" s="1026">
        <v>47118</v>
      </c>
    </row>
    <row r="16" spans="1:6" ht="24" customHeight="1">
      <c r="A16" s="1705" t="s">
        <v>842</v>
      </c>
      <c r="B16" s="1025">
        <f ca="1">IF(C16&lt;B2,"已过期",1120140022)</f>
        <v>1120140022</v>
      </c>
      <c r="C16" s="2349">
        <v>44029</v>
      </c>
      <c r="D16" s="2352" t="s">
        <v>842</v>
      </c>
      <c r="E16" s="1025">
        <f ca="1">IF(F16&lt;B2,"已过期",2008110059)</f>
        <v>2008110059</v>
      </c>
      <c r="F16" s="1033">
        <v>47177</v>
      </c>
    </row>
    <row r="17" spans="1:7" ht="24" customHeight="1">
      <c r="A17" s="1705"/>
      <c r="B17" s="1025"/>
      <c r="C17" s="2349"/>
      <c r="D17" s="2352"/>
      <c r="E17" s="1025"/>
      <c r="F17" s="1033"/>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843</v>
      </c>
      <c r="E21" s="1025">
        <f ca="1">IF(F21&lt;B2,"已过期",2011110090)</f>
        <v>2011110090</v>
      </c>
      <c r="F21" s="1033">
        <v>48302</v>
      </c>
    </row>
    <row r="22" spans="1:7" ht="24" customHeight="1">
      <c r="A22" s="1705" t="s">
        <v>844</v>
      </c>
      <c r="B22" s="1025">
        <f ca="1">IF(C22&lt;B2,"已过期",1120020033)</f>
        <v>1120020033</v>
      </c>
      <c r="C22" s="2944">
        <v>44339</v>
      </c>
      <c r="D22" s="2352" t="s">
        <v>844</v>
      </c>
      <c r="E22" s="1025">
        <f ca="1">IF(F22&lt;B2,"已过期",2000110137)</f>
        <v>2000110137</v>
      </c>
      <c r="F22" s="1033">
        <v>46387</v>
      </c>
    </row>
    <row r="23" spans="1:7" ht="24" customHeight="1">
      <c r="A23" s="1705" t="s">
        <v>845</v>
      </c>
      <c r="B23" s="1025">
        <f ca="1">IF(C23&lt;B2,"已过期",1120130048)</f>
        <v>1120130048</v>
      </c>
      <c r="C23" s="2349">
        <v>43686</v>
      </c>
      <c r="D23" s="2352"/>
      <c r="E23" s="1025"/>
      <c r="F23" s="1025"/>
    </row>
    <row r="24" spans="1:7" s="1027" customFormat="1" ht="24" customHeight="1">
      <c r="A24" s="1706" t="s">
        <v>1333</v>
      </c>
      <c r="B24" s="1706" t="s">
        <v>1333</v>
      </c>
      <c r="C24" s="2350" t="s">
        <v>1333</v>
      </c>
      <c r="D24" s="2353" t="s">
        <v>1333</v>
      </c>
      <c r="E24" s="1706" t="s">
        <v>1333</v>
      </c>
      <c r="F24" s="1706" t="s">
        <v>1333</v>
      </c>
    </row>
    <row r="25" spans="1:7" ht="24" customHeight="1">
      <c r="A25" s="2997" t="s">
        <v>846</v>
      </c>
      <c r="B25" s="2997"/>
      <c r="C25" s="2997"/>
      <c r="D25" s="2997"/>
      <c r="E25" s="2997"/>
      <c r="F25" s="2997"/>
      <c r="G25" s="2997"/>
    </row>
    <row r="26" spans="1:7" s="1028" customFormat="1" ht="24" customHeight="1">
      <c r="A26" s="2998" t="s">
        <v>847</v>
      </c>
      <c r="B26" s="2998"/>
      <c r="C26" s="2999"/>
      <c r="D26" s="3000" t="s">
        <v>848</v>
      </c>
      <c r="E26" s="2998"/>
      <c r="F26" s="2998"/>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2018-08-28T06:23:36Z</dcterms:modified>
</cp:coreProperties>
</file>