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4" i="43" l="1"/>
  <c r="B35" i="1"/>
  <c r="Y6" i="1"/>
  <c r="N6" i="1"/>
  <c r="N22" i="1"/>
  <c r="N20"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F28" i="71" s="1"/>
  <c r="F27" i="71" s="1"/>
  <c r="F26"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AB28" i="71"/>
  <c r="E28" i="71"/>
  <c r="E27" i="71"/>
  <c r="E26" i="71" s="1"/>
  <c r="AA3" i="71"/>
  <c r="AA25" i="71"/>
  <c r="AA26" i="71"/>
  <c r="AA27" i="71"/>
  <c r="AA28" i="71"/>
  <c r="D28" i="71"/>
  <c r="U28" i="71"/>
  <c r="C66" i="71"/>
  <c r="O67" i="71"/>
  <c r="D67" i="71"/>
  <c r="C64" i="7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22" i="35"/>
  <c r="S31" i="35"/>
  <c r="U34" i="35"/>
  <c r="F36" i="34"/>
  <c r="J35" i="34"/>
  <c r="U34" i="34"/>
  <c r="H39" i="33"/>
  <c r="AB39" i="33"/>
  <c r="U33"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AA12" i="35"/>
  <c r="AB28" i="37"/>
  <c r="U33" i="37"/>
  <c r="U39" i="37"/>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Z401" i="3"/>
  <c r="AZ412" i="3"/>
  <c r="AZ417" i="3"/>
  <c r="AZ428" i="3"/>
  <c r="AZ433" i="3"/>
  <c r="AZ465" i="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F85" i="21" s="1"/>
  <c r="AA14" i="21"/>
  <c r="D120" i="9"/>
  <c r="C18" i="9"/>
  <c r="D18" i="9" s="1"/>
  <c r="F34" i="67"/>
  <c r="F62" i="67" s="1"/>
  <c r="F34" i="15"/>
  <c r="F62" i="15" s="1"/>
  <c r="G13" i="3"/>
  <c r="G5" i="3" s="1"/>
  <c r="B3" i="3" s="1"/>
  <c r="BA13" i="3"/>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c r="K111" i="33" s="1"/>
  <c r="L111" i="33" s="1"/>
  <c r="M111" i="33" s="1"/>
  <c r="J36" i="33"/>
  <c r="W36" i="33" s="1"/>
  <c r="H36" i="33"/>
  <c r="U36" i="33" s="1"/>
  <c r="S36" i="33"/>
  <c r="W32" i="33"/>
  <c r="U27" i="33"/>
  <c r="AB27" i="33"/>
  <c r="H91" i="33"/>
  <c r="I91" i="33" s="1"/>
  <c r="J91" i="33" s="1"/>
  <c r="K91" i="33" s="1"/>
  <c r="L91" i="33" s="1"/>
  <c r="M91" i="33" s="1"/>
  <c r="J27" i="33"/>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AC17" i="33"/>
  <c r="S37" i="21"/>
  <c r="AA23" i="21"/>
  <c r="J23" i="2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B9" i="21"/>
  <c r="U9" i="21"/>
  <c r="S32" i="21"/>
  <c r="AC9" i="21"/>
  <c r="U32" i="21"/>
  <c r="U32" i="39"/>
  <c r="AC32" i="39"/>
  <c r="W32" i="39"/>
  <c r="W19" i="37"/>
  <c r="AC19" i="37"/>
  <c r="AC23" i="37"/>
  <c r="I63" i="37"/>
  <c r="J63" i="37" s="1"/>
  <c r="K63" i="37"/>
  <c r="L63" i="37" s="1"/>
  <c r="M63" i="37" s="1"/>
  <c r="J11" i="37"/>
  <c r="AC11" i="37" s="1"/>
  <c r="H70" i="34"/>
  <c r="I70" i="34" s="1"/>
  <c r="J70" i="34" s="1"/>
  <c r="K70" i="34" s="1"/>
  <c r="L70" i="34" s="1"/>
  <c r="M70" i="34" s="1"/>
  <c r="J11" i="34"/>
  <c r="W11" i="34" s="1"/>
  <c r="AB36" i="33"/>
  <c r="W27" i="33"/>
  <c r="AC27" i="33"/>
  <c r="W25" i="33"/>
  <c r="AA23" i="33"/>
  <c r="S23" i="33"/>
  <c r="AB19" i="33"/>
  <c r="AA17" i="33"/>
  <c r="S17" i="33"/>
  <c r="U17" i="33"/>
  <c r="AB17" i="33"/>
  <c r="U23" i="21"/>
  <c r="AB23" i="21"/>
  <c r="AC23" i="21"/>
  <c r="W23" i="21"/>
  <c r="H109" i="9"/>
  <c r="H112" i="9"/>
  <c r="D21" i="53" s="1"/>
  <c r="B39" i="72" s="1"/>
  <c r="H111" i="9"/>
  <c r="D126" i="9" s="1"/>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8" i="76"/>
  <c r="B11" i="76"/>
  <c r="M22" i="15"/>
  <c r="E7" i="76"/>
  <c r="F37" i="15"/>
  <c r="E9" i="76"/>
  <c r="F9" i="67"/>
  <c r="B7" i="76"/>
  <c r="F7" i="73"/>
  <c r="F16" i="67"/>
  <c r="F20" i="31"/>
  <c r="M29" i="67"/>
  <c r="E2" i="69"/>
  <c r="F40" i="67"/>
  <c r="F6" i="67"/>
  <c r="M28" i="67"/>
  <c r="B8" i="76"/>
  <c r="J15" i="15"/>
  <c r="M29" i="15"/>
  <c r="D5" i="73"/>
  <c r="L47" i="67"/>
  <c r="E11" i="76"/>
  <c r="D4" i="73"/>
  <c r="F38" i="15"/>
  <c r="F8" i="67"/>
  <c r="D35" i="9"/>
  <c r="L48" i="15"/>
  <c r="B9" i="76"/>
  <c r="F9" i="15"/>
  <c r="B12" i="76"/>
  <c r="L48" i="67"/>
  <c r="F6" i="73"/>
  <c r="F13" i="67"/>
  <c r="F38" i="67"/>
  <c r="F43" i="67"/>
  <c r="M24" i="15"/>
  <c r="F5" i="73"/>
  <c r="F42" i="15"/>
  <c r="F26" i="15"/>
  <c r="F16" i="15"/>
  <c r="M9" i="67"/>
  <c r="D6" i="73"/>
  <c r="M23" i="67"/>
  <c r="F3" i="73"/>
  <c r="F37" i="67"/>
  <c r="F43" i="15"/>
  <c r="L47" i="15"/>
  <c r="M6" i="67"/>
  <c r="F7" i="67"/>
  <c r="M28" i="15"/>
  <c r="M24" i="67"/>
  <c r="M26" i="15"/>
  <c r="D7" i="73"/>
  <c r="M9" i="15"/>
  <c r="F4" i="73"/>
  <c r="F26" i="67"/>
  <c r="M6" i="15"/>
  <c r="J15" i="67"/>
  <c r="E10" i="76"/>
  <c r="E12" i="76"/>
  <c r="B13" i="76"/>
  <c r="M23" i="15"/>
  <c r="M8" i="15"/>
  <c r="C76" i="67"/>
  <c r="F7" i="15"/>
  <c r="B10" i="76"/>
  <c r="E13" i="76"/>
  <c r="M8" i="67"/>
  <c r="F8" i="15"/>
  <c r="F40" i="15"/>
  <c r="F36" i="15"/>
  <c r="F6" i="15"/>
  <c r="M22" i="67"/>
  <c r="AO13" i="1"/>
  <c r="C76" i="15"/>
  <c r="F36" i="67"/>
  <c r="D34" i="9"/>
  <c r="M26" i="67"/>
  <c r="D3" i="73"/>
  <c r="F13" i="15"/>
  <c r="F42" i="67"/>
  <c r="E2" i="68"/>
  <c r="J57" i="9" l="1"/>
  <c r="J59" i="9" s="1"/>
  <c r="J61" i="9" s="1"/>
  <c r="B76" i="43"/>
  <c r="M20" i="67"/>
  <c r="C28" i="67"/>
  <c r="H69" i="43"/>
  <c r="H67" i="43"/>
  <c r="C24" i="12"/>
  <c r="E19" i="71"/>
  <c r="E18" i="71" s="1"/>
  <c r="E17" i="71" s="1"/>
  <c r="E16" i="71" s="1"/>
  <c r="V20" i="71"/>
  <c r="D17" i="71"/>
  <c r="C16" i="71"/>
  <c r="D19" i="53"/>
  <c r="B38" i="72" s="1"/>
  <c r="D16" i="53"/>
  <c r="B34" i="72" s="1"/>
  <c r="U15" i="21"/>
  <c r="AB15"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1" i="9"/>
  <c r="D7" i="52" s="1"/>
  <c r="D6" i="52"/>
  <c r="AZ550" i="3"/>
  <c r="AC17" i="21"/>
  <c r="W17" i="21"/>
  <c r="W15" i="21"/>
  <c r="AC15" i="21"/>
  <c r="AZ557" i="3"/>
  <c r="BL585" i="3"/>
  <c r="AZ585" i="3" s="1"/>
  <c r="H23" i="35"/>
  <c r="J23" i="35"/>
  <c r="AB9" i="36"/>
  <c r="U9" i="36"/>
  <c r="AC31" i="37"/>
  <c r="W31" i="37"/>
  <c r="AB14" i="37"/>
  <c r="U14" i="37"/>
  <c r="F38" i="40"/>
  <c r="J38" i="40"/>
  <c r="H38" i="40"/>
  <c r="AC17" i="37"/>
  <c r="D68" i="9"/>
  <c r="M18" i="15"/>
  <c r="F30" i="69"/>
  <c r="F48" i="69" s="1"/>
  <c r="M18" i="67"/>
  <c r="F31" i="12"/>
  <c r="C31" i="12" s="1"/>
  <c r="F30" i="11"/>
  <c r="C48" i="11" s="1"/>
  <c r="S23" i="39"/>
  <c r="AA39" i="39"/>
  <c r="S20" i="35"/>
  <c r="U12" i="39"/>
  <c r="AA27" i="40"/>
  <c r="AB27" i="40"/>
  <c r="G28" i="6"/>
  <c r="F29" i="6"/>
  <c r="E29" i="6" s="1"/>
  <c r="K15" i="1" s="1"/>
  <c r="AA25" i="21"/>
  <c r="W44" i="33"/>
  <c r="W47" i="34"/>
  <c r="W14" i="37"/>
  <c r="U14" i="40"/>
  <c r="U43" i="33"/>
  <c r="AA41" i="34"/>
  <c r="S44" i="34"/>
  <c r="W29" i="33"/>
  <c r="S45" i="33"/>
  <c r="AC30" i="34"/>
  <c r="U46" i="33"/>
  <c r="AA13" i="35"/>
  <c r="AA29" i="35"/>
  <c r="AB23" i="34"/>
  <c r="U33" i="35"/>
  <c r="W39" i="33"/>
  <c r="F26" i="33"/>
  <c r="W9" i="34"/>
  <c r="W36" i="35"/>
  <c r="BL586" i="3"/>
  <c r="AZ586" i="3" s="1"/>
  <c r="AC34" i="35"/>
  <c r="W34" i="35"/>
  <c r="J12" i="33"/>
  <c r="H12" i="33"/>
  <c r="H12" i="36"/>
  <c r="H24" i="36"/>
  <c r="AB31" i="36"/>
  <c r="U31" i="36"/>
  <c r="H25" i="37"/>
  <c r="J25" i="37"/>
  <c r="F25" i="37"/>
  <c r="AB31" i="35"/>
  <c r="U31" i="35"/>
  <c r="F36" i="39"/>
  <c r="H36" i="39"/>
  <c r="J36" i="39"/>
  <c r="BL550" i="3"/>
  <c r="BL548" i="3"/>
  <c r="BL5" i="3" s="1"/>
  <c r="J26" i="37"/>
  <c r="H26" i="37"/>
  <c r="F26" i="37"/>
  <c r="H44" i="39"/>
  <c r="F44" i="39"/>
  <c r="J39" i="40"/>
  <c r="H39" i="40"/>
  <c r="BA551" i="3"/>
  <c r="AZ551" i="3" s="1"/>
  <c r="AZ409" i="3"/>
  <c r="AZ416" i="3"/>
  <c r="AZ425" i="3"/>
  <c r="AZ432" i="3"/>
  <c r="AZ445" i="3"/>
  <c r="AZ447" i="3"/>
  <c r="AZ464" i="3"/>
  <c r="AZ467" i="3"/>
  <c r="AZ474" i="3"/>
  <c r="AZ480" i="3"/>
  <c r="AZ482" i="3"/>
  <c r="AZ486" i="3"/>
  <c r="AZ488" i="3"/>
  <c r="AZ216" i="3"/>
  <c r="AZ221" i="3"/>
  <c r="AZ230" i="3"/>
  <c r="AZ236" i="3"/>
  <c r="AZ252" i="3"/>
  <c r="AZ272" i="3"/>
  <c r="AZ276" i="3"/>
  <c r="AZ289" i="3"/>
  <c r="AZ294" i="3"/>
  <c r="AZ300" i="3"/>
  <c r="AZ118" i="3"/>
  <c r="AZ121" i="3"/>
  <c r="AZ134" i="3"/>
  <c r="AZ137" i="3"/>
  <c r="AZ145" i="3"/>
  <c r="AZ161" i="3"/>
  <c r="AZ177" i="3"/>
  <c r="AZ193" i="3"/>
  <c r="AZ48" i="3"/>
  <c r="AZ18" i="3"/>
  <c r="AZ23" i="3"/>
  <c r="AZ27" i="3"/>
  <c r="AZ56" i="3"/>
  <c r="AZ60" i="3"/>
  <c r="AZ73" i="3"/>
  <c r="AZ78" i="3"/>
  <c r="AZ87" i="3"/>
  <c r="AZ91" i="3"/>
  <c r="AZ95" i="3"/>
  <c r="AZ108" i="3"/>
  <c r="S21" i="21"/>
  <c r="U18" i="36"/>
  <c r="D27" i="71"/>
  <c r="AB26" i="71"/>
  <c r="B27" i="71"/>
  <c r="B26" i="71" s="1"/>
  <c r="S28" i="71"/>
  <c r="AB25" i="71"/>
  <c r="AB27" i="71"/>
  <c r="X9" i="71"/>
  <c r="X10" i="71"/>
  <c r="AB10" i="71"/>
  <c r="AB9" i="71"/>
  <c r="AB24" i="71"/>
  <c r="Y21" i="71"/>
  <c r="Z21" i="71" s="1"/>
  <c r="AB23" i="71"/>
  <c r="AB21" i="71"/>
  <c r="AA21" i="71"/>
  <c r="X21" i="71"/>
  <c r="X17" i="71"/>
  <c r="Y17" i="71"/>
  <c r="Z17" i="71" s="1"/>
  <c r="AA17" i="71"/>
  <c r="AB18" i="71"/>
  <c r="Y14" i="71"/>
  <c r="Z14" i="71" s="1"/>
  <c r="X32" i="71"/>
  <c r="AA29" i="71"/>
  <c r="X39" i="71"/>
  <c r="Y9" i="71"/>
  <c r="Z9" i="71" s="1"/>
  <c r="Y10" i="71"/>
  <c r="Z10" i="71" s="1"/>
  <c r="AA9" i="71"/>
  <c r="AA10" i="71"/>
  <c r="AB39" i="71"/>
  <c r="X22" i="71"/>
  <c r="AA24" i="71"/>
  <c r="AA23" i="71"/>
  <c r="AA22" i="71"/>
  <c r="Y18" i="71"/>
  <c r="Z18" i="71" s="1"/>
  <c r="X18" i="71"/>
  <c r="AA18" i="71"/>
  <c r="X12" i="71"/>
  <c r="AA14" i="71"/>
  <c r="F67" i="71"/>
  <c r="X24" i="71"/>
  <c r="Y24" i="71"/>
  <c r="Z24" i="71" s="1"/>
  <c r="AB15" i="71"/>
  <c r="AB17" i="71"/>
  <c r="AB12" i="71"/>
  <c r="AB14" i="71"/>
  <c r="Y13" i="71"/>
  <c r="Z13" i="71" s="1"/>
  <c r="AA12" i="71"/>
  <c r="X13" i="71"/>
  <c r="Y23" i="71"/>
  <c r="Z23" i="71" s="1"/>
  <c r="Y22" i="71"/>
  <c r="Z22" i="71" s="1"/>
  <c r="X15" i="71"/>
  <c r="AA15" i="71"/>
  <c r="AB11" i="71"/>
  <c r="AB13" i="71"/>
  <c r="Y12" i="71"/>
  <c r="Z12" i="71" s="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F30" i="6"/>
  <c r="G30" i="6"/>
  <c r="G31" i="6" s="1"/>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D33" i="43" s="1"/>
  <c r="D1" i="43"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D9" i="69"/>
  <c r="C16" i="67"/>
  <c r="F27" i="69"/>
  <c r="G1" i="73"/>
  <c r="C36" i="69"/>
  <c r="C48" i="69" l="1"/>
  <c r="AZ5" i="3"/>
  <c r="F66" i="71"/>
  <c r="Q67" i="71"/>
  <c r="AC39" i="40"/>
  <c r="W39" i="40"/>
  <c r="U44" i="39"/>
  <c r="AB44" i="39"/>
  <c r="AB26" i="37"/>
  <c r="U26" i="37"/>
  <c r="W36" i="39"/>
  <c r="AC36" i="39"/>
  <c r="S36" i="39"/>
  <c r="AA36" i="39"/>
  <c r="W25" i="37"/>
  <c r="AC25" i="37"/>
  <c r="AB24" i="36"/>
  <c r="U24" i="36"/>
  <c r="U12" i="33"/>
  <c r="AB12" i="33"/>
  <c r="AZ548" i="3"/>
  <c r="BA5" i="3"/>
  <c r="AB38" i="40"/>
  <c r="U38" i="40"/>
  <c r="AA38" i="40"/>
  <c r="S38" i="40"/>
  <c r="U23" i="35"/>
  <c r="AB23" i="35"/>
  <c r="C15" i="71"/>
  <c r="T16" i="71"/>
  <c r="D16" i="71"/>
  <c r="U16" i="71" s="1"/>
  <c r="B15" i="71"/>
  <c r="B14" i="71" s="1"/>
  <c r="B13" i="71" s="1"/>
  <c r="B12" i="71" s="1"/>
  <c r="S16" i="71"/>
  <c r="D17" i="53"/>
  <c r="B36" i="72" s="1"/>
  <c r="U39" i="40"/>
  <c r="AB39" i="40"/>
  <c r="AA44" i="39"/>
  <c r="S44" i="39"/>
  <c r="AA26" i="37"/>
  <c r="S26" i="37"/>
  <c r="AC26" i="37"/>
  <c r="W26" i="37"/>
  <c r="AB36" i="39"/>
  <c r="U36" i="39"/>
  <c r="AA25" i="37"/>
  <c r="S25" i="37"/>
  <c r="U25" i="37"/>
  <c r="AB25" i="37"/>
  <c r="U12" i="36"/>
  <c r="AB12" i="36"/>
  <c r="AC12" i="33"/>
  <c r="W12" i="33"/>
  <c r="AA26" i="33"/>
  <c r="S26" i="33"/>
  <c r="AC38" i="40"/>
  <c r="W38" i="40"/>
  <c r="AC23" i="35"/>
  <c r="W23" i="35"/>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11" i="71" l="1"/>
  <c r="E10" i="71" s="1"/>
  <c r="E9" i="71" s="1"/>
  <c r="E8" i="71" s="1"/>
  <c r="E7" i="71" s="1"/>
  <c r="E6" i="71" s="1"/>
  <c r="E5" i="71" s="1"/>
  <c r="V12" i="71"/>
  <c r="D15" i="71"/>
  <c r="C14" i="71"/>
  <c r="Q66" i="71"/>
  <c r="Q65" i="71"/>
  <c r="E65" i="39"/>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 i="74" l="1"/>
  <c r="B14" i="74"/>
  <c r="D14" i="71"/>
  <c r="C13" i="71"/>
  <c r="G54" i="34"/>
  <c r="H54"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14" i="67"/>
  <c r="D10" i="69"/>
  <c r="C17" i="67"/>
  <c r="C34" i="69"/>
  <c r="C17" i="15"/>
  <c r="B2" i="74" l="1"/>
  <c r="C14" i="74"/>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8" i="69" l="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F7" i="21"/>
  <c r="J48" i="35"/>
  <c r="F26" i="43" l="1"/>
  <c r="C25" i="43"/>
  <c r="H26" i="43"/>
  <c r="E26" i="43"/>
  <c r="J26" i="43"/>
  <c r="N94" i="46"/>
  <c r="G26" i="43"/>
  <c r="B116" i="43"/>
  <c r="N370" i="46"/>
  <c r="Z7" i="43"/>
  <c r="C8" i="68"/>
  <c r="C5" i="68" s="1"/>
  <c r="C23" i="68" s="1"/>
  <c r="C18" i="12"/>
  <c r="C21" i="12" s="1"/>
  <c r="J7" i="21"/>
  <c r="C10" i="71"/>
  <c r="D11"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I122" i="43" l="1"/>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33" i="43"/>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25" i="68" l="1"/>
  <c r="C22" i="68" s="1"/>
  <c r="C31" i="68" s="1"/>
  <c r="C6" i="69"/>
  <c r="C34" i="43"/>
  <c r="E34" i="43" s="1"/>
  <c r="C31" i="43" s="1"/>
  <c r="E33" i="43"/>
  <c r="C30" i="43" s="1"/>
  <c r="C118" i="43"/>
  <c r="D116" i="43"/>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7" i="69"/>
  <c r="C5" i="69"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6" i="76"/>
  <c r="D2" i="21"/>
  <c r="B2" i="76" l="1"/>
  <c r="B3" i="76" s="1"/>
  <c r="C23" i="69"/>
  <c r="C20" i="69"/>
  <c r="B3" i="43"/>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C28" i="69"/>
  <c r="C27" i="69" s="1"/>
  <c r="C25" i="69"/>
  <c r="C22"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L51" i="15"/>
  <c r="D19" i="9"/>
  <c r="D2" i="35"/>
  <c r="D2" i="36"/>
  <c r="C31" i="69" l="1"/>
  <c r="C52" i="69" s="1"/>
  <c r="B2" i="69" s="1"/>
  <c r="D10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AO9" i="1"/>
  <c r="AO12" i="1"/>
  <c r="AO11" i="1"/>
  <c r="B3" i="69"/>
  <c r="AO6" i="1"/>
  <c r="AO10" i="1"/>
  <c r="D20" i="9"/>
  <c r="AO8" i="1"/>
  <c r="C57" i="69" l="1"/>
  <c r="C56" i="69" s="1"/>
  <c r="C21" i="9"/>
  <c r="C102" i="9"/>
  <c r="D22" i="9"/>
  <c r="G19" i="9"/>
  <c r="G21"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E118" i="9"/>
  <c r="F4" i="52"/>
  <c r="B51" i="72" s="1"/>
  <c r="H118" i="9"/>
  <c r="D14" i="74" s="1"/>
  <c r="G14" i="74" s="1"/>
  <c r="B6" i="74" s="1"/>
  <c r="D6" i="74" s="1"/>
  <c r="H102" i="9"/>
  <c r="E14" i="74" s="1"/>
  <c r="C105" i="9"/>
  <c r="B5" i="74" l="1"/>
  <c r="D5" i="74" s="1"/>
  <c r="F14" i="74"/>
  <c r="C104" i="9"/>
  <c r="H4" i="52"/>
  <c r="H119" i="9"/>
  <c r="H5" i="52" s="1"/>
  <c r="H101" i="9"/>
  <c r="D118" i="9"/>
  <c r="E4" i="52"/>
  <c r="B48" i="72" s="1"/>
  <c r="D7" i="53"/>
  <c r="B21" i="72" s="1"/>
  <c r="C5" i="74" l="1"/>
  <c r="M48" i="9"/>
  <c r="D5" i="53"/>
  <c r="D45" i="9"/>
  <c r="H107" i="9"/>
  <c r="D119" i="9"/>
  <c r="D5" i="52" s="1"/>
  <c r="B49" i="72" s="1"/>
  <c r="D4" i="52"/>
  <c r="B47" i="72" s="1"/>
  <c r="D122" i="9" l="1"/>
  <c r="H108" i="9"/>
  <c r="M49" i="9"/>
  <c r="D13" i="53"/>
  <c r="D6" i="53"/>
  <c r="B22" i="72" s="1"/>
  <c r="B20" i="72"/>
  <c r="D53" i="9"/>
  <c r="C78" i="9"/>
  <c r="C73" i="9" s="1"/>
  <c r="D55" i="9"/>
  <c r="M53" i="9" s="1"/>
  <c r="D52" i="9"/>
  <c r="C64" i="9"/>
  <c r="C63" i="9" s="1"/>
  <c r="C67" i="9" s="1"/>
  <c r="C72" i="9"/>
  <c r="C79" i="9" s="1"/>
  <c r="C93" i="9"/>
  <c r="C86" i="9" s="1"/>
  <c r="C85" i="9"/>
  <c r="D59" i="9" l="1"/>
  <c r="M55" i="9" s="1"/>
  <c r="C68" i="9"/>
  <c r="D54" i="9" s="1"/>
  <c r="C95" i="9"/>
  <c r="C80" i="9"/>
  <c r="E80" i="9" s="1"/>
  <c r="E81" i="9" s="1"/>
  <c r="D14" i="53"/>
  <c r="B32" i="72" s="1"/>
  <c r="B30" i="72"/>
  <c r="D15" i="53"/>
  <c r="B31" i="72" s="1"/>
  <c r="C6" i="74"/>
  <c r="L63" i="9"/>
  <c r="M63" i="9" s="1"/>
  <c r="L67" i="9"/>
  <c r="M67" i="9" s="1"/>
  <c r="L64" i="9"/>
  <c r="M64" i="9" s="1"/>
  <c r="L66" i="9"/>
  <c r="M66" i="9" s="1"/>
  <c r="L65" i="9"/>
  <c r="M65" i="9" s="1"/>
  <c r="L68" i="9"/>
  <c r="M68" i="9" s="1"/>
  <c r="D8" i="52"/>
  <c r="D123" i="9"/>
  <c r="D9" i="52" s="1"/>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<sst xmlns="http://schemas.openxmlformats.org/spreadsheetml/2006/main" count="7829" uniqueCount="3421">
  <si>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</si>
  <si>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</si>
  <si>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</si>
  <si>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</si>
  <si>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</si>
  <si>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</si>
  <si>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</si>
  <si>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</si>
  <si>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</si>
  <si>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</si>
  <si>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</si>
  <si>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</si>
  <si>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</si>
  <si>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</si>
  <si>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</si>
  <si>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</si>
  <si>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</si>
  <si>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</si>
  <si>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</si>
  <si>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</si>
  <si>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</si>
  <si>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</si>
  <si>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</si>
  <si>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</si>
  <si>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</si>
  <si>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</si>
  <si>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</si>
  <si>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</si>
  <si>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</si>
  <si>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</si>
  <si>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</si>
  <si>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</si>
  <si>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</si>
  <si>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</si>
  <si>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</si>
  <si>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</si>
  <si>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</si>
  <si>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</si>
  <si>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</si>
  <si>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</si>
  <si>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</si>
  <si>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</si>
  <si>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</si>
  <si>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</si>
  <si>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</si>
  <si>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</si>
  <si>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</si>
  <si>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</si>
  <si>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</si>
  <si>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</si>
  <si>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</si>
  <si>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</si>
  <si>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</si>
  <si>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</si>
  <si>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</si>
  <si>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</si>
  <si>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</si>
  <si>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</si>
  <si>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</si>
  <si>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</si>
  <si>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</si>
  <si>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</si>
  <si>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</si>
  <si>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</si>
  <si>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</si>
  <si>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</si>
  <si>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</si>
  <si>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</si>
  <si>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</si>
  <si>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</si>
  <si>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</si>
  <si>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</si>
  <si>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</si>
  <si>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</si>
  <si>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</si>
  <si>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</si>
  <si>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</si>
  <si>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</si>
  <si>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</si>
  <si>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</si>
  <si>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</si>
  <si>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</si>
  <si>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</si>
  <si>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</si>
  <si>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</si>
  <si>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</si>
  <si>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</si>
  <si>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</si>
  <si>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</si>
  <si>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</si>
  <si>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</si>
  <si>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</si>
  <si>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</si>
  <si>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</si>
  <si>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</si>
  <si>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</si>
  <si>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</si>
  <si>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</si>
  <si>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</si>
  <si>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</si>
  <si>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</si>
  <si>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</si>
  <si>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</si>
  <si>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</si>
  <si>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</si>
  <si>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</si>
  <si>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</si>
  <si>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</si>
  <si>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</si>
  <si>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</si>
  <si>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</si>
  <si>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</si>
  <si>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</si>
  <si>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</si>
  <si>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</si>
  <si>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</si>
  <si>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</si>
  <si>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</si>
  <si>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</si>
  <si>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</si>
  <si>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</si>
  <si>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</si>
  <si>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</si>
  <si>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</si>
  <si>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</si>
  <si>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</si>
  <si>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</si>
  <si>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</si>
  <si>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</si>
  <si>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</si>
  <si>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</si>
  <si>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</si>
  <si>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</si>
  <si>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</si>
  <si>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</si>
  <si>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</si>
  <si>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</si>
  <si>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</si>
  <si>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</si>
  <si>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</si>
  <si>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</si>
  <si>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</si>
  <si>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</si>
  <si>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</si>
  <si>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</si>
  <si>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</si>
  <si>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</si>
  <si>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</si>
  <si>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</si>
  <si>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</si>
  <si>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</si>
  <si>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</si>
  <si>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</si>
  <si>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</si>
  <si>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</si>
  <si>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</si>
  <si>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</si>
  <si>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</si>
  <si>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</si>
  <si>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</si>
  <si>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</si>
  <si>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</si>
  <si>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</si>
  <si>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</si>
  <si>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</si>
  <si>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</si>
  <si>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</si>
  <si>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</si>
  <si>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</si>
  <si>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</si>
  <si>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</si>
  <si>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</si>
  <si>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</si>
  <si>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</si>
  <si>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</si>
  <si>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</si>
  <si>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</si>
  <si>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</si>
  <si>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</si>
  <si>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</si>
  <si>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</si>
  <si>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</si>
  <si>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</si>
  <si>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</si>
  <si>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</si>
  <si>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</si>
  <si>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</si>
  <si>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</si>
  <si>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</si>
  <si>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</si>
  <si>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</si>
  <si>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</si>
  <si>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</si>
  <si>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</si>
  <si>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</si>
  <si>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</si>
  <si>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</si>
  <si>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</si>
  <si>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</si>
  <si>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</si>
  <si>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</si>
  <si>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</si>
  <si>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</si>
  <si>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</si>
  <si>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</si>
  <si>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</si>
  <si>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</si>
  <si>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</si>
  <si>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</si>
  <si>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</si>
  <si>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</si>
  <si>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</si>
  <si>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</si>
  <si>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</si>
  <si>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</si>
  <si>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</si>
  <si>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</si>
  <si>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</si>
  <si>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</si>
  <si>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</si>
  <si>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</si>
  <si>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</si>
  <si>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</si>
  <si>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</si>
  <si>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</si>
  <si>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</si>
  <si>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</si>
  <si>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</si>
  <si>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</si>
  <si>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</si>
  <si>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</si>
  <si>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</si>
  <si>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</si>
  <si>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</si>
  <si>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</si>
  <si>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</si>
  <si>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</si>
  <si>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</si>
  <si>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</si>
  <si>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</si>
  <si>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</si>
  <si>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</si>
  <si>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</si>
  <si>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</si>
  <si>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</si>
  <si>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</si>
  <si>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</si>
  <si>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</si>
  <si>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</si>
  <si>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</si>
  <si>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</si>
  <si>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</si>
  <si>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</si>
  <si>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</si>
  <si>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</si>
  <si>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</si>
  <si>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</si>
  <si>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</si>
  <si>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</si>
  <si>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</si>
  <si>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</si>
  <si>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</si>
  <si>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</si>
  <si>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</si>
  <si>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</si>
  <si>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</si>
  <si>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</si>
  <si>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</si>
  <si>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</si>
  <si>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</si>
  <si>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</si>
  <si>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</si>
  <si>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</si>
  <si>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</si>
  <si>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</si>
  <si>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</si>
  <si>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</si>
  <si>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</si>
  <si>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</si>
  <si>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</si>
  <si>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</si>
  <si>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</si>
  <si>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</si>
  <si>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</si>
  <si>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</si>
  <si>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</si>
  <si>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</si>
  <si>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</si>
  <si>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</si>
  <si>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</si>
  <si>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</si>
  <si>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</si>
  <si>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</si>
  <si>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</si>
  <si>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</si>
  <si>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</si>
  <si>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</si>
  <si>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</si>
  <si>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</si>
  <si>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</si>
  <si>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</si>
  <si>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</si>
  <si>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</si>
  <si>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</si>
  <si>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</si>
  <si>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</si>
  <si>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</si>
  <si>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</si>
  <si>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</si>
  <si>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</si>
  <si>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</si>
  <si>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</si>
  <si>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</si>
  <si>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</si>
  <si>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</si>
  <si>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</si>
  <si>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</si>
  <si>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</si>
  <si>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</si>
  <si>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</si>
  <si>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</si>
  <si>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</si>
  <si>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</si>
  <si>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</si>
  <si>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</si>
  <si>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</si>
  <si>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</si>
  <si>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</si>
  <si>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</si>
  <si>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</si>
  <si>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</si>
  <si>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</si>
  <si>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</si>
  <si>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</si>
  <si>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</si>
  <si>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</si>
  <si>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</si>
  <si>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</si>
  <si>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</si>
  <si>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</si>
  <si>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</si>
  <si>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</si>
  <si>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</si>
  <si>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</si>
  <si>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</si>
  <si>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</si>
  <si>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</si>
  <si>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</si>
  <si>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</si>
  <si>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</si>
  <si>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</si>
  <si>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</si>
  <si>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</si>
  <si>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</si>
  <si>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</si>
  <si>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</si>
  <si>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</si>
  <si>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</si>
  <si>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</si>
  <si>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</si>
  <si>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</si>
  <si>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</si>
  <si>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</si>
  <si>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</si>
  <si>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</si>
  <si>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</si>
  <si>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</si>
  <si>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</si>
  <si>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</si>
  <si>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</si>
  <si>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</si>
  <si>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</si>
  <si>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</si>
  <si>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</si>
  <si>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</si>
  <si>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</si>
  <si>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</si>
  <si>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</si>
  <si>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</si>
  <si>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</si>
  <si>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</si>
  <si>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</si>
  <si>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</si>
  <si>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</si>
  <si>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</si>
  <si>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</si>
  <si>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</si>
  <si>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</si>
  <si>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</si>
  <si>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</si>
  <si>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</si>
  <si>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</si>
  <si>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</si>
  <si>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</si>
  <si>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</si>
  <si>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</si>
  <si>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</si>
  <si>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</si>
  <si>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</si>
  <si>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</si>
  <si>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</si>
  <si>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</si>
  <si>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</si>
  <si>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</si>
  <si>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</si>
  <si>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</si>
  <si>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</si>
  <si>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</si>
  <si>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</si>
  <si>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</si>
  <si>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</si>
  <si>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</si>
  <si>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</si>
  <si>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</si>
  <si>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</si>
  <si>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</si>
  <si>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</si>
  <si>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</si>
  <si>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</si>
  <si>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</si>
  <si>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</si>
  <si>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</si>
  <si>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</si>
  <si>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</si>
  <si>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</si>
  <si>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</si>
  <si>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</si>
  <si>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</si>
  <si>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</si>
  <si>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</si>
  <si>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</si>
  <si>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</si>
  <si>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</si>
  <si>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</si>
  <si>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</si>
  <si>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</si>
  <si>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</si>
  <si>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</si>
  <si>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</si>
  <si>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</si>
  <si>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</si>
  <si>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</si>
  <si>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</si>
  <si>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</si>
  <si>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</si>
  <si>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</si>
  <si>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</si>
  <si>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</si>
  <si>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</si>
  <si>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</si>
  <si>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</si>
  <si>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</si>
  <si>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</si>
  <si>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</si>
  <si>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</si>
  <si>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</si>
  <si>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</si>
  <si>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</si>
  <si>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</si>
  <si>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</si>
  <si>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</si>
  <si>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</si>
  <si>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</si>
  <si>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</si>
  <si>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</si>
  <si>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</si>
  <si>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</si>
  <si>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</si>
  <si>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</si>
  <si>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</si>
  <si>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</si>
  <si>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</si>
  <si>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</si>
  <si>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</si>
  <si>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</si>
  <si>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</si>
  <si>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</si>
  <si>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</si>
  <si>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</si>
  <si>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</si>
  <si>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</si>
  <si>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</si>
  <si>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</si>
  <si>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</si>
  <si>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</si>
  <si>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</si>
  <si>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</si>
  <si>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</si>
  <si>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</si>
  <si>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</si>
  <si>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</si>
  <si>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</si>
  <si>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</si>
  <si>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</si>
  <si>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</si>
  <si>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</si>
  <si>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</si>
  <si>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</si>
  <si>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</si>
  <si>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</si>
  <si>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</si>
  <si>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</si>
  <si>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</si>
  <si>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</si>
  <si>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</si>
  <si>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</si>
  <si>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</si>
  <si>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</si>
  <si>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</si>
  <si>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</si>
  <si>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</si>
  <si>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</si>
  <si>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</si>
  <si>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</si>
  <si>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</si>
  <si>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</si>
  <si>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</si>
  <si>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</si>
  <si>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</si>
  <si>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</si>
  <si>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</si>
  <si>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</si>
  <si>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</si>
  <si>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</si>
  <si>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</si>
  <si>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</si>
  <si>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</si>
  <si>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</si>
  <si>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</si>
  <si>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</si>
  <si>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</si>
  <si>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</si>
  <si>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</si>
  <si>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</si>
  <si>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</si>
  <si>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</si>
  <si>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</si>
  <si>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</si>
  <si>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</si>
  <si>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</si>
  <si>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</si>
  <si>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</si>
  <si>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</si>
  <si>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</si>
  <si>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</si>
  <si>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</si>
  <si>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</si>
  <si>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</si>
  <si>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</si>
  <si>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</si>
  <si>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</si>
  <si>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</si>
  <si>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</si>
  <si>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</si>
  <si>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</si>
  <si>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</si>
  <si>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</si>
  <si>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</si>
  <si>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</si>
  <si>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</si>
  <si>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</si>
  <si>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</si>
  <si>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</si>
  <si>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</si>
  <si>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</si>
  <si>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</si>
  <si>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</si>
  <si>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</si>
  <si>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</si>
  <si>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</si>
  <si>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</si>
  <si>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</si>
  <si>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</si>
  <si>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</si>
  <si>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</si>
  <si>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</si>
  <si>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</si>
  <si>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</si>
  <si>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</si>
  <si>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</si>
  <si>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</si>
  <si>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</si>
  <si>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</si>
  <si>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</si>
  <si>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</si>
  <si>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</si>
  <si>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</si>
  <si>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</si>
  <si>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</si>
  <si>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</si>
  <si>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</si>
  <si>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</si>
  <si>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</si>
  <si>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</si>
  <si>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</si>
  <si>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</si>
  <si>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</si>
  <si>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</si>
  <si>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</si>
  <si>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</si>
  <si>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</si>
  <si>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</si>
  <si>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</si>
  <si>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</si>
  <si>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</si>
  <si>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</si>
  <si>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</si>
  <si>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</si>
  <si>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</si>
  <si>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</si>
  <si>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</si>
  <si>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</si>
  <si>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</si>
  <si>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</si>
  <si>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</si>
  <si>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</si>
  <si>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</si>
  <si>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</si>
  <si>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</si>
  <si>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</si>
  <si>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</si>
  <si>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</si>
  <si>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</si>
  <si>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</si>
  <si>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</si>
  <si>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</si>
  <si>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</si>
  <si>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</si>
  <si>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</si>
  <si>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</si>
  <si>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</si>
  <si>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</si>
  <si>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</si>
  <si>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</si>
  <si>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</si>
  <si>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</si>
  <si>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</si>
  <si>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</si>
  <si>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</si>
  <si>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</si>
  <si>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</si>
  <si>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</si>
  <si>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</si>
  <si>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</si>
  <si>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</si>
  <si>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</si>
  <si>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</si>
  <si>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</si>
  <si>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</si>
  <si>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</si>
  <si>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</si>
  <si>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</si>
  <si>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</si>
  <si>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</si>
  <si>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</si>
  <si>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</si>
  <si>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</si>
  <si>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</si>
  <si>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</si>
  <si>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</si>
  <si>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</si>
  <si>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</si>
  <si>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</si>
  <si>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</si>
  <si>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</si>
  <si>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</si>
  <si>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</si>
  <si>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</si>
  <si>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</si>
  <si>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</si>
  <si>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</si>
  <si>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</si>
  <si>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</si>
  <si>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</si>
  <si>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</si>
  <si>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</si>
  <si>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</si>
  <si>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</si>
  <si>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</si>
  <si>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</si>
  <si>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</si>
  <si>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</si>
  <si>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</si>
  <si>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</si>
  <si>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</si>
  <si>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</si>
  <si>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</si>
  <si>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</si>
  <si>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</si>
  <si>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</si>
  <si>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</si>
  <si>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</si>
  <si>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</si>
  <si>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</si>
  <si>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</si>
  <si>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</si>
  <si>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</si>
  <si>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</si>
  <si>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</si>
  <si>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</si>
  <si>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</si>
  <si>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</si>
  <si>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</si>
  <si>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</si>
  <si>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</si>
  <si>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</si>
  <si>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</si>
  <si>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</si>
  <si>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</si>
  <si>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</si>
  <si>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</si>
  <si>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</si>
  <si>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</si>
  <si>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</si>
  <si>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</si>
  <si>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</si>
  <si>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</si>
  <si>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</si>
  <si>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</si>
  <si>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</si>
  <si>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</si>
  <si>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</si>
  <si>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</si>
  <si>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</si>
  <si>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</si>
  <si>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</si>
  <si>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</si>
  <si>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</si>
  <si>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</si>
  <si>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</si>
  <si>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</si>
  <si>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</si>
  <si>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</si>
  <si>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</si>
  <si>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</si>
  <si>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</si>
  <si>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</si>
  <si>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</si>
  <si>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</si>
  <si>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</si>
  <si>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</si>
  <si>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</si>
  <si>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</si>
  <si>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</si>
  <si>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</si>
  <si>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</si>
  <si>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</si>
  <si>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</si>
  <si>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</si>
  <si>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</si>
  <si>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</si>
  <si>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</si>
  <si>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</si>
  <si>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</si>
  <si>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</si>
  <si>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</si>
  <si>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</si>
  <si>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</si>
  <si>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</si>
  <si>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</si>
  <si>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</si>
  <si>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</si>
  <si>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</si>
  <si>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</si>
  <si>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</si>
  <si>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</si>
  <si>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</si>
  <si>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</si>
  <si>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</si>
  <si>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</si>
  <si>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</si>
  <si>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</si>
  <si>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</si>
  <si>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</si>
  <si>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</si>
  <si>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</si>
  <si>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</si>
  <si>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</si>
  <si>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</si>
  <si>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</si>
  <si>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</si>
  <si>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</si>
  <si>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</si>
  <si>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</si>
  <si>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</si>
  <si>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</si>
  <si>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</si>
  <si>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</si>
  <si>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</si>
  <si>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</si>
  <si>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</si>
  <si>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</si>
  <si>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</si>
  <si>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</si>
  <si>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</si>
  <si>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</si>
  <si>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</si>
  <si>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</si>
  <si>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</si>
  <si>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</si>
  <si>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</si>
  <si>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</si>
  <si>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</si>
  <si>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</si>
  <si>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</si>
  <si>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</si>
  <si>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</si>
  <si>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</si>
  <si>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</si>
  <si>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</si>
  <si>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</si>
  <si>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</si>
  <si>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</si>
  <si>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</si>
  <si>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</si>
  <si>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</si>
  <si>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</si>
  <si>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</si>
  <si>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</si>
  <si>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</si>
  <si>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</si>
  <si>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</si>
  <si>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</si>
  <si>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</si>
  <si>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</si>
  <si>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</si>
  <si>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</si>
  <si>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</si>
  <si>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</si>
  <si>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</si>
  <si>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</si>
  <si>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</si>
  <si>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</si>
  <si>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</si>
  <si>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</si>
  <si>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</si>
  <si>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</si>
  <si>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</si>
  <si>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</si>
  <si>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</si>
  <si>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</si>
  <si>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</si>
  <si>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</si>
  <si>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</si>
  <si>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</si>
  <si>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</si>
  <si>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</si>
  <si>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</si>
  <si>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</si>
  <si>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</si>
  <si>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</si>
  <si>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</si>
  <si>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</si>
  <si>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</si>
  <si>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</si>
  <si>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</si>
  <si>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</si>
  <si>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</si>
  <si>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</si>
  <si>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</si>
  <si>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</si>
  <si>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</si>
  <si>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</si>
  <si>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</si>
  <si>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</si>
  <si>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</si>
  <si>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</si>
  <si>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</si>
  <si>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</si>
  <si>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</si>
  <si>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</si>
  <si>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</si>
  <si>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</si>
  <si>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</si>
  <si>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</si>
  <si>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</si>
  <si>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</si>
  <si>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</si>
  <si>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</si>
  <si>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</si>
  <si>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</si>
  <si>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</si>
  <si>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</si>
  <si>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</si>
  <si>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</si>
  <si>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</si>
  <si>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</si>
  <si>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</si>
  <si>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</si>
  <si>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</si>
  <si>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</si>
  <si>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</si>
  <si>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</si>
  <si>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</si>
  <si>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</si>
  <si>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</si>
  <si>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</si>
  <si>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</si>
  <si>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</si>
  <si>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</si>
  <si>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</si>
  <si>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</si>
  <si>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</si>
  <si>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</si>
  <si>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</si>
  <si>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</si>
  <si>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</si>
  <si>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</si>
  <si>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</si>
  <si>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</si>
  <si>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</si>
  <si>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</si>
  <si>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</si>
  <si>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</si>
  <si>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</si>
  <si>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</si>
  <si>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</si>
  <si>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</si>
  <si>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</si>
  <si>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</si>
  <si>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</si>
  <si>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</si>
  <si>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</si>
  <si>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</si>
  <si>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</si>
  <si>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</si>
  <si>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</si>
  <si>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</si>
  <si>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</si>
  <si>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</si>
  <si>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</si>
  <si>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</si>
  <si>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</si>
  <si>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</si>
  <si>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</si>
  <si>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</si>
  <si>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</si>
  <si>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</si>
  <si>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</si>
  <si>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</si>
  <si>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</si>
  <si>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</si>
  <si>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</si>
  <si>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</si>
  <si>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</si>
  <si>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</si>
  <si>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</si>
  <si>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</si>
  <si>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</si>
  <si>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</si>
  <si>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</si>
  <si>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</si>
  <si>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</si>
  <si>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</si>
  <si>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</si>
  <si>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</si>
  <si>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</si>
  <si>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</si>
  <si>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</si>
  <si>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</si>
  <si>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</si>
  <si>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</si>
  <si>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</si>
  <si>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</si>
  <si>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</si>
  <si>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</si>
  <si>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</si>
  <si>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</si>
  <si>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</si>
  <si>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</si>
  <si>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</si>
  <si>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</si>
  <si>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</si>
  <si>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</si>
  <si>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</si>
  <si>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</si>
  <si>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</si>
  <si>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</si>
  <si>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</si>
  <si>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</si>
  <si>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</si>
  <si>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</si>
  <si>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</si>
  <si>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</si>
  <si>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</si>
  <si>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</si>
  <si>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</si>
  <si>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</si>
  <si>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</si>
  <si>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</si>
  <si>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</si>
  <si>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</si>
  <si>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</si>
  <si>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</si>
  <si>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</si>
  <si>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</si>
  <si>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</si>
  <si>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</si>
  <si>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</si>
  <si>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</si>
  <si>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</si>
  <si>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</si>
  <si>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</si>
  <si>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</si>
  <si>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</si>
  <si>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</si>
  <si>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</si>
  <si>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</si>
  <si>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</si>
  <si>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</si>
  <si>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</si>
  <si>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</si>
  <si>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</si>
  <si>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</si>
  <si>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</si>
  <si>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</si>
  <si>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</si>
  <si>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</si>
  <si>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</si>
  <si>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</si>
  <si>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</si>
  <si>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</si>
  <si>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</si>
  <si>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</si>
  <si>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</si>
  <si>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</si>
  <si>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</si>
  <si>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</si>
  <si>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</si>
  <si>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</si>
  <si>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</si>
  <si>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</si>
  <si>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</si>
  <si>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</si>
  <si>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</si>
  <si>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</si>
  <si>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</si>
  <si>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</si>
  <si>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</si>
  <si>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</si>
  <si>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</si>
  <si>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</si>
  <si>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</si>
  <si>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</si>
  <si>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</si>
  <si>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</si>
  <si>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</si>
  <si>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</si>
  <si>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</si>
  <si>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</si>
  <si>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</si>
  <si>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</si>
  <si>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</si>
  <si>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</si>
  <si>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</si>
  <si>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</si>
  <si>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</si>
  <si>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</si>
  <si>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</si>
  <si>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</si>
  <si>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</si>
  <si>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</si>
  <si>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</si>
  <si>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</si>
  <si>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</si>
  <si>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</si>
  <si>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</si>
  <si>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</si>
  <si>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</si>
  <si>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</si>
  <si>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</si>
  <si>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</si>
  <si>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</si>
  <si>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</si>
  <si>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</si>
  <si>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</si>
  <si>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</si>
  <si>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</si>
  <si>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</si>
  <si>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</si>
  <si>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</si>
  <si>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</si>
  <si>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</si>
  <si>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</si>
  <si>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</si>
  <si>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</si>
  <si>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</si>
  <si>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</si>
  <si>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</si>
  <si>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</si>
  <si>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</si>
  <si>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</si>
  <si>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</si>
  <si>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</si>
  <si>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</si>
  <si>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</si>
  <si>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</si>
  <si>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</si>
  <si>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</si>
  <si>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</si>
  <si>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</si>
  <si>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</si>
  <si>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</si>
  <si>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</si>
  <si>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</si>
  <si>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</si>
  <si>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</si>
  <si>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</si>
  <si>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</si>
  <si>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</si>
  <si>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</si>
  <si>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</si>
  <si>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</si>
  <si>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</si>
  <si>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</si>
  <si>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</si>
  <si>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</si>
  <si>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</si>
  <si>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</si>
  <si>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</si>
  <si>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</si>
  <si>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</si>
  <si>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</si>
  <si>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</si>
  <si>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</si>
  <si>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</si>
  <si>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</si>
  <si>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</si>
  <si>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</si>
  <si>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</si>
  <si>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</si>
  <si>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</si>
  <si>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</si>
  <si>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</si>
  <si>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</si>
  <si>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</si>
  <si>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</si>
  <si>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</si>
  <si>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</si>
  <si>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</si>
  <si>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</si>
  <si>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</si>
  <si>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</si>
  <si>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</si>
  <si>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</si>
  <si>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</si>
  <si>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</si>
  <si>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</si>
  <si>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</si>
  <si>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</si>
  <si>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</si>
  <si>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</si>
  <si>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</si>
  <si>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</si>
  <si>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</si>
  <si>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</si>
  <si>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</si>
  <si>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</si>
  <si>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</si>
  <si>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</si>
  <si>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</si>
  <si>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</si>
  <si>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</si>
  <si>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</si>
  <si>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</si>
  <si>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</si>
  <si>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</si>
  <si>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</si>
  <si>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</si>
  <si>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</si>
  <si>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</si>
  <si>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</si>
  <si>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</si>
  <si>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</si>
  <si>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</si>
  <si>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</si>
  <si>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</si>
  <si>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</si>
  <si>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</si>
  <si>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</si>
  <si>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</si>
  <si>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</si>
  <si>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</si>
  <si>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</si>
  <si>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</si>
  <si>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</si>
  <si>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</si>
  <si>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</si>
  <si>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</si>
  <si>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</si>
  <si>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</si>
  <si>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</si>
  <si>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</si>
  <si>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</si>
  <si>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</si>
  <si>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</si>
  <si>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</si>
  <si>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</si>
  <si>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</si>
  <si>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</si>
  <si>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</si>
  <si>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</si>
  <si>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</si>
  <si>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</si>
  <si>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</si>
  <si>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</si>
  <si>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</si>
  <si>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</si>
  <si>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</si>
  <si>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</si>
  <si>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</si>
  <si>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</si>
  <si>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</si>
  <si>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</si>
  <si>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</si>
  <si>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</si>
  <si>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</si>
  <si>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</si>
  <si>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</si>
  <si>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</si>
  <si>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</si>
  <si>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</si>
  <si>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</si>
  <si>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</si>
  <si>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</si>
  <si>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</si>
  <si>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</si>
  <si>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</si>
  <si>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</si>
  <si>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</si>
  <si>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</si>
  <si>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</si>
  <si>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</si>
  <si>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</si>
  <si>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</si>
  <si>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</si>
  <si>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</si>
  <si>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</si>
  <si>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</si>
  <si>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</si>
  <si>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</si>
  <si>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</si>
  <si>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</si>
  <si>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</si>
  <si>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</si>
  <si>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</si>
  <si>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</si>
  <si>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</si>
  <si>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</si>
  <si>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</si>
  <si>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</si>
  <si>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</si>
  <si>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</si>
  <si>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</si>
  <si>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</si>
  <si>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</si>
  <si>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</si>
  <si>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</si>
  <si>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</si>
  <si>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</si>
  <si>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</si>
  <si>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</si>
  <si>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</si>
  <si>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</si>
  <si>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</si>
  <si>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</si>
  <si>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</si>
  <si>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</si>
  <si>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</si>
  <si>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</si>
  <si>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</si>
  <si>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</si>
  <si>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</si>
  <si>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</si>
  <si>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</si>
  <si>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</si>
  <si>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</si>
  <si>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</si>
  <si>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</si>
  <si>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</si>
  <si>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</si>
  <si>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</si>
  <si>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</si>
  <si>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</si>
  <si>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</si>
  <si>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</si>
  <si>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</si>
  <si>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</si>
  <si>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</si>
  <si>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</si>
  <si>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</si>
  <si>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</si>
  <si>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</si>
  <si>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</si>
  <si>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</si>
  <si>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</si>
  <si>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</si>
  <si>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</si>
  <si>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</si>
  <si>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</si>
  <si>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</si>
  <si>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</si>
  <si>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</si>
  <si>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</si>
  <si>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</si>
  <si>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</si>
  <si>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</si>
  <si>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</si>
  <si>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</si>
  <si>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</si>
  <si>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</si>
  <si>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</si>
  <si>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</si>
  <si>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</si>
  <si>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</si>
  <si>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</si>
  <si>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</si>
  <si>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</si>
  <si>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</si>
  <si>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</si>
  <si>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</si>
  <si>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</si>
  <si>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</si>
  <si>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</si>
  <si>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</si>
  <si>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</si>
  <si>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</si>
  <si>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</si>
  <si>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</si>
  <si>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</si>
  <si>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</si>
  <si>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</si>
  <si>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</si>
  <si>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</si>
  <si>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</si>
  <si>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</si>
  <si>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</si>
  <si>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</si>
  <si>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</si>
  <si>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</si>
  <si>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</si>
  <si>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</si>
  <si>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</si>
  <si>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</si>
  <si>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</si>
  <si>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</si>
  <si>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</si>
  <si>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</si>
  <si>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</si>
  <si>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</si>
  <si>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</si>
  <si>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</si>
  <si>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</si>
  <si>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</si>
  <si>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</si>
  <si>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</si>
  <si>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</si>
  <si>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</si>
  <si>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</si>
  <si>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</si>
  <si>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</si>
  <si>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</si>
  <si>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</si>
  <si>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</si>
  <si>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</si>
  <si>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</si>
  <si>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</si>
  <si>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</si>
  <si>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</si>
  <si>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</si>
  <si>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</si>
  <si>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</si>
  <si>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</si>
  <si>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</si>
  <si>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</si>
  <si>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</si>
  <si>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</si>
  <si>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</si>
  <si>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</si>
  <si>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</si>
  <si>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</si>
  <si>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</si>
  <si>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</si>
  <si>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</si>
  <si>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</si>
  <si>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</si>
  <si>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</si>
  <si>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</si>
  <si>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</si>
  <si>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</si>
  <si>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</si>
  <si>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</si>
  <si>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</si>
  <si>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</si>
  <si>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</si>
  <si>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</si>
  <si>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</si>
  <si>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</si>
  <si>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</si>
  <si>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</si>
  <si>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</si>
  <si>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</si>
  <si>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</si>
  <si>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</si>
  <si>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</si>
  <si>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</si>
  <si>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</si>
  <si>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</si>
  <si>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</si>
  <si>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</si>
  <si>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</si>
  <si>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</si>
  <si>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</si>
  <si>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</si>
  <si>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</si>
  <si>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</si>
  <si>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</si>
  <si>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</si>
  <si>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</si>
  <si>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</si>
  <si>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</si>
  <si>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</si>
  <si>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</si>
  <si>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</si>
  <si>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</si>
  <si>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</si>
  <si>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</si>
  <si>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</si>
  <si>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</si>
  <si>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</si>
  <si>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</si>
  <si>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</si>
  <si>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</si>
  <si>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</si>
  <si>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</si>
  <si>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</si>
  <si>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</si>
  <si>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</si>
  <si>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</si>
  <si>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</si>
  <si>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</si>
  <si>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</si>
  <si>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</si>
  <si>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</si>
  <si>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</si>
  <si>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</si>
  <si>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</si>
  <si>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</si>
  <si>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</si>
  <si>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</si>
  <si>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</si>
  <si>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</si>
  <si>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</si>
  <si>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</si>
  <si>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</si>
  <si>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</si>
  <si>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</si>
  <si>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</si>
  <si>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</si>
  <si>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</si>
  <si>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</si>
  <si>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</si>
  <si>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</si>
  <si>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</si>
  <si>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</si>
  <si>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</si>
  <si>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</si>
  <si>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</si>
  <si>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</si>
  <si>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</si>
  <si>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</si>
  <si>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</si>
  <si>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</si>
  <si>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</si>
  <si>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</si>
  <si>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</si>
  <si>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</si>
  <si>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</si>
  <si>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</si>
  <si>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</si>
  <si>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</si>
  <si>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</si>
  <si>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</si>
  <si>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</si>
  <si>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</si>
  <si>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</si>
  <si>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</si>
  <si>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</si>
  <si>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</si>
  <si>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</si>
  <si>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</si>
  <si>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</si>
  <si>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</si>
  <si>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</si>
  <si>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</si>
  <si>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</si>
  <si>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</si>
  <si>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</si>
  <si>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</si>
  <si>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</si>
  <si>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</si>
  <si>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</si>
  <si>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</si>
  <si>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</si>
  <si>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</si>
  <si>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</si>
  <si>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</si>
  <si>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</si>
  <si>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</si>
  <si>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</si>
  <si>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</si>
  <si>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</si>
  <si>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</si>
  <si>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</si>
  <si>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</si>
  <si>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</si>
  <si>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</si>
  <si>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</si>
  <si>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</si>
  <si>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</si>
  <si>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</si>
  <si>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</si>
  <si>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</si>
  <si>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</si>
  <si>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</si>
  <si>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</si>
  <si>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</si>
  <si>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</si>
  <si>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</si>
  <si>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</si>
  <si>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</si>
  <si>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</si>
  <si>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</si>
  <si>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</si>
  <si>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</si>
  <si>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</si>
  <si>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</si>
  <si>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</si>
  <si>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</si>
  <si>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</si>
  <si>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</si>
  <si>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</si>
  <si>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</si>
  <si>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</si>
  <si>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</si>
  <si>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</si>
  <si>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</si>
  <si>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</si>
  <si>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</si>
  <si>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</si>
  <si>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</si>
  <si>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</si>
  <si>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</si>
  <si>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</si>
  <si>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</si>
  <si>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</si>
  <si>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</si>
  <si>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</si>
  <si>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</si>
  <si>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</si>
  <si>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</si>
  <si>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</si>
  <si>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</si>
  <si>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</si>
  <si>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</si>
  <si>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</si>
  <si>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</si>
  <si>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</si>
  <si>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</si>
  <si>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</si>
  <si>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</si>
  <si>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</si>
  <si>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</si>
  <si>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</si>
  <si>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</si>
  <si>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</si>
  <si>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</si>
  <si>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</si>
  <si>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</si>
  <si>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</si>
  <si>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</si>
  <si>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</si>
  <si>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</si>
  <si>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</si>
  <si>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</si>
  <si>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</si>
  <si>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</si>
  <si>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</si>
  <si>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</si>
  <si>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</si>
  <si>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</si>
  <si>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</si>
  <si>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</si>
  <si>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</si>
  <si>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</si>
  <si>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</si>
  <si>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</si>
  <si>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</si>
  <si>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</si>
  <si>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</si>
  <si>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</si>
  <si>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</si>
  <si>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</si>
  <si>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</si>
  <si>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</si>
  <si>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</si>
  <si>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</si>
  <si>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</si>
  <si>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</si>
  <si>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</si>
  <si>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</si>
  <si>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</si>
  <si>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</si>
  <si>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</si>
  <si>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</si>
  <si>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</si>
  <si>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</si>
  <si>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</si>
  <si>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</si>
  <si>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</si>
  <si>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</si>
  <si>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</si>
  <si>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</si>
  <si>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</si>
  <si>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</si>
  <si>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</si>
  <si>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</si>
  <si>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</si>
  <si>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</si>
  <si>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</si>
  <si>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</si>
  <si>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</si>
  <si>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</si>
  <si>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</si>
  <si>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</si>
  <si>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</si>
  <si>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</si>
  <si>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</si>
  <si>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</si>
  <si>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</si>
  <si>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</si>
  <si>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</si>
  <si>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</si>
  <si>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</si>
  <si>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</si>
  <si>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</si>
  <si>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</si>
  <si>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</si>
  <si>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</si>
  <si>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</si>
  <si>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</si>
  <si>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</si>
  <si>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</si>
  <si>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</si>
  <si>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</si>
  <si>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</si>
  <si>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</si>
  <si>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</si>
  <si>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</si>
  <si>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</si>
  <si>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</si>
  <si>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</si>
  <si>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</si>
  <si>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</si>
  <si>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</si>
  <si>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</si>
  <si>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</si>
  <si>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</si>
  <si>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</si>
  <si>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</si>
  <si>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</si>
  <si>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</si>
  <si>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</si>
  <si>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</si>
  <si>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</si>
  <si>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</si>
  <si>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</si>
  <si>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</si>
  <si>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</si>
  <si>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</si>
  <si>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</si>
  <si>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</si>
  <si>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</si>
  <si>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</si>
  <si>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</si>
  <si>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</si>
  <si>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</si>
  <si>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</si>
  <si>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</si>
  <si>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</si>
  <si>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</si>
  <si>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</si>
  <si>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</si>
  <si>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</si>
  <si>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</si>
  <si>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</si>
  <si>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</si>
  <si>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</si>
  <si>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</si>
  <si>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</si>
  <si>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</si>
  <si>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</si>
  <si>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</si>
  <si>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</si>
  <si>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</si>
  <si>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</si>
  <si>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</si>
  <si>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</si>
  <si>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</si>
  <si>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</si>
  <si>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</si>
  <si>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</si>
  <si>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</si>
  <si>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</si>
  <si>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</si>
  <si>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</si>
  <si>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</si>
  <si>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</si>
  <si>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</si>
  <si>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</si>
  <si>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</si>
  <si>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</si>
  <si>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</si>
  <si>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</si>
  <si>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</si>
  <si>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</si>
  <si>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</si>
  <si>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</si>
  <si>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</si>
  <si>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</si>
  <si>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</si>
  <si>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</si>
  <si>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</si>
  <si>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</si>
  <si>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</si>
  <si>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</si>
  <si>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</si>
  <si>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</si>
  <si>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</si>
  <si>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</si>
  <si>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</si>
  <si>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</si>
  <si>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</si>
  <si>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</si>
  <si>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</si>
  <si>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</si>
  <si>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</si>
  <si>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</si>
  <si>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</si>
  <si>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</si>
  <si>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</si>
  <si>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</si>
  <si>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</si>
  <si>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</si>
  <si>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</si>
  <si>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</si>
  <si>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</si>
  <si>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</si>
  <si>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</si>
  <si>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</si>
  <si>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</si>
  <si>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</si>
  <si>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</si>
  <si>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</si>
  <si>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</si>
  <si>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</si>
  <si>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</si>
  <si>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</si>
  <si>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</si>
  <si>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</si>
  <si>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</si>
  <si>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</si>
  <si>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</si>
  <si>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</si>
  <si>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</si>
  <si>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</si>
  <si>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</si>
  <si>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</si>
  <si>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</si>
  <si>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</si>
  <si>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</si>
  <si>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</si>
  <si>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</si>
  <si>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</si>
  <si>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</si>
  <si>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</si>
  <si>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</si>
  <si>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</si>
  <si>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</si>
  <si>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</si>
  <si>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</si>
  <si>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</si>
  <si>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</si>
  <si>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</si>
  <si>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</si>
  <si>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</si>
  <si>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</si>
  <si>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</si>
  <si>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</si>
  <si>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</si>
  <si>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</si>
  <si>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</si>
  <si>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</si>
  <si>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</si>
  <si>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</si>
  <si>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</si>
  <si>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</si>
  <si>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</si>
  <si>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</si>
  <si>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</si>
  <si>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</si>
  <si>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</si>
  <si>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</si>
  <si>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</si>
  <si>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</si>
  <si>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</si>
  <si>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</si>
  <si>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</si>
  <si>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</si>
  <si>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</si>
  <si>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</si>
  <si>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</si>
  <si>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</si>
  <si>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</si>
  <si>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</si>
  <si>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</si>
  <si>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</si>
  <si>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</si>
  <si>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</si>
  <si>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</si>
  <si>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</si>
  <si>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</si>
  <si>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</si>
  <si>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</si>
  <si>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</si>
  <si>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</si>
  <si>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</si>
  <si>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</si>
  <si>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</si>
  <si>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</si>
  <si>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</si>
  <si>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</si>
  <si>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</si>
  <si>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</si>
  <si>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</si>
  <si>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</si>
  <si>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</si>
  <si>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</si>
  <si>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</si>
  <si>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</si>
  <si>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</si>
  <si>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</si>
  <si>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</si>
  <si>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</si>
  <si>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</si>
  <si>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</si>
  <si>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</si>
  <si>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</si>
  <si>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</si>
  <si>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</si>
  <si>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</si>
  <si>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</si>
  <si>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</si>
  <si>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</si>
  <si>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</si>
  <si>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</si>
  <si>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</si>
  <si>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</si>
  <si>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</si>
  <si>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</si>
  <si>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</si>
  <si>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</si>
  <si>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</si>
  <si>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</si>
  <si>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</si>
  <si>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</si>
  <si>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</si>
  <si>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</si>
  <si>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</si>
  <si>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</si>
  <si>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</si>
  <si>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</si>
  <si>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</si>
  <si>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</si>
  <si>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</si>
  <si>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</si>
  <si>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</si>
  <si>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</si>
  <si>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</si>
  <si>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</si>
  <si>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</si>
  <si>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</si>
  <si>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</si>
  <si>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</si>
  <si>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</si>
  <si>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</si>
  <si>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</si>
  <si>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</si>
  <si>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</si>
  <si>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</si>
  <si>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</si>
  <si>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</si>
  <si>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</si>
  <si>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</si>
  <si>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</si>
  <si>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</si>
  <si>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</si>
  <si>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</si>
  <si>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</si>
  <si>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</si>
  <si>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</si>
  <si>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</si>
  <si>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</si>
  <si>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</si>
  <si>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</si>
  <si>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</si>
  <si>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</si>
  <si>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</si>
  <si>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</si>
  <si>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</si>
  <si>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</si>
  <si>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</si>
  <si>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</si>
  <si>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</si>
  <si>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</si>
  <si>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</si>
  <si>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</si>
  <si>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</si>
  <si>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</si>
  <si>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</si>
  <si>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</si>
  <si>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</si>
  <si>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</si>
  <si>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</si>
  <si>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</si>
  <si>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</si>
  <si>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</si>
  <si>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</si>
  <si>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</si>
  <si>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</si>
  <si>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</si>
  <si>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</si>
  <si>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</si>
  <si>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</si>
  <si>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</si>
  <si>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</si>
  <si>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</si>
  <si>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</si>
  <si>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</si>
  <si>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</si>
  <si>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</si>
  <si>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</si>
  <si>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</si>
  <si>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</si>
  <si>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</si>
  <si>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</si>
  <si>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</si>
  <si>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</si>
  <si>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</si>
  <si>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</si>
  <si>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</si>
  <si>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</si>
  <si>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</si>
  <si>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</si>
  <si>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</si>
  <si>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</si>
  <si>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</si>
  <si>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</si>
  <si>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</si>
  <si>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</si>
  <si>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</si>
  <si>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</si>
  <si>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</si>
  <si>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</si>
  <si>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</si>
  <si>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</si>
  <si>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</si>
  <si>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</si>
  <si>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</si>
  <si>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</si>
  <si>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</si>
  <si>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</si>
  <si>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</si>
  <si>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</si>
  <si>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</si>
  <si>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</si>
  <si>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</si>
  <si>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</si>
  <si>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</si>
  <si>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</si>
  <si>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</si>
  <si>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</si>
  <si>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</si>
  <si>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</si>
  <si>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</si>
  <si>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</si>
  <si>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</si>
  <si>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</si>
  <si>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</si>
  <si>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</si>
  <si>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</si>
  <si>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</si>
  <si>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</si>
  <si>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</si>
  <si>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</si>
  <si>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</si>
  <si>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</si>
  <si>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</si>
  <si>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</si>
  <si>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</si>
  <si>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</si>
  <si>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</si>
  <si>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</si>
  <si>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</si>
  <si>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</si>
  <si>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</si>
  <si>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</si>
  <si>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</si>
  <si>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</si>
  <si>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</si>
  <si>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</si>
  <si>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</si>
  <si>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</si>
  <si>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</si>
  <si>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</si>
  <si>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</si>
  <si>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</si>
  <si>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</si>
  <si>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</si>
  <si>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</si>
  <si>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</si>
  <si>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</si>
  <si>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</si>
  <si>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</si>
  <si>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</si>
  <si>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</si>
  <si>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</si>
  <si>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</si>
  <si>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</si>
  <si>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</si>
  <si>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</si>
  <si>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</si>
  <si>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</si>
  <si>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</si>
  <si>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</si>
  <si>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</si>
  <si>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</si>
  <si>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</si>
  <si>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</si>
  <si>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</si>
  <si>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</si>
  <si>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</si>
  <si>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</si>
  <si>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</si>
  <si>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</si>
  <si>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</si>
  <si>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</si>
  <si>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</si>
  <si>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</si>
  <si>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</si>
  <si>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</si>
  <si>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</si>
  <si>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</si>
  <si>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</si>
  <si>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</si>
  <si>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</si>
  <si>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</si>
  <si>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</si>
  <si>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</si>
  <si>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</si>
  <si>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</si>
  <si>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</si>
  <si>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</si>
  <si>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</si>
  <si>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</si>
  <si>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</si>
  <si>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</si>
  <si>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</si>
  <si>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</si>
  <si>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</si>
  <si>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</si>
  <si>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</si>
  <si>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</si>
  <si>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</si>
  <si>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</si>
  <si>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</si>
  <si>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</si>
  <si>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</si>
  <si>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</si>
  <si>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</si>
  <si>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</si>
  <si>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</si>
  <si>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</si>
  <si>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</si>
  <si>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</si>
  <si>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</si>
  <si>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</si>
  <si>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</si>
  <si>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</si>
  <si>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</si>
  <si>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</si>
  <si>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</si>
  <si>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</si>
  <si>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</si>
  <si>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</si>
  <si>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</si>
  <si>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</si>
  <si>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</si>
  <si>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</si>
  <si>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</si>
  <si>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</si>
  <si>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</si>
  <si>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</si>
  <si>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</si>
  <si>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</si>
  <si>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</si>
  <si>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</si>
  <si>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</si>
  <si>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</si>
  <si>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</si>
  <si>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</si>
  <si>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</si>
  <si>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</si>
  <si>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</si>
  <si>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</si>
  <si>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</si>
  <si>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</si>
  <si>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</si>
  <si>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</si>
  <si>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</si>
  <si>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</si>
  <si>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</si>
  <si>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</si>
  <si>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</si>
  <si>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</si>
  <si>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</si>
  <si>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</si>
  <si>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</si>
  <si>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</si>
  <si>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</si>
  <si>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</si>
  <si>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</si>
  <si>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</si>
  <si>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</si>
  <si>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</si>
  <si>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</si>
  <si>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</si>
  <si>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</si>
  <si>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</si>
  <si>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</si>
  <si>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</si>
  <si>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</si>
  <si>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</si>
  <si>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</si>
  <si>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</si>
  <si>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</si>
  <si>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</si>
  <si>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</si>
  <si>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</si>
  <si>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</si>
  <si>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</si>
  <si>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</si>
  <si>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</si>
  <si>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</si>
  <si>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</si>
  <si>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</si>
  <si>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</si>
  <si>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</si>
  <si>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</si>
  <si>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</si>
  <si>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</si>
  <si>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</si>
  <si>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</si>
  <si>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</si>
  <si>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</si>
  <si>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</si>
  <si>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</si>
  <si>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</si>
  <si>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</si>
  <si>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</si>
  <si>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</si>
  <si>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</si>
  <si>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</si>
  <si>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</si>
  <si>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</si>
  <si>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</si>
  <si>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</si>
  <si>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</si>
  <si>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</si>
  <si>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</si>
  <si>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</si>
  <si>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</si>
  <si>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</si>
  <si>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</si>
  <si>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</si>
  <si>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</si>
  <si>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</si>
  <si>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</si>
  <si>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</si>
  <si>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</si>
  <si>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</si>
  <si>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</si>
  <si>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</si>
  <si>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</si>
  <si>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</si>
  <si>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</si>
  <si>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</si>
  <si>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</si>
  <si>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</si>
  <si>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</si>
  <si>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</si>
  <si>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</si>
  <si>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</si>
  <si>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</si>
  <si>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</si>
  <si>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</si>
  <si>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</si>
  <si>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</si>
  <si>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</si>
  <si>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</si>
  <si>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</si>
  <si>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</si>
  <si>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</si>
  <si>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</si>
  <si>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</si>
  <si>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</si>
  <si>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</si>
  <si>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</si>
  <si>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</si>
  <si>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</si>
  <si>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</si>
  <si>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</si>
  <si>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</si>
  <si>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</si>
  <si>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</si>
  <si>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</si>
  <si>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</si>
  <si>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</si>
  <si>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</si>
  <si>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</si>
  <si>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</si>
  <si>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</si>
  <si>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</si>
  <si>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</si>
  <si>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</si>
  <si>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</si>
  <si>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</si>
  <si>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</si>
  <si>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</si>
  <si>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</si>
  <si>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</si>
  <si>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</si>
  <si>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</si>
  <si>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</si>
  <si>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</si>
  <si>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</si>
  <si>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</si>
  <si>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</si>
  <si>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</si>
  <si>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</si>
  <si>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</si>
  <si>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</si>
  <si>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</si>
  <si>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</si>
  <si>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</si>
  <si>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</si>
  <si>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</si>
  <si>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</si>
  <si>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</si>
  <si>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</si>
  <si>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</si>
  <si>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</si>
  <si>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</si>
  <si>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</si>
  <si>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</si>
  <si>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</si>
  <si>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</si>
  <si>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</si>
  <si>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</si>
  <si>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</si>
  <si>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</si>
  <si>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</si>
  <si>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</si>
  <si>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</si>
  <si>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</si>
  <si>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</si>
  <si>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</si>
  <si>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</si>
  <si>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</si>
  <si>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</si>
  <si>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</si>
  <si>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</si>
  <si>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</si>
  <si>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</si>
  <si>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</si>
  <si>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</si>
  <si>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</si>
  <si>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</si>
  <si>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</si>
  <si>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</si>
  <si>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</si>
  <si>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</si>
  <si>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</si>
  <si>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</si>
  <si>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</si>
  <si>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</si>
  <si>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</si>
  <si>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</si>
  <si>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</si>
  <si>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</si>
  <si>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</si>
  <si>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</si>
  <si>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</si>
  <si>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</si>
  <si>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</si>
  <si>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</si>
  <si>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</si>
  <si>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</si>
  <si>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</si>
  <si>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</si>
  <si>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</si>
  <si>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</si>
  <si>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</si>
  <si>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</si>
  <si>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</si>
  <si>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</si>
  <si>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</si>
  <si>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</si>
  <si>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</si>
  <si>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</si>
  <si>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</si>
  <si>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</si>
  <si>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</si>
  <si>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</si>
  <si>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</si>
  <si>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</si>
  <si>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</si>
  <si>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</si>
  <si>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</si>
  <si>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</si>
  <si>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</si>
  <si>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</si>
  <si>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</si>
  <si>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</si>
  <si>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</si>
  <si>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</si>
  <si>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</si>
  <si>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</si>
  <si>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</si>
  <si>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</si>
  <si>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</si>
  <si>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</si>
  <si>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</si>
  <si>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</si>
  <si>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</si>
  <si>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</si>
  <si>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</si>
  <si>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</si>
  <si>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</si>
  <si>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</si>
  <si>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</si>
  <si>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</si>
  <si>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</si>
  <si>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</si>
  <si>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</si>
  <si>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</si>
  <si>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</si>
  <si>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</si>
  <si>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</si>
  <si>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</si>
  <si>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</si>
  <si>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</si>
  <si>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</si>
  <si>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</si>
  <si>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</si>
  <si>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</si>
  <si>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</si>
  <si>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</si>
  <si>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</si>
  <si>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</si>
  <si>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</si>
  <si>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</si>
  <si>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</si>
  <si>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</si>
  <si>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</si>
  <si>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</si>
  <si>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</si>
  <si>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</si>
  <si>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</si>
  <si>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</si>
  <si>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</si>
  <si>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</si>
  <si>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</si>
  <si>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</si>
  <si>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</si>
  <si>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</si>
  <si>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</si>
  <si>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</si>
  <si>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</si>
  <si>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</si>
  <si>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</si>
  <si>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</si>
  <si>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</si>
  <si>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</si>
  <si>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</si>
  <si>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</si>
  <si>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</si>
  <si>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</si>
  <si>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</si>
  <si>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</si>
  <si>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</si>
  <si>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</si>
  <si>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</si>
  <si>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</si>
  <si>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</si>
  <si>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</si>
  <si>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</si>
  <si>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</si>
  <si>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</si>
  <si>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</si>
  <si>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</si>
  <si>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</si>
  <si>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</si>
  <si>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</si>
  <si>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</si>
  <si>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</si>
  <si>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</si>
  <si>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</si>
  <si>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</si>
  <si>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</si>
  <si>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</si>
  <si>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</si>
  <si>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</si>
  <si>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</si>
  <si>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</si>
  <si>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</si>
  <si>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</si>
  <si>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</si>
  <si>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</si>
  <si>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</si>
  <si>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</si>
  <si>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</si>
  <si>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</si>
  <si>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</si>
  <si>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</si>
  <si>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</si>
  <si>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</si>
  <si>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</si>
  <si>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</si>
  <si>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</si>
  <si>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</si>
  <si>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</si>
  <si>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</si>
  <si>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</si>
  <si>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</si>
  <si>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</si>
  <si>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</si>
  <si>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</si>
  <si>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</si>
  <si>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</si>
  <si>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</si>
  <si>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</si>
  <si>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</si>
  <si>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</si>
  <si>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</si>
  <si>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</si>
  <si>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</si>
  <si>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</si>
  <si>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</si>
  <si>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</si>
  <si>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</si>
  <si>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</si>
  <si>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</si>
  <si>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</si>
  <si>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</si>
  <si>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</si>
  <si>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</si>
  <si>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</si>
  <si>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</si>
  <si>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</si>
  <si>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</si>
  <si>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</si>
  <si>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</si>
  <si>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</si>
  <si>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</si>
  <si>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</si>
  <si>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</si>
  <si>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</si>
  <si>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</si>
  <si>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</si>
  <si>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</si>
  <si>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</si>
  <si>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</si>
  <si>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</si>
  <si>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</si>
  <si>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</si>
  <si>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</si>
  <si>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</si>
  <si>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</si>
  <si>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</si>
  <si>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</si>
  <si>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</si>
  <si>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</si>
  <si>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</si>
  <si>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</si>
  <si>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</si>
  <si>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</si>
  <si>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</si>
  <si>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</si>
  <si>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</si>
  <si>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</si>
  <si>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</si>
  <si>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</si>
  <si>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</si>
  <si>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</si>
  <si>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</si>
  <si>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</si>
  <si>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</si>
  <si>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</si>
  <si>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</si>
  <si>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</si>
  <si>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</si>
  <si>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</si>
  <si>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</si>
  <si>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</si>
  <si>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</si>
  <si>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</si>
  <si>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</si>
  <si>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</si>
  <si>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</si>
  <si>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</si>
  <si>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</si>
  <si>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</si>
  <si>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</si>
  <si>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</si>
  <si>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</si>
  <si>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</si>
  <si>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</si>
  <si>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</si>
  <si>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</si>
  <si>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</si>
  <si>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</si>
  <si>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</si>
  <si>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</si>
  <si>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</si>
  <si>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</si>
  <si>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</si>
  <si>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</si>
  <si>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</si>
  <si>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</si>
  <si>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</si>
  <si>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</si>
  <si>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</si>
  <si>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</si>
  <si>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</si>
  <si>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</si>
  <si>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</si>
  <si>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</si>
  <si>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</si>
  <si>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</si>
  <si>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</si>
  <si>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</si>
  <si>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</si>
  <si>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</si>
  <si>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</si>
  <si>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</si>
  <si>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</si>
  <si>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</si>
  <si>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</si>
  <si>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</si>
  <si>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</si>
  <si>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</si>
  <si>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</si>
  <si>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</si>
  <si>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</si>
  <si>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</si>
  <si>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</si>
  <si>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</si>
  <si>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</si>
  <si>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</si>
  <si>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</si>
  <si>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</si>
  <si>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</si>
  <si>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</si>
  <si>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</si>
  <si>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</si>
  <si>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</si>
  <si>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</si>
  <si>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</si>
  <si>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</si>
  <si>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</si>
  <si>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</si>
  <si>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</si>
  <si>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</si>
  <si>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</si>
  <si>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</si>
  <si>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</si>
  <si>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</si>
  <si>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</si>
  <si>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</si>
  <si>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</si>
  <si>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</si>
  <si>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</si>
  <si>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</si>
  <si>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</si>
  <si>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</si>
  <si>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</si>
  <si>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</si>
  <si>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</si>
  <si>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</si>
  <si>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</si>
  <si>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</si>
  <si>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</si>
  <si>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</si>
  <si>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</si>
  <si>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</si>
  <si>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</si>
  <si>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</si>
  <si>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</si>
  <si>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</si>
  <si>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</si>
  <si>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</si>
  <si>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</si>
  <si>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</si>
  <si>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</si>
  <si>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</si>
  <si>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</si>
  <si>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</si>
  <si>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</si>
  <si>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</si>
  <si>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</si>
  <si>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</si>
  <si>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</si>
  <si>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</si>
  <si>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</si>
  <si>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</si>
  <si>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</si>
  <si>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</si>
  <si>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</si>
  <si>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</si>
  <si>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</si>
  <si>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</si>
  <si>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</si>
  <si>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</si>
  <si>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</si>
  <si>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</si>
  <si>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</si>
  <si>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</si>
  <si>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</si>
  <si>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</si>
  <si>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</si>
  <si>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</si>
  <si>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</si>
  <si>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</si>
  <si>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</si>
  <si>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</si>
  <si>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</si>
  <si>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</si>
  <si>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</si>
  <si>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</si>
  <si>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</si>
  <si>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</si>
  <si>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</si>
  <si>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</si>
  <si>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</si>
  <si>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</si>
  <si>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</si>
  <si>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</si>
  <si>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</si>
  <si>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</si>
  <si>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</si>
  <si>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</si>
  <si>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</si>
  <si>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</si>
  <si>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</si>
  <si>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</si>
  <si>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</si>
  <si>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</si>
  <si>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</si>
  <si>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</si>
  <si>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</si>
  <si>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</si>
  <si>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</si>
  <si>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</si>
  <si>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</si>
  <si>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</si>
  <si>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</si>
  <si>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</si>
  <si>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</si>
  <si>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</si>
  <si>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</si>
  <si>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</si>
  <si>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</si>
  <si>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</si>
  <si>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</si>
  <si>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</si>
  <si>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</si>
  <si>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</si>
  <si>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</si>
  <si>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</si>
  <si>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</si>
  <si>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</si>
  <si>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</si>
  <si>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</si>
  <si>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</si>
  <si>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</si>
  <si>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</si>
  <si>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</si>
  <si>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</si>
  <si>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</si>
  <si>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</si>
  <si>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</si>
  <si>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</si>
  <si>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</si>
  <si>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</si>
  <si>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</si>
  <si>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</si>
  <si>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</si>
  <si>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</si>
  <si>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</si>
  <si>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</si>
  <si>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</si>
  <si>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</si>
  <si>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</si>
  <si>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</si>
  <si>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</si>
  <si>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</si>
  <si>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</si>
  <si>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</si>
  <si>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</si>
  <si>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</si>
  <si>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</si>
  <si>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</si>
  <si>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</si>
  <si>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</si>
  <si>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</si>
  <si>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</si>
  <si>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</si>
  <si>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</si>
  <si>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</si>
  <si>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</si>
  <si>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</si>
  <si>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</si>
  <si>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</si>
  <si>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</si>
  <si>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</si>
  <si>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</si>
  <si>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</si>
  <si>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</si>
  <si>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</si>
  <si>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</si>
  <si>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</si>
  <si>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</si>
  <si>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</si>
  <si>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</si>
  <si>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</si>
  <si>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</si>
  <si>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</si>
  <si>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</si>
  <si>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</si>
  <si>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</si>
  <si>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</si>
  <si>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</si>
  <si>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</si>
  <si>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</si>
  <si>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</si>
  <si>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</si>
  <si>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</si>
  <si>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</si>
  <si>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</si>
  <si>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</si>
  <si>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</si>
  <si>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</si>
  <si>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</si>
  <si>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</si>
  <si>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</si>
  <si>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</si>
  <si>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</si>
  <si>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</si>
  <si>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</si>
  <si>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</si>
  <si>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</si>
  <si>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</si>
  <si>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</si>
  <si>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</si>
  <si>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</si>
  <si>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</si>
  <si>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</si>
  <si>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</si>
  <si>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</si>
  <si>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</si>
  <si>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</si>
  <si>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</si>
  <si>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</si>
  <si>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</si>
  <si>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</si>
  <si>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</si>
  <si>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</si>
  <si>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</si>
  <si>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</si>
  <si>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</si>
  <si>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</si>
  <si>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</si>
  <si>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</si>
  <si>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</si>
  <si>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</si>
  <si>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</si>
  <si>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</si>
  <si>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</si>
  <si>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</si>
  <si>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</si>
  <si>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</si>
  <si>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</si>
  <si>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</si>
  <si>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</si>
  <si>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</si>
  <si>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</si>
  <si>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</si>
  <si>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</si>
  <si>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</si>
  <si>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</si>
  <si>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</si>
  <si>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</si>
  <si>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</si>
  <si>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</si>
  <si>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</si>
  <si>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</si>
  <si>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</si>
  <si>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</si>
  <si>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</si>
  <si>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</si>
  <si>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</si>
  <si>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</si>
  <si>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</si>
  <si>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</si>
  <si>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</si>
  <si>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</si>
  <si>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</si>
  <si>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</si>
  <si>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</si>
  <si>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</si>
  <si>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</si>
  <si>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</si>
  <si>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</si>
  <si>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</si>
  <si>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</si>
  <si>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</si>
  <si>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</si>
  <si>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</si>
  <si>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</si>
  <si>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</si>
  <si>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</si>
  <si>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</si>
  <si>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</si>
  <si>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</si>
  <si>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</si>
  <si>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</si>
  <si>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</si>
  <si>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</si>
  <si>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</si>
  <si>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</si>
  <si>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</si>
  <si>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</si>
  <si>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</si>
  <si>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</si>
  <si>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</si>
  <si>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</si>
  <si>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</si>
  <si>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</si>
  <si>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</si>
  <si>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</si>
  <si>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</si>
  <si>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</si>
  <si>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</si>
  <si>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</si>
  <si>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</si>
  <si>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</si>
  <si>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</si>
  <si>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</si>
  <si>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</si>
  <si>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</si>
  <si>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</si>
  <si>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</si>
  <si>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</si>
  <si>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</si>
  <si>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</si>
  <si>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</si>
  <si>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</si>
  <si>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</si>
  <si>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</si>
  <si>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</si>
  <si>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</si>
  <si>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</si>
  <si>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</si>
  <si>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</si>
  <si>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</si>
  <si>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</si>
  <si>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</si>
  <si>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</si>
  <si>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</si>
  <si>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</si>
  <si>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</si>
  <si>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</si>
  <si>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</si>
  <si>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</si>
  <si>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</si>
  <si>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</si>
  <si>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</si>
  <si>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</si>
  <si>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</si>
  <si>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</si>
  <si>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</si>
  <si>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</si>
  <si>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</si>
  <si>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</si>
  <si>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</si>
  <si>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</si>
  <si>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</si>
  <si>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</si>
  <si>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</si>
  <si>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</si>
  <si>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</si>
  <si>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</si>
  <si>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</si>
  <si>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</si>
  <si>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</si>
  <si>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</si>
  <si>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</si>
  <si>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</si>
  <si>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</si>
  <si>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</si>
  <si>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</si>
  <si>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</si>
  <si>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</si>
  <si>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</si>
  <si>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</si>
  <si>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</si>
  <si>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</si>
  <si>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</si>
  <si>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</si>
  <si>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</si>
  <si>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</si>
  <si>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</si>
  <si>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</si>
  <si>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</si>
  <si>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</si>
  <si>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</si>
  <si>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</si>
  <si>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</si>
  <si>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</si>
  <si>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</si>
  <si>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</si>
  <si>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</si>
  <si>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</si>
  <si>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</si>
  <si>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</si>
  <si>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</si>
  <si>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</si>
  <si>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</si>
  <si>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</si>
  <si>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</si>
  <si>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</si>
  <si>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</si>
  <si>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</si>
  <si>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</si>
  <si>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</si>
  <si>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</si>
  <si>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</si>
  <si>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</si>
  <si>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</si>
  <si>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</si>
  <si>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</si>
  <si>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</si>
  <si>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</si>
  <si>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</si>
  <si>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</si>
  <si>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</si>
  <si>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</si>
  <si>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</si>
  <si>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</si>
  <si>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</si>
  <si>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</si>
  <si>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</si>
  <si>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</si>
  <si>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</si>
  <si>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</si>
  <si>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</si>
  <si>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</si>
  <si>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</si>
  <si>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</si>
  <si>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</si>
  <si>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</si>
  <si>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</si>
  <si>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</si>
  <si>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</si>
  <si>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</si>
  <si>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</si>
  <si>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</si>
  <si>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</si>
  <si>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</si>
  <si>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</si>
  <si>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</si>
  <si>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</si>
  <si>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</si>
  <si>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</si>
  <si>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</si>
  <si>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</si>
  <si>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</si>
  <si>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</si>
  <si>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</si>
  <si>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</si>
  <si>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</si>
  <si>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</si>
  <si>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</si>
  <si>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</si>
  <si>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</si>
  <si>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</si>
  <si>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</si>
  <si>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</si>
  <si>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</si>
  <si>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</si>
  <si>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</si>
  <si>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</si>
  <si>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</si>
  <si>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</si>
  <si>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</si>
  <si>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</si>
  <si>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</si>
  <si>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</si>
  <si>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</si>
  <si>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</si>
  <si>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</si>
  <si>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</si>
  <si>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</si>
  <si>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</si>
  <si>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</si>
  <si>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</si>
  <si>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</si>
  <si>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</si>
  <si>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</si>
  <si>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</si>
  <si>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</si>
  <si>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</si>
  <si>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</si>
  <si>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</si>
  <si>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</si>
  <si>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</si>
  <si>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</si>
  <si>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</si>
  <si>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</si>
  <si>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</si>
  <si>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</si>
  <si>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</si>
  <si>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</si>
  <si>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</si>
  <si>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</si>
  <si>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</si>
  <si>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</si>
  <si>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</si>
  <si>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</si>
  <si>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</si>
  <si>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</si>
  <si>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</si>
  <si>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</si>
  <si>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</si>
  <si>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</si>
  <si>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</si>
  <si>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</si>
  <si>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</si>
  <si>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</si>
  <si>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</si>
  <si>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</si>
  <si>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</si>
  <si>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</si>
  <si>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</si>
  <si>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</si>
  <si>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</si>
  <si>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</si>
  <si>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</si>
  <si>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</si>
  <si>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</si>
  <si>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</si>
  <si>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</si>
  <si>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</si>
  <si>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</si>
  <si>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</si>
  <si>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</si>
  <si>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</si>
  <si>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</si>
  <si>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</si>
  <si>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</si>
  <si>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</si>
  <si>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</si>
  <si>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</si>
  <si>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</si>
  <si>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</si>
  <si>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</si>
  <si>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</si>
  <si>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</si>
  <si>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</si>
  <si>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</si>
  <si>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</si>
  <si>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</si>
  <si>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</si>
  <si>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</si>
  <si>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</si>
  <si>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</si>
  <si>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</si>
  <si>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</si>
  <si>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</si>
  <si>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</si>
  <si>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</si>
  <si>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</si>
  <si>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</si>
  <si>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</si>
  <si>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</si>
  <si>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</si>
  <si>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</si>
  <si>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</si>
  <si>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</si>
  <si>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</si>
  <si>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</si>
  <si>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</si>
  <si>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</si>
  <si>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</si>
  <si>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</si>
  <si>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</si>
  <si>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</si>
  <si>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</si>
  <si>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</si>
  <si>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</si>
  <si>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</si>
  <si>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</si>
  <si>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</si>
  <si>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</si>
  <si>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</si>
  <si>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</si>
  <si>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</si>
  <si>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</si>
  <si>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</si>
  <si>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</si>
  <si>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</si>
  <si>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</si>
  <si>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</si>
  <si>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</si>
  <si>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</si>
  <si>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</si>
  <si>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</si>
  <si>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</si>
  <si>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</si>
  <si>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</si>
  <si>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</si>
  <si>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</si>
  <si>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</si>
  <si>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</si>
  <si>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</si>
  <si>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</si>
  <si>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</si>
  <si>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</si>
  <si>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</si>
  <si>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</si>
  <si>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</si>
  <si>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</si>
  <si>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</si>
  <si>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</si>
  <si>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</si>
  <si>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</si>
  <si>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</si>
  <si>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</si>
  <si>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</si>
  <si>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</si>
  <si>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</si>
  <si>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</si>
  <si>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</si>
  <si>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</si>
  <si>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</si>
  <si>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</si>
  <si>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</si>
  <si>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</si>
  <si>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</si>
  <si>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</si>
  <si>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</si>
  <si>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</si>
  <si>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</si>
  <si>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</si>
  <si>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</si>
  <si>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</si>
  <si>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</si>
  <si>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</si>
  <si>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</si>
  <si>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</si>
  <si>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</si>
  <si>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</si>
  <si>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</si>
  <si>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</si>
  <si>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</si>
  <si>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</si>
  <si>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</si>
  <si>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</si>
  <si>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</si>
  <si>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</si>
  <si>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</si>
  <si>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</si>
  <si>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</si>
  <si>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</si>
  <si>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</si>
  <si>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</si>
  <si>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</si>
  <si>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</si>
  <si>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</si>
  <si>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</si>
  <si>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</si>
  <si>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</si>
  <si>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</si>
  <si>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</si>
  <si>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</si>
  <si>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</si>
  <si>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</si>
  <si>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</si>
  <si>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</si>
  <si>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</si>
  <si>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</si>
  <si>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</si>
  <si>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</si>
  <si>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</si>
  <si>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</si>
  <si>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</si>
  <si>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</si>
  <si>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</si>
  <si>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</si>
  <si>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</si>
  <si>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</si>
  <si>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</si>
  <si>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</si>
  <si>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</si>
  <si>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</si>
  <si>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</si>
  <si>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</si>
  <si>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</si>
  <si>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</si>
  <si>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</si>
  <si>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</si>
  <si>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</si>
  <si>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</si>
  <si>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</si>
  <si>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</si>
  <si>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</si>
  <si>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</si>
  <si>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</si>
  <si>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</si>
  <si>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</si>
  <si>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</si>
  <si>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</si>
  <si>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</si>
  <si>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</si>
  <si>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</si>
  <si>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</si>
  <si>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</si>
  <si>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</si>
  <si>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</si>
  <si>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</si>
  <si>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</si>
  <si>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</si>
  <si>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</si>
  <si>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</si>
  <si>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</si>
  <si>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</si>
  <si>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</si>
  <si>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</si>
  <si>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</si>
  <si>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</si>
  <si>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</si>
  <si>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</si>
  <si>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</si>
  <si>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</si>
  <si>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</si>
  <si>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</si>
  <si>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</si>
  <si>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</si>
  <si>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</si>
  <si>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</si>
  <si>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</si>
  <si>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</si>
  <si>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</si>
  <si>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</si>
  <si>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</si>
  <si>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</si>
  <si>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</si>
  <si>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</si>
  <si>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</si>
  <si>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</si>
  <si>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</si>
  <si>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</si>
  <si>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</si>
  <si>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</si>
  <si>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</si>
  <si>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</si>
  <si>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</si>
  <si>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</si>
  <si>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</si>
  <si>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</si>
  <si>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</si>
  <si>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</si>
  <si>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</si>
  <si>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</si>
  <si>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</si>
  <si>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</si>
  <si>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</si>
  <si>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</si>
  <si>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</si>
  <si>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</si>
  <si>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</si>
  <si>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</si>
  <si>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</si>
  <si>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</si>
  <si>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</si>
  <si>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</si>
  <si>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</si>
  <si>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</si>
  <si>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</si>
  <si>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</si>
  <si>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</si>
  <si>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</si>
  <si>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</si>
  <si>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</si>
  <si>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</si>
  <si>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</si>
  <si>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</si>
  <si>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</si>
  <si>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</si>
  <si>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</si>
  <si>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</si>
  <si>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</si>
  <si>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</si>
  <si>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</si>
  <si>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</si>
  <si>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</si>
  <si>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</si>
  <si>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</si>
  <si>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</si>
  <si>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</si>
  <si>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</si>
  <si>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</si>
  <si>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</si>
  <si>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</si>
  <si>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</si>
  <si>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</si>
  <si>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</si>
  <si>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</si>
  <si>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</si>
  <si>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</si>
  <si>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</si>
  <si>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</si>
  <si>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</si>
  <si>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</si>
  <si>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</si>
  <si>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</si>
  <si>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</si>
  <si>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</si>
  <si>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</si>
  <si>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</si>
  <si>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</si>
  <si>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</si>
  <si>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</si>
  <si>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</si>
  <si>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</si>
  <si>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</si>
  <si>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</si>
  <si>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</si>
  <si>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</si>
  <si>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</si>
  <si>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</si>
  <si>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</si>
  <si>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</si>
  <si>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</si>
  <si>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</si>
  <si>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</si>
  <si>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抵押</t>
  </si>
  <si>
    <t>房地产抵押价值</t>
  </si>
  <si>
    <t>北京市</t>
  </si>
  <si>
    <t>现房</t>
  </si>
  <si>
    <t>通路</t>
  </si>
  <si>
    <t>通电</t>
  </si>
  <si>
    <t>通讯</t>
  </si>
  <si>
    <t>通上水</t>
  </si>
  <si>
    <t>通下水</t>
  </si>
  <si>
    <t>平整</t>
  </si>
  <si>
    <t>Ⅰ—01</t>
  </si>
  <si>
    <t>是</t>
  </si>
  <si>
    <t>地上</t>
  </si>
  <si>
    <t>办公楼</t>
  </si>
  <si>
    <t>办公</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</si>
  <si>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</si>
  <si>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</si>
  <si>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</si>
  <si>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</si>
  <si>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</si>
  <si>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</si>
  <si>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</si>
  <si>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</si>
  <si>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</si>
  <si>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</si>
  <si>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</si>
  <si>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phoneticPr fontId="24" type="noConversion"/>
  </si>
  <si>
    <t>商务金融用地</t>
  </si>
  <si>
    <t>估价对象容积率</t>
  </si>
  <si>
    <t>不临65条商业街</t>
  </si>
  <si>
    <t>与级别开发程度不一致</t>
  </si>
  <si>
    <t>一般</t>
  </si>
  <si>
    <t>好</t>
  </si>
  <si>
    <t xml:space="preserve"> </t>
    <phoneticPr fontId="76" type="noConversion"/>
  </si>
  <si>
    <t>未包含在土地购买价格中</t>
  </si>
  <si>
    <t>已包含在土地取得成本中</t>
  </si>
  <si>
    <t>押一</t>
  </si>
  <si>
    <t>钢混</t>
  </si>
  <si>
    <t>非生产用房</t>
  </si>
  <si>
    <t>成本法 (元)</t>
  </si>
  <si>
    <t>楼面单价</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</si>
  <si>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427</t>
    </r>
    <phoneticPr fontId="6" type="noConversion"/>
  </si>
  <si>
    <r>
      <rPr>
        <sz val="10"/>
        <color indexed="8"/>
        <rFont val="宋体"/>
        <family val="3"/>
        <charset val="134"/>
      </rPr>
      <t>仁达</t>
    </r>
    <r>
      <rPr>
        <sz val="10"/>
        <color indexed="8"/>
        <rFont val="Arial"/>
        <family val="2"/>
      </rPr>
      <t>28600</t>
    </r>
    <phoneticPr fontId="8"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</si>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</sst>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51" fillId="22" borderId="9"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44</xdr:row>
      <xdr:rowOff>65724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7609524"/>
        </a:xfrm>
        <a:prstGeom prst="rect">
          <a:avLst/>
        </a:prstGeom>
      </xdr:spPr>
    </xdr:pic>
    <xdr:clientData/>
  </xdr:twoCellAnchor>
  <xdr:twoCellAnchor editAs="oneCell">
    <xdr:from>
      <xdr:col>0</xdr:col>
      <xdr:colOff>0</xdr:colOff>
      <xdr:row>45</xdr:row>
      <xdr:rowOff>0</xdr:rowOff>
    </xdr:from>
    <xdr:to>
      <xdr:col>13</xdr:col>
      <xdr:colOff>217934</xdr:colOff>
      <xdr:row>54</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15250"/>
          <a:ext cx="9133334" cy="1695238"/>
        </a:xfrm>
        <a:prstGeom prst="rect">
          <a:avLst/>
        </a:prstGeom>
      </xdr:spPr>
    </xdr:pic>
    <xdr:clientData/>
  </xdr:twoCellAnchor>
  <xdr:twoCellAnchor editAs="oneCell">
    <xdr:from>
      <xdr:col>0</xdr:col>
      <xdr:colOff>0</xdr:colOff>
      <xdr:row>55</xdr:row>
      <xdr:rowOff>0</xdr:rowOff>
    </xdr:from>
    <xdr:to>
      <xdr:col>13</xdr:col>
      <xdr:colOff>494124</xdr:colOff>
      <xdr:row>89</xdr:row>
      <xdr:rowOff>104034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9409524" cy="5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北京市东城区灯市口大街33号4层427房地产抵押价值预评估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受贵公司委托，我公司对北京市东城区灯市口大街33号4层427房地产抵押价值进行了预评估。</v>
      </c>
    </row>
    <row r="7" spans="1:2" s="1202" customFormat="1">
      <c r="A7" s="1200" t="s">
        <v>566</v>
      </c>
      <c r="B7" s="1201" t="str">
        <f>'预评函-1'!A7</f>
        <v>估价对象为北京市东城区灯市口大街33号4层427房地产，为所有。根据《国有土地使用证》[]，估价对象（分摊）出让国有建设用地使用权面积为6.9平方米，建筑面积为74.91平方米。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层427房地产,属开发建设的，该项目尚在开发建设中。根据《国有土地使用证》[]，估价对象（分摊）出让国有建设用地使用权面积为6.9平方米，规划建筑面积为74.91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层427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2023年3月8日（评估专业人员实地查勘之日）</v>
      </c>
    </row>
    <row r="13" spans="1:2" s="1202" customFormat="1">
      <c r="A13" s="1200" t="s">
        <v>529</v>
      </c>
      <c r="B13" s="1201" t="str">
        <f>'预评函-1'!A18</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201</v>
      </c>
    </row>
    <row r="21" spans="1:2" s="1202" customFormat="1">
      <c r="A21" s="1200" t="s">
        <v>537</v>
      </c>
      <c r="B21" s="1201">
        <f ca="1">'预评函-2'!D7</f>
        <v>26813</v>
      </c>
    </row>
    <row r="22" spans="1:2" s="1202" customFormat="1">
      <c r="A22" s="1200" t="s">
        <v>538</v>
      </c>
      <c r="B22" s="1201" t="str">
        <f ca="1">'预评函-2'!D6</f>
        <v>贰佰零壹万元整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201</v>
      </c>
    </row>
    <row r="31" spans="1:2" s="1202" customFormat="1">
      <c r="A31" s="1200" t="s">
        <v>576</v>
      </c>
      <c r="B31" s="1201">
        <f ca="1">'预评函-2'!D15</f>
        <v>26813</v>
      </c>
    </row>
    <row r="32" spans="1:2" s="1202" customFormat="1">
      <c r="A32" s="1200" t="s">
        <v>543</v>
      </c>
      <c r="B32" s="1201" t="str">
        <f ca="1">'预评函-2'!D14</f>
        <v>贰佰零壹万元整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北京市东城区灯市口大街33号4层427房地产</v>
      </c>
    </row>
    <row r="42" spans="1:2" s="1202" customFormat="1">
      <c r="A42" s="1200" t="s">
        <v>590</v>
      </c>
      <c r="B42" s="1201" t="str">
        <f>'预评函-3'!B2</f>
        <v>建筑面积</v>
      </c>
    </row>
    <row r="43" spans="1:2" s="1202" customFormat="1">
      <c r="A43" s="1200" t="s">
        <v>591</v>
      </c>
      <c r="B43" s="1201">
        <f>'预评函-3'!B4</f>
        <v>74.91</v>
      </c>
    </row>
    <row r="44" spans="1:2" s="1202" customFormat="1">
      <c r="A44" s="1200" t="s">
        <v>575</v>
      </c>
      <c r="B44" s="1201" t="str">
        <f>'预评函-3'!C2</f>
        <v>(分摊)土地面积</v>
      </c>
    </row>
    <row r="45" spans="1:2" s="1202" customFormat="1">
      <c r="A45" s="1200" t="s">
        <v>547</v>
      </c>
      <c r="B45" s="1201">
        <f>'预评函-3'!C4</f>
        <v>6.9</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2576</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2577</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2289</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427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494" t="s">
        <v>2579</v>
      </c>
      <c r="J2" s="3494"/>
      <c r="K2" s="3494"/>
      <c r="L2" s="3494"/>
      <c r="M2" s="3494"/>
      <c r="N2" s="3494"/>
      <c r="O2" s="3494"/>
      <c r="P2" s="3494"/>
      <c r="Q2" s="3494"/>
      <c r="R2" s="3494"/>
    </row>
    <row r="3" spans="1:18">
      <c r="A3" s="3017" t="s">
        <v>2500</v>
      </c>
      <c r="B3" s="3018">
        <f>项目基本情况!D3</f>
        <v>44993</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3.78</v>
      </c>
      <c r="D5" s="3022">
        <f>IF(ISERROR(ROUND(POWER(1+E5,A5-C5)*(POWER(1+E5,C5)-1)/(POWER(1+E5,A5)-1),3)),0,ROUND(POWER(1+E5,A5-C5)*(POWER(1+E5,C5)-1)/(POWER(1+E5,A5)-1),4))</f>
        <v>0.17399999999999999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13.79</v>
      </c>
      <c r="D6" s="3022">
        <f>IF(ISERROR(ROUND(POWER(1+E6,A6-C6)*(POWER(1+E6,C6)-1)/(POWER(1+E6,A6)-1),3)),0,ROUND(POWER(1+E6,A6-C6)*(POWER(1+E6,C6)-1)/(POWER(1+E6,A6)-1),4))</f>
        <v>0.48620000000000002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33.799999999999997</v>
      </c>
      <c r="D7" s="3022">
        <f>IF(ISERROR(ROUND(POWER(1+E7,A7-C7)*(POWER(1+E7,C7)-1)/(POWER(1+E7,A7)-1),3)),0,ROUND(POWER(1+E7,A7-C7)*(POWER(1+E7,C7)-1)/(POWER(1+E7,A7)-1),4))</f>
        <v>0.78480000000000005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5" t="str">
        <f>IF(B10="北京市","北京市",C10)&amp;F10&amp;IF(结果表!G1="在建","出让国有建设用地使用权及在建建筑物",IF(结果表!G1="土地","出让国有建设用地使用权",))&amp;B9&amp;"预评估"</f>
        <v>北京市东城区灯市口大街33号4层427房地产抵押价值预评估</v>
      </c>
      <c r="C1" s="3496"/>
      <c r="D1" s="3496"/>
      <c r="E1" s="3496"/>
      <c r="F1" s="3496"/>
      <c r="G1" s="3496"/>
      <c r="H1" s="3496"/>
      <c r="I1" s="3497"/>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北京市东城区灯市口大街33号4层427房地产抵押价值</v>
      </c>
      <c r="T1" s="1744"/>
      <c r="U1" s="1744"/>
      <c r="V1" s="1744"/>
      <c r="W1" s="1744"/>
      <c r="X1" s="1744"/>
      <c r="Y1" s="1744"/>
      <c r="Z1" s="1744"/>
      <c r="AA1" s="1744"/>
      <c r="AB1" s="1744"/>
    </row>
    <row r="2" spans="1:30">
      <c r="A2" s="2366" t="s">
        <v>2169</v>
      </c>
      <c r="B2" s="2370"/>
      <c r="C2" s="2371"/>
      <c r="D2" s="2667"/>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北京市东城区灯市口大街33号4层427房地产</v>
      </c>
      <c r="T2" s="1744"/>
      <c r="U2" s="1744"/>
      <c r="V2" s="1744"/>
      <c r="W2" s="1744"/>
      <c r="X2" s="1744"/>
      <c r="Y2" s="1744"/>
      <c r="Z2" s="1744"/>
      <c r="AA2" s="1744"/>
      <c r="AB2" s="1744"/>
    </row>
    <row r="3" spans="1:30">
      <c r="A3" s="302" t="s">
        <v>2170</v>
      </c>
      <c r="B3" s="2372">
        <v>44993</v>
      </c>
      <c r="C3" s="2373" t="s">
        <v>2171</v>
      </c>
      <c r="D3" s="2372">
        <f>B3</f>
        <v>44993</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3375</v>
      </c>
      <c r="C4" s="2375">
        <f ca="1">SUMIF(注册房地产估价师,B4,估价师及机构信息!B3:B24)</f>
        <v>1120070131</v>
      </c>
      <c r="D4" s="2374" t="s">
        <v>3376</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1"/>
      <c r="F5" s="2661"/>
      <c r="G5" s="2661"/>
      <c r="H5" s="2661"/>
      <c r="I5" s="2661"/>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3377</v>
      </c>
      <c r="C8" s="2389"/>
      <c r="D8" s="3498" t="s">
        <v>2177</v>
      </c>
      <c r="E8" s="2390" t="s">
        <v>3378</v>
      </c>
      <c r="F8" s="2391"/>
      <c r="G8" s="2660"/>
      <c r="H8" s="2660"/>
      <c r="I8" s="2660"/>
      <c r="J8" s="2438"/>
      <c r="K8" s="2611"/>
      <c r="L8" s="2610"/>
      <c r="M8" s="2610"/>
      <c r="N8" s="2438"/>
      <c r="O8" s="2449"/>
      <c r="P8" s="2438"/>
      <c r="Q8" s="2438"/>
      <c r="R8" s="2438"/>
    </row>
    <row r="9" spans="1:30" ht="13.5" thickBot="1">
      <c r="A9" s="2392" t="s">
        <v>2178</v>
      </c>
      <c r="B9" s="2393" t="s">
        <v>3378</v>
      </c>
      <c r="C9" s="2394"/>
      <c r="D9" s="3499"/>
      <c r="E9" s="2393" t="s">
        <v>43</v>
      </c>
      <c r="F9" s="2395"/>
      <c r="G9" s="2662"/>
      <c r="H9" s="2662"/>
      <c r="I9" s="2662"/>
      <c r="J9" s="2438"/>
      <c r="K9" s="2613"/>
      <c r="L9" s="2610"/>
      <c r="M9" s="2610"/>
      <c r="N9" s="2438"/>
      <c r="O9" s="2449"/>
      <c r="P9" s="2438"/>
      <c r="Q9" s="2438"/>
      <c r="R9" s="2438"/>
    </row>
    <row r="10" spans="1:30" ht="13.5" thickTop="1">
      <c r="A10" s="2396" t="s">
        <v>2179</v>
      </c>
      <c r="B10" s="2397" t="s">
        <v>3379</v>
      </c>
      <c r="C10" s="2398"/>
      <c r="D10" s="2381"/>
      <c r="E10" s="2399" t="s">
        <v>2180</v>
      </c>
      <c r="F10" s="2663" t="s">
        <v>3418</v>
      </c>
      <c r="G10" s="2664"/>
      <c r="H10" s="2665"/>
      <c r="I10" s="2666"/>
      <c r="J10" s="2438"/>
      <c r="K10" s="2613"/>
      <c r="L10" s="2610"/>
      <c r="M10" s="2610"/>
      <c r="N10" s="2438"/>
      <c r="O10" s="2449"/>
      <c r="P10" s="2438"/>
      <c r="Q10" s="2438"/>
      <c r="R10" s="2438"/>
    </row>
    <row r="11" spans="1:30">
      <c r="A11" s="2400" t="s">
        <v>2181</v>
      </c>
      <c r="B11" s="2401" t="s">
        <v>3420</v>
      </c>
      <c r="C11" s="2402"/>
      <c r="D11" s="2403"/>
      <c r="E11" s="2369"/>
      <c r="F11" s="2369"/>
      <c r="G11" s="2369"/>
      <c r="H11" s="2369"/>
      <c r="I11" s="2369"/>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4"/>
    </row>
    <row r="13" spans="1:30">
      <c r="A13" s="3420" t="s">
        <v>3335</v>
      </c>
      <c r="B13" s="2406" t="s">
        <v>2190</v>
      </c>
      <c r="C13" s="855"/>
      <c r="D13" s="855"/>
      <c r="E13" s="855">
        <v>52761</v>
      </c>
      <c r="F13" s="855"/>
      <c r="G13" s="855"/>
      <c r="H13" s="855"/>
      <c r="I13" s="855"/>
      <c r="J13" s="3059"/>
      <c r="K13" s="2610"/>
      <c r="L13" s="2610"/>
      <c r="M13" s="2438"/>
      <c r="N13" s="2449"/>
      <c r="O13" s="2438"/>
      <c r="P13" s="2438"/>
      <c r="Q13" s="2438"/>
      <c r="AD13" s="1744"/>
    </row>
    <row r="14" spans="1:30">
      <c r="A14" s="1080"/>
      <c r="B14" s="2406" t="s">
        <v>2191</v>
      </c>
      <c r="C14" s="2407"/>
      <c r="D14" s="2407"/>
      <c r="E14" s="2407">
        <v>50</v>
      </c>
      <c r="F14" s="2407"/>
      <c r="G14" s="2407"/>
      <c r="H14" s="2407"/>
      <c r="I14" s="2407"/>
      <c r="J14" s="3060"/>
      <c r="K14" s="2610"/>
      <c r="L14" s="2610"/>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21.28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4"/>
    </row>
    <row r="16" spans="1:30">
      <c r="A16" s="2399" t="s">
        <v>2193</v>
      </c>
      <c r="B16" s="3505"/>
      <c r="C16" s="3506"/>
      <c r="D16" s="3507"/>
      <c r="E16" s="2412" t="s">
        <v>2194</v>
      </c>
      <c r="F16" s="3508"/>
      <c r="G16" s="3509"/>
      <c r="H16" s="3509"/>
      <c r="I16" s="3510"/>
      <c r="J16" s="2438"/>
      <c r="K16" s="2614"/>
      <c r="L16" s="2450"/>
      <c r="M16" s="2450"/>
      <c r="N16" s="2506"/>
      <c r="O16" s="2450"/>
      <c r="P16" s="2506"/>
      <c r="Q16" s="2438"/>
      <c r="R16" s="2438"/>
    </row>
    <row r="17" spans="1:28">
      <c r="A17" s="313" t="s">
        <v>2195</v>
      </c>
      <c r="B17" s="302" t="s">
        <v>2196</v>
      </c>
      <c r="C17" s="8">
        <f>'数据-汇总表'!E3</f>
        <v>74.91</v>
      </c>
      <c r="D17" s="2321" t="s">
        <v>2197</v>
      </c>
      <c r="E17" s="3511" t="s">
        <v>2198</v>
      </c>
      <c r="F17" s="3512"/>
      <c r="G17" s="3512"/>
      <c r="H17" s="3512"/>
      <c r="I17" s="3513"/>
      <c r="J17" s="2438"/>
      <c r="K17" s="2615"/>
      <c r="L17" s="2450"/>
      <c r="M17" s="2450"/>
      <c r="N17" s="2506"/>
      <c r="O17" s="2450"/>
      <c r="P17" s="2506"/>
      <c r="Q17" s="2438"/>
      <c r="R17" s="2438"/>
      <c r="S17" s="2438"/>
      <c r="T17" s="2438"/>
      <c r="U17" s="2438"/>
      <c r="V17" s="2438"/>
    </row>
    <row r="18" spans="1:28" ht="24.75" thickBot="1">
      <c r="A18" s="2413" t="s">
        <v>2199</v>
      </c>
      <c r="B18" s="1089" t="s">
        <v>2200</v>
      </c>
      <c r="C18" s="2414">
        <f>'数据-汇总表'!D3</f>
        <v>6.9</v>
      </c>
      <c r="D18" s="1091" t="s">
        <v>2201</v>
      </c>
      <c r="E18" s="3514" t="s">
        <v>2202</v>
      </c>
      <c r="F18" s="3515"/>
      <c r="G18" s="3515"/>
      <c r="H18" s="3515"/>
      <c r="I18" s="3516"/>
      <c r="J18" s="2438"/>
      <c r="K18" s="2615"/>
      <c r="L18" s="2450"/>
      <c r="M18" s="2450"/>
      <c r="N18" s="2506"/>
      <c r="O18" s="2450"/>
      <c r="P18" s="2506"/>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1"/>
      <c r="I19" s="2661"/>
      <c r="J19" s="2438"/>
      <c r="K19" s="2613"/>
      <c r="L19" s="2610"/>
      <c r="M19" s="2610"/>
      <c r="N19" s="2506"/>
      <c r="O19" s="2450"/>
      <c r="P19" s="2506"/>
      <c r="Q19" s="2438"/>
      <c r="R19" s="2438"/>
      <c r="S19" s="2438"/>
      <c r="T19" s="2438"/>
      <c r="U19" s="2438"/>
      <c r="V19" s="2438"/>
    </row>
    <row r="20" spans="1:28">
      <c r="A20" s="2629" t="s">
        <v>2205</v>
      </c>
      <c r="B20" s="3501" t="s">
        <v>2206</v>
      </c>
      <c r="C20" s="3502"/>
      <c r="D20" s="3503" t="s">
        <v>2207</v>
      </c>
      <c r="E20" s="3504"/>
      <c r="F20" s="2644" t="s">
        <v>1056</v>
      </c>
      <c r="G20" s="2661"/>
      <c r="H20" s="2661"/>
      <c r="I20" s="2661"/>
      <c r="J20" s="2438"/>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8"/>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29"/>
      <c r="B22" s="2633" t="s">
        <v>2211</v>
      </c>
      <c r="C22" s="2631" t="s">
        <v>1058</v>
      </c>
      <c r="D22" s="2660"/>
      <c r="E22" s="2660"/>
      <c r="F22" s="2660"/>
      <c r="G22" s="2661"/>
      <c r="H22" s="2661"/>
      <c r="I22" s="2661"/>
      <c r="J22" s="2438"/>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8"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8"/>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8"/>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9"/>
      <c r="B30" s="302" t="s">
        <v>2218</v>
      </c>
      <c r="C30" s="3520"/>
      <c r="D30" s="3521"/>
      <c r="E30" s="2661"/>
      <c r="F30" s="2661"/>
      <c r="G30" s="2661"/>
      <c r="H30" s="2661"/>
      <c r="I30" s="2661"/>
      <c r="J30" s="2438"/>
      <c r="K30" s="2613"/>
      <c r="L30" s="2610"/>
      <c r="M30" s="2610"/>
      <c r="N30" s="2438"/>
      <c r="O30" s="2449"/>
      <c r="P30" s="2438"/>
      <c r="Q30" s="2438"/>
      <c r="R30" s="2438"/>
      <c r="S30" s="2438"/>
      <c r="T30" s="2438"/>
      <c r="U30" s="2438"/>
      <c r="V30" s="2438"/>
    </row>
    <row r="31" spans="1:28">
      <c r="A31" s="3522" t="s">
        <v>2219</v>
      </c>
      <c r="B31" s="2421" t="s">
        <v>3380</v>
      </c>
      <c r="C31" s="2322" t="str">
        <f>IF(B31="现房","成新及维护状况正常否",IF(B31="在建","工程状态是否正常",IF(B31="土地","是否闲置","-")))</f>
        <v>成新及维护状况正常否</v>
      </c>
      <c r="D31" s="1372"/>
      <c r="E31" s="2422"/>
      <c r="F31" s="2661"/>
      <c r="G31" s="2661"/>
      <c r="H31" s="2661"/>
      <c r="I31" s="2661"/>
      <c r="J31" s="2438"/>
      <c r="K31" s="2612"/>
      <c r="L31" s="2610"/>
      <c r="M31" s="2610"/>
      <c r="N31" s="2438"/>
      <c r="O31" s="2449"/>
      <c r="P31" s="2438"/>
      <c r="Q31" s="2438"/>
      <c r="R31" s="2438"/>
      <c r="S31" s="2438"/>
      <c r="T31" s="2438"/>
      <c r="U31" s="2438"/>
      <c r="V31" s="2438"/>
    </row>
    <row r="32" spans="1:28">
      <c r="A32" s="3523"/>
      <c r="B32" s="2421"/>
      <c r="C32" s="2322" t="str">
        <f>IF(B32="现房","成新及维护状况是否正常",IF(B32="在建","工程状态是否正常",IF(B32="土地","是否闲置","-")))</f>
        <v>-</v>
      </c>
      <c r="D32" s="1372"/>
      <c r="E32" s="2422"/>
      <c r="F32" s="2661"/>
      <c r="G32" s="2661"/>
      <c r="H32" s="2661"/>
      <c r="I32" s="2661"/>
      <c r="J32" s="2438"/>
      <c r="K32" s="2613"/>
      <c r="L32" s="2610"/>
      <c r="M32" s="2610"/>
      <c r="N32" s="2438"/>
      <c r="O32" s="2449"/>
      <c r="P32" s="2438"/>
      <c r="Q32" s="2438"/>
      <c r="R32" s="2438"/>
      <c r="S32" s="2438"/>
      <c r="T32" s="2438"/>
      <c r="U32" s="2438"/>
      <c r="V32" s="2438"/>
    </row>
    <row r="33" spans="1:30">
      <c r="A33" s="3523"/>
      <c r="B33" s="2424"/>
      <c r="C33" s="1589" t="str">
        <f>IF(B33="现房","成新及维护状况是否正常",IF(B33="在建","工程状态是否正常",IF(B33="土地","是否闲置","-")))</f>
        <v>-</v>
      </c>
      <c r="D33" s="1364"/>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5" t="s">
        <v>3381</v>
      </c>
      <c r="C34" s="2025" t="s">
        <v>3382</v>
      </c>
      <c r="D34" s="2025" t="s">
        <v>3383</v>
      </c>
      <c r="E34" s="2025" t="s">
        <v>3384</v>
      </c>
      <c r="F34" s="2025" t="s">
        <v>3385</v>
      </c>
      <c r="G34" s="2025" t="s">
        <v>3386</v>
      </c>
      <c r="H34" s="2025" t="s">
        <v>43</v>
      </c>
      <c r="I34" s="2661"/>
      <c r="J34" s="2438"/>
      <c r="K34" s="2426">
        <f>COUNTIF(B34:H34,"——")</f>
        <v>1</v>
      </c>
      <c r="L34" s="323" t="s">
        <v>2221</v>
      </c>
      <c r="M34" s="323" t="s">
        <v>2222</v>
      </c>
      <c r="N34" s="323" t="s">
        <v>2223</v>
      </c>
      <c r="O34" s="323" t="s">
        <v>2224</v>
      </c>
      <c r="P34" s="323" t="s">
        <v>2225</v>
      </c>
      <c r="Q34" s="323" t="s">
        <v>2226</v>
      </c>
      <c r="R34" s="323" t="s">
        <v>2227</v>
      </c>
      <c r="S34" s="3517" t="s">
        <v>2228</v>
      </c>
      <c r="T34" s="2427" t="str">
        <f>NUMBERSTRING(7-K34,1)&amp;"通"</f>
        <v>六通</v>
      </c>
      <c r="U34" s="2438"/>
      <c r="V34" s="2438"/>
    </row>
    <row r="35" spans="1:30">
      <c r="A35" s="2428"/>
      <c r="B35" s="3524" t="s">
        <v>2229</v>
      </c>
      <c r="C35" s="3524"/>
      <c r="D35" s="3524"/>
      <c r="E35" s="3524"/>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t="s">
        <v>144</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t="s">
        <v>3387</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50"/>
      <c r="M40" s="2450"/>
      <c r="N40" s="2506"/>
      <c r="O40" s="2450"/>
      <c r="P40" s="2438"/>
      <c r="Q40" s="2438"/>
      <c r="R40" s="2438"/>
      <c r="S40" s="2438"/>
      <c r="T40" s="2438"/>
      <c r="U40" s="2438"/>
      <c r="V40" s="2438"/>
    </row>
    <row r="41" spans="1:30">
      <c r="A41" s="2435" t="s">
        <v>2233</v>
      </c>
      <c r="B41" s="1756"/>
      <c r="C41" s="1372"/>
      <c r="D41" s="2369"/>
      <c r="E41" s="2369"/>
      <c r="F41" s="2369"/>
      <c r="G41" s="2369"/>
      <c r="H41" s="2369"/>
      <c r="I41" s="1575"/>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5" sqref="I3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6.9</v>
      </c>
      <c r="B3" s="11">
        <f>IF(C3="否",G5-AT5,G5)</f>
        <v>74.91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74.91</v>
      </c>
      <c r="H5" s="13">
        <f t="shared" ref="H5:AT5" si="0">SUM(H13:H656)</f>
        <v>74.91</v>
      </c>
      <c r="I5" s="13">
        <f t="shared" si="0"/>
        <v>74.91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74.91</v>
      </c>
      <c r="BA5" s="15">
        <f t="shared" si="1"/>
        <v>74.91</v>
      </c>
      <c r="BB5" s="15">
        <f t="shared" si="1"/>
        <v>74.91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6.9</v>
      </c>
      <c r="F6" s="13" t="s">
        <v>0</v>
      </c>
      <c r="G6" s="13" t="s">
        <v>1</v>
      </c>
      <c r="H6" s="17">
        <f>SUMIF(I$12:AB$12,"总值",I6:AB6)</f>
        <v>6.9</v>
      </c>
      <c r="I6" s="13">
        <f t="shared" ref="I6:AB6" si="2">ROUND($A$3*I5/$B$3,2)</f>
        <v>6.9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6.9</v>
      </c>
      <c r="AZ6" s="13" t="s">
        <v>2</v>
      </c>
      <c r="BA6" s="13">
        <f>ROUND($AY$6*BA5/$AZ$5,2)</f>
        <v>6.9</v>
      </c>
      <c r="BB6" s="13">
        <f>ROUND($AY$6*BB5/$AZ$5,2)</f>
        <v>6.9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3388</v>
      </c>
      <c r="E13" s="13">
        <f>IF($C$3="是",ROUND($A$3*G13/$B$3,2),ROUND($A$3*(G13-AT13)/$B$3,2))</f>
        <v>6.9</v>
      </c>
      <c r="F13" s="29"/>
      <c r="G13" s="30">
        <f>H13+AC13+AT13</f>
        <v>74.91</v>
      </c>
      <c r="H13" s="17">
        <f>SUMIF(I$12:AB$12,"总值",I13:AB13)</f>
        <v>74.91</v>
      </c>
      <c r="I13" s="1625">
        <v>74.91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6.9</v>
      </c>
      <c r="AZ13" s="13">
        <f>BA13+BL13</f>
        <v>74.91</v>
      </c>
      <c r="BA13" s="13">
        <f>SUM(BB13:BK13)</f>
        <v>74.91</v>
      </c>
      <c r="BB13" s="13">
        <f>IF($D13="是",I13-J13,0)</f>
        <v>74.91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6"/>
      <c r="G2" s="2647"/>
      <c r="H2" s="2648"/>
      <c r="I2" s="2324" t="s">
        <v>1132</v>
      </c>
      <c r="J2" s="2656"/>
      <c r="K2" s="2656"/>
      <c r="L2" s="2656"/>
      <c r="M2" s="2656"/>
      <c r="N2" s="2658"/>
      <c r="O2" s="2656"/>
      <c r="P2" s="2656"/>
    </row>
    <row r="3" spans="1:16" ht="15.75" thickBot="1">
      <c r="A3" s="3535" t="s">
        <v>1105</v>
      </c>
      <c r="B3" s="3535"/>
      <c r="C3" s="3535"/>
      <c r="D3" s="43">
        <f>'数据-基础表'!AY6</f>
        <v>6.9</v>
      </c>
      <c r="E3" s="43">
        <f>'数据-基础表'!AZ5</f>
        <v>74.91</v>
      </c>
      <c r="F3" s="2656"/>
      <c r="G3" s="1144"/>
      <c r="H3" s="1025" t="s">
        <v>1106</v>
      </c>
      <c r="I3" s="854">
        <f>ROUND('数据-基础表'!B3/'数据-基础表'!A3,2)</f>
        <v>10.86</v>
      </c>
      <c r="J3" s="2656"/>
      <c r="K3" s="2656"/>
      <c r="L3" s="2656"/>
      <c r="M3" s="2656"/>
      <c r="N3" s="2658"/>
      <c r="O3" s="2656"/>
      <c r="P3" s="2656"/>
    </row>
    <row r="4" spans="1:16" ht="15">
      <c r="A4" s="3536"/>
      <c r="B4" s="3537"/>
      <c r="C4" s="3538"/>
      <c r="D4" s="1640" t="s">
        <v>1107</v>
      </c>
      <c r="E4" s="1641" t="s">
        <v>1108</v>
      </c>
      <c r="F4" s="2656"/>
      <c r="G4" s="2649" t="s">
        <v>1133</v>
      </c>
      <c r="H4" s="1025" t="s">
        <v>1113</v>
      </c>
      <c r="I4" s="854">
        <f>ROUND(SUMIF('数据-基础表'!I9:AS9,"地上",'数据-基础表'!I5:AS5)/'数据-基础表'!A3,2)</f>
        <v>10.86</v>
      </c>
      <c r="J4" s="2656"/>
      <c r="K4" s="2656"/>
      <c r="L4" s="2656"/>
      <c r="M4" s="2656"/>
      <c r="N4" s="2658"/>
      <c r="O4" s="2656"/>
      <c r="P4" s="2656"/>
    </row>
    <row r="5" spans="1:16">
      <c r="A5" s="44" t="s">
        <v>1109</v>
      </c>
      <c r="B5" s="3539" t="s">
        <v>1110</v>
      </c>
      <c r="C5" s="3539"/>
      <c r="D5" s="45">
        <f>ROUND($D$3*E5/$E$3,2)</f>
        <v>0</v>
      </c>
      <c r="E5" s="46">
        <f>SUMIF('数据-基础表'!$11:$11,"住宅",'数据-基础表'!$5:$5)</f>
        <v>0</v>
      </c>
      <c r="F5" s="2656"/>
      <c r="G5" s="1144"/>
      <c r="H5" s="1025" t="s">
        <v>1106</v>
      </c>
      <c r="I5" s="854">
        <f>ROUND(E31/D31,2)</f>
        <v>10.86</v>
      </c>
      <c r="J5" s="2656"/>
      <c r="K5" s="2656"/>
      <c r="L5" s="2656"/>
      <c r="M5" s="2656"/>
      <c r="N5" s="2656"/>
      <c r="O5" s="2656"/>
      <c r="P5" s="2656"/>
    </row>
    <row r="6" spans="1:16" ht="15" thickBot="1">
      <c r="A6" s="1643"/>
      <c r="B6" s="3539" t="s">
        <v>1111</v>
      </c>
      <c r="C6" s="3539"/>
      <c r="D6" s="45">
        <f>ROUND($D$3*E6/$E$3,2)</f>
        <v>6.9</v>
      </c>
      <c r="E6" s="46">
        <f>E3-E5</f>
        <v>74.91</v>
      </c>
      <c r="F6" s="2656"/>
      <c r="G6" s="2650" t="s">
        <v>1112</v>
      </c>
      <c r="H6" s="1145" t="s">
        <v>1113</v>
      </c>
      <c r="I6" s="2651">
        <f>ROUND(F31/D31,2)</f>
        <v>10.86</v>
      </c>
      <c r="J6" s="2656"/>
      <c r="K6" s="2656"/>
      <c r="L6" s="2656"/>
      <c r="M6" s="2656"/>
      <c r="N6" s="2656"/>
      <c r="O6" s="2656"/>
      <c r="P6" s="2656"/>
    </row>
    <row r="7" spans="1:16" ht="15.75" thickBot="1">
      <c r="A7" s="3531"/>
      <c r="B7" s="3532"/>
      <c r="C7" s="3533"/>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6.9</v>
      </c>
      <c r="E8" s="48">
        <f>SUMIF('数据-基础表'!BB10:BK10,"地上",'数据-基础表'!BB5:BK5)</f>
        <v>74.91</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6.9</v>
      </c>
      <c r="E16" s="50">
        <f>SUM(E8:E15)</f>
        <v>74.91</v>
      </c>
      <c r="F16" s="2656"/>
      <c r="G16" s="2657"/>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3391</v>
      </c>
      <c r="D19" s="45">
        <f>ROUND($D$3*E19/$E$3,2)</f>
        <v>6.9</v>
      </c>
      <c r="E19" s="53">
        <f t="shared" ref="E19:E26" si="1">SUM(F19:G19)</f>
        <v>74.91</v>
      </c>
      <c r="F19" s="2792">
        <f>'数据-基础表'!I5</f>
        <v>74.91</v>
      </c>
      <c r="G19" s="2793"/>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6.9</v>
      </c>
      <c r="S19" s="1026">
        <f t="shared" si="5"/>
        <v>74.91</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6.9</v>
      </c>
      <c r="E27" s="1140">
        <f>IF(SUM(E19:E26)='数据-基础表'!BA5,SUM(E19:E26),IF(F27="地上面积有误","面积有误","地下面积有误"))</f>
        <v>74.91</v>
      </c>
      <c r="F27" s="1139">
        <f>IF(SUM(F19:F26)=E8,SUM(F19:F26),"地上面积有误")</f>
        <v>74.91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6.9</v>
      </c>
      <c r="S27" s="1025">
        <f>IF(SUM(S19:S26)=$E$3,SUM(S19:S26),SUM(S19:S26)&amp;"误差"&amp;ROUND(SUM(S19:S26)-E3,2))</f>
        <v>74.91</v>
      </c>
    </row>
    <row r="28" spans="1:19">
      <c r="A28" s="1669"/>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5"/>
      <c r="B31" s="1676"/>
      <c r="C31" s="834" t="s">
        <v>1158</v>
      </c>
      <c r="D31" s="676">
        <f>D27+D30</f>
        <v>6.9</v>
      </c>
      <c r="E31" s="676">
        <f>E27+E30</f>
        <v>74.91</v>
      </c>
      <c r="F31" s="677">
        <f>F27+F30</f>
        <v>74.91</v>
      </c>
      <c r="G31" s="678">
        <f>G27+G30</f>
        <v>0</v>
      </c>
      <c r="H31" s="2656"/>
      <c r="I31" s="2656"/>
      <c r="J31" s="2656"/>
      <c r="K31" s="2656"/>
      <c r="L31" s="2656"/>
      <c r="M31" s="2656"/>
      <c r="N31" s="2656"/>
      <c r="O31" s="2656"/>
      <c r="P31" s="2656"/>
    </row>
    <row r="32" spans="1:19">
      <c r="A32" s="1642"/>
      <c r="B32" s="1642" t="s">
        <v>1159</v>
      </c>
      <c r="C32" s="1642"/>
      <c r="D32" s="1642"/>
      <c r="E32" s="1052">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8" activePane="bottomRight" state="frozen"/>
      <selection activeCell="C50" sqref="C50"/>
      <selection pane="topRight" activeCell="C50" sqref="C50"/>
      <selection pane="bottomLeft" activeCell="C50" sqref="C50"/>
      <selection pane="bottomRight" activeCell="J49" sqref="J4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44993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21.28</v>
      </c>
      <c r="G6" s="65">
        <f>IF(ISERROR(ROUND(POWER(1+H6,D6-F6)*(POWER(1+H6,F6)-1)/(POWER(1+H6,D6)-1),3)),0,ROUND(POWER(1+H6,D6-F6)*(POWER(1+H6,F6)-1)/(POWER(1+H6,D6)-1),3))</f>
        <v>0.70799999999999996</v>
      </c>
      <c r="H6" s="732">
        <v>0.05</v>
      </c>
      <c r="I6" s="732">
        <v>5.5E-2</v>
      </c>
      <c r="J6" s="66">
        <v>7.0000000000000007E-2</v>
      </c>
      <c r="K6" s="1029">
        <f>SUMIF('数据-汇总表'!C$19:C$33,A6,'数据-汇总表'!E$19:E$33)</f>
        <v>74.91</v>
      </c>
      <c r="L6" s="733">
        <v>4000</v>
      </c>
      <c r="M6" s="67">
        <f t="shared" ref="M6:M14" si="0">ROUND(K6*L6/10000,0)</f>
        <v>30</v>
      </c>
      <c r="N6" s="731">
        <f>N22</f>
        <v>0.68400000000000005</v>
      </c>
      <c r="O6" s="67" t="str">
        <f>IF($N$5="成新度","——",ROUND(M6*N6,0))</f>
        <v>——</v>
      </c>
      <c r="P6" s="68" t="str">
        <f>IF($N$5="成新度","——",M6-O6)</f>
        <v>——</v>
      </c>
      <c r="Q6" s="734">
        <v>0.15</v>
      </c>
      <c r="R6" s="69">
        <f ca="1">SUMIF('数据-汇总表'!C$19:C$33,A6,'数据-汇总表'!R$19:R$27)</f>
        <v>6.9</v>
      </c>
      <c r="S6" s="51">
        <f>IF('数据-汇总表'!$I$17="按面积比例",SUMIF('数据-汇总表'!C$19:C$33,A6,'数据-汇总表'!K$19:K$33),SUMIF('数据-汇总表'!C$19:C$33,A6,'数据-汇总表'!N$19:N$33))</f>
        <v>0</v>
      </c>
      <c r="T6" s="1171">
        <f>ROUND($L$14*S6/10000,0)</f>
        <v>0</v>
      </c>
      <c r="U6" s="3425">
        <v>4.5</v>
      </c>
      <c r="V6" s="70">
        <v>0.03</v>
      </c>
      <c r="W6" s="70">
        <v>0.05</v>
      </c>
      <c r="X6" s="1039"/>
      <c r="Y6" s="71">
        <f>N6</f>
        <v>0.68400000000000005</v>
      </c>
      <c r="Z6" s="72"/>
      <c r="AA6" s="66"/>
      <c r="AB6" s="66"/>
      <c r="AC6" s="1039"/>
      <c r="AD6" s="73"/>
      <c r="AE6" s="1040">
        <f ca="1">IF(AN6="",0,SUMIF(INDIRECT("'"&amp;AN6&amp;"'"&amp;"!E:E"),$AE$5,INDIRECT("'"&amp;AN6&amp;"'"&amp;"!F:F")))</f>
        <v>21.28</v>
      </c>
      <c r="AF6" s="1347"/>
      <c r="AG6" s="138">
        <f>IF(AF6="",0,AE6-AF6)</f>
        <v>0</v>
      </c>
      <c r="AH6" s="74"/>
      <c r="AI6" s="76">
        <v>365</v>
      </c>
      <c r="AJ6" s="77"/>
      <c r="AK6" s="78">
        <v>1.4999999999999999E-2</v>
      </c>
      <c r="AL6" s="79">
        <v>1.5E-3</v>
      </c>
      <c r="AM6" s="80">
        <v>0.01</v>
      </c>
      <c r="AN6" s="1714" t="s">
        <v>3397</v>
      </c>
      <c r="AO6" s="52">
        <f ca="1">SUMIF(INDIRECT("'"&amp;AN6&amp;"'"&amp;"!A:A"),"总价",INDIRECT("'"&amp;AN6&amp;"'"&amp;"!B:B"))</f>
        <v>142.51929999999999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6"/>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0.70799999999999996</v>
      </c>
      <c r="H16" s="90">
        <f>ROUND(SUMPRODUCT(H6:H13,K6:K13)/SUMPRODUCT((H6:H13&gt;0)*(K6:K13)),3)</f>
        <v>0.05</v>
      </c>
      <c r="I16" s="91"/>
      <c r="J16" s="91"/>
      <c r="K16" s="92">
        <f>SUM(K6:K15)</f>
        <v>74.91</v>
      </c>
      <c r="L16" s="93">
        <f>ROUND(M16*10000/SUM(K6:K14),0)</f>
        <v>4005</v>
      </c>
      <c r="M16" s="93">
        <f>SUM(M6:M14)</f>
        <v>30</v>
      </c>
      <c r="N16" s="94">
        <f>ROUND(SUMPRODUCT(M6:M14,N6:N14)/M16,3)</f>
        <v>0.68400000000000005</v>
      </c>
      <c r="O16" s="93">
        <f>SUM(O6:O14)</f>
        <v>0</v>
      </c>
      <c r="P16" s="93">
        <f>SUM(P6:P14)</f>
        <v>0</v>
      </c>
      <c r="Q16" s="95">
        <f>ROUND(SUMPRODUCT(Q6:Q13,K6:K13)/SUMPRODUCT((Q6:Q13&gt;0)*(K6:K13)),2)</f>
        <v>0.15</v>
      </c>
      <c r="R16" s="1033">
        <f ca="1">SUM(R6:R13)</f>
        <v>6.9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47" t="s">
        <v>3393</v>
      </c>
      <c r="N19" s="2668">
        <v>1997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47" t="s">
        <v>3394</v>
      </c>
      <c r="N20" s="2668">
        <f>ROUND(1-(1-0%)*(2023-N19)/60,3)</f>
        <v>0.56699999999999995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47" t="s">
        <v>3395</v>
      </c>
      <c r="N21" s="3448">
        <v>0.8</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3447" t="s">
        <v>3396</v>
      </c>
      <c r="N22" s="2668">
        <f>ROUND((N21+N20)/2,3)</f>
        <v>0.68400000000000005</v>
      </c>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1.4982</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3398</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144</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40" t="s">
        <v>2282</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3449" t="s">
        <v>3400</v>
      </c>
      <c r="D3" s="2463"/>
      <c r="E3" s="2441" t="s">
        <v>2280</v>
      </c>
      <c r="F3" s="2464" t="s">
        <v>2253</v>
      </c>
      <c r="G3" s="2465" t="s">
        <v>2281</v>
      </c>
      <c r="H3" s="798"/>
      <c r="I3" s="798"/>
      <c r="J3" s="798"/>
      <c r="K3" s="798"/>
      <c r="L3" s="798"/>
      <c r="M3" s="798"/>
      <c r="N3" s="798"/>
      <c r="O3" s="798"/>
      <c r="P3" s="798"/>
      <c r="Q3" s="798"/>
      <c r="R3" s="798"/>
    </row>
    <row r="4" spans="1:29" ht="36">
      <c r="A4" s="2441"/>
      <c r="B4" s="323" t="s">
        <v>2254</v>
      </c>
      <c r="C4" s="3450" t="s">
        <v>3401</v>
      </c>
      <c r="D4" s="2463"/>
      <c r="E4" s="2466"/>
      <c r="F4" s="1372" t="s">
        <v>2255</v>
      </c>
      <c r="G4" s="2467" t="s">
        <v>2256</v>
      </c>
      <c r="H4" s="798"/>
      <c r="I4" s="798"/>
      <c r="J4" s="798"/>
      <c r="K4" s="798"/>
      <c r="L4" s="798"/>
      <c r="M4" s="798"/>
      <c r="N4" s="798"/>
      <c r="O4" s="798"/>
      <c r="P4" s="798"/>
      <c r="Q4" s="798"/>
      <c r="R4" s="798"/>
    </row>
    <row r="5" spans="1:29" ht="24">
      <c r="A5" s="2441"/>
      <c r="B5" s="323" t="s">
        <v>2257</v>
      </c>
      <c r="C5" s="3450" t="s">
        <v>3401</v>
      </c>
      <c r="D5" s="2463"/>
      <c r="E5" s="2466"/>
      <c r="F5" s="323" t="s">
        <v>2258</v>
      </c>
      <c r="G5" s="2467" t="s">
        <v>2259</v>
      </c>
      <c r="H5" s="798"/>
      <c r="I5" s="798"/>
      <c r="J5" s="798"/>
      <c r="K5" s="798"/>
      <c r="L5" s="798"/>
      <c r="M5" s="798"/>
      <c r="N5" s="798"/>
      <c r="O5" s="798"/>
      <c r="P5" s="798"/>
      <c r="Q5" s="798"/>
      <c r="R5" s="798"/>
    </row>
    <row r="6" spans="1:29">
      <c r="A6" s="2441"/>
      <c r="B6" s="323" t="s">
        <v>2260</v>
      </c>
      <c r="C6" s="3451" t="s">
        <v>3402</v>
      </c>
      <c r="D6" s="2463"/>
      <c r="E6" s="2466"/>
      <c r="F6" s="323" t="s">
        <v>2261</v>
      </c>
      <c r="G6" s="2467" t="s">
        <v>2262</v>
      </c>
      <c r="H6" s="798"/>
      <c r="I6" s="798"/>
      <c r="J6" s="798"/>
      <c r="K6" s="798"/>
      <c r="L6" s="798"/>
      <c r="M6" s="798"/>
      <c r="N6" s="798"/>
      <c r="O6" s="798"/>
      <c r="P6" s="798"/>
      <c r="Q6" s="798"/>
      <c r="R6" s="798"/>
    </row>
    <row r="7" spans="1:29" ht="24.75" thickBot="1">
      <c r="A7" s="2441"/>
      <c r="B7" s="323" t="s">
        <v>2258</v>
      </c>
      <c r="C7" s="3451" t="s">
        <v>3402</v>
      </c>
      <c r="D7" s="2468"/>
      <c r="E7" s="2469"/>
      <c r="F7" s="2470" t="s">
        <v>2263</v>
      </c>
      <c r="G7" s="2471" t="s">
        <v>2264</v>
      </c>
      <c r="H7" s="798"/>
      <c r="I7" s="798"/>
      <c r="J7" s="798"/>
      <c r="K7" s="798"/>
      <c r="L7" s="798"/>
      <c r="M7" s="798"/>
      <c r="N7" s="798"/>
      <c r="O7" s="798"/>
      <c r="P7" s="798"/>
      <c r="Q7" s="798"/>
      <c r="R7" s="798"/>
    </row>
    <row r="8" spans="1:29">
      <c r="A8" s="2441"/>
      <c r="B8" s="323" t="s">
        <v>2261</v>
      </c>
      <c r="C8" s="3451" t="s">
        <v>3403</v>
      </c>
      <c r="D8" s="2468"/>
      <c r="E8" s="2468"/>
      <c r="F8" s="2472"/>
      <c r="G8" s="2472"/>
      <c r="H8" s="798"/>
      <c r="I8" s="798"/>
      <c r="J8" s="798"/>
      <c r="K8" s="798"/>
      <c r="L8" s="798"/>
      <c r="M8" s="798"/>
      <c r="N8" s="798"/>
      <c r="O8" s="798"/>
      <c r="P8" s="798"/>
      <c r="Q8" s="798"/>
      <c r="R8" s="798"/>
    </row>
    <row r="9" spans="1:29">
      <c r="A9" s="2441"/>
      <c r="B9" s="323" t="s">
        <v>2265</v>
      </c>
      <c r="C9" s="3450" t="s">
        <v>3402</v>
      </c>
      <c r="D9" s="2463"/>
      <c r="E9" s="2468"/>
      <c r="F9" s="2472"/>
      <c r="G9" s="2472"/>
      <c r="H9" s="798"/>
      <c r="I9" s="798"/>
      <c r="J9" s="798"/>
      <c r="K9" s="798"/>
      <c r="L9" s="798"/>
      <c r="M9" s="798"/>
      <c r="N9" s="798"/>
      <c r="O9" s="798"/>
      <c r="P9" s="798"/>
      <c r="Q9" s="798"/>
      <c r="R9" s="798"/>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较好</v>
      </c>
      <c r="D16" s="2463"/>
      <c r="E16" s="2446"/>
      <c r="F16" s="2499" t="s">
        <v>2255</v>
      </c>
      <c r="G16" s="2500" t="str">
        <f>G4</f>
        <v>估价对象周边道路状况、公共交通通达情况、停车便捷程度，综合评价交通便捷度较好</v>
      </c>
    </row>
    <row r="17" spans="1:18">
      <c r="A17" s="2445"/>
      <c r="B17" s="2497" t="s">
        <v>2257</v>
      </c>
      <c r="C17" s="2498" t="str">
        <f>C5</f>
        <v>较好</v>
      </c>
      <c r="D17" s="2468"/>
      <c r="E17" s="2446"/>
      <c r="F17" s="2499" t="s">
        <v>2272</v>
      </c>
      <c r="G17" s="2501"/>
    </row>
    <row r="18" spans="1:18" ht="25.5">
      <c r="A18" s="2445"/>
      <c r="B18" s="2499" t="s">
        <v>2260</v>
      </c>
      <c r="C18" s="2500" t="str">
        <f>C6</f>
        <v>较好</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8" customFormat="1" ht="15" thickBot="1">
      <c r="A23" s="2445"/>
      <c r="B23" s="2499" t="s">
        <v>2275</v>
      </c>
      <c r="C23" s="2502"/>
      <c r="D23" s="1740"/>
      <c r="E23" s="2447"/>
      <c r="F23" s="2503" t="s">
        <v>2276</v>
      </c>
      <c r="G23" s="2504"/>
      <c r="H23" s="2488"/>
      <c r="I23" s="2489"/>
      <c r="J23" s="2488"/>
      <c r="K23" s="2488"/>
      <c r="L23" s="2489"/>
      <c r="M23" s="2488"/>
      <c r="N23" s="2488"/>
      <c r="O23" s="2489"/>
      <c r="P23" s="2488"/>
      <c r="Q23" s="2488"/>
      <c r="R23" s="2490"/>
    </row>
    <row r="24" spans="1:18" s="798" customFormat="1" ht="15" thickBot="1">
      <c r="A24" s="2448"/>
      <c r="B24" s="2503" t="s">
        <v>2277</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74.91</v>
      </c>
      <c r="C1" s="2683"/>
      <c r="D1" s="2683"/>
      <c r="E1" s="2683"/>
      <c r="F1" s="2683"/>
      <c r="G1" s="2684"/>
      <c r="H1" s="2685"/>
      <c r="I1" s="2685"/>
      <c r="J1" s="2685"/>
      <c r="K1" s="2685"/>
    </row>
    <row r="2" spans="1:11" ht="16.5">
      <c r="A2" s="2509" t="s">
        <v>653</v>
      </c>
      <c r="B2" s="2509">
        <f>SUM(C14:C23)</f>
        <v>6.9</v>
      </c>
      <c r="C2" s="2683"/>
      <c r="D2" s="2683"/>
      <c r="E2" s="2683"/>
      <c r="F2" s="2683"/>
      <c r="G2" s="2684"/>
      <c r="H2" s="2685"/>
      <c r="I2" s="2685"/>
      <c r="J2" s="2685"/>
      <c r="K2" s="2685"/>
    </row>
    <row r="3" spans="1:11" ht="16.5">
      <c r="A3" s="2509" t="s">
        <v>662</v>
      </c>
      <c r="B3" s="2511">
        <f>项目基本情况!D3</f>
        <v>44993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201</v>
      </c>
      <c r="C5" s="2509">
        <f ca="1">IF(B5=D14,结果表!H102,ROUND(B5*10000/$B$1,0))</f>
        <v>26813</v>
      </c>
      <c r="D5" s="2509">
        <f ca="1">ROUND(B5*10000/$B$2,0)</f>
        <v>291304</v>
      </c>
      <c r="E5" s="2683"/>
      <c r="F5" s="2684"/>
      <c r="G5" s="2684"/>
      <c r="H5" s="2685"/>
      <c r="I5" s="2685"/>
      <c r="J5" s="2685"/>
      <c r="K5" s="2685"/>
    </row>
    <row r="6" spans="1:11" ht="16.5">
      <c r="A6" s="2509" t="s">
        <v>656</v>
      </c>
      <c r="B6" s="2509">
        <f ca="1">SUM(G14:G23)</f>
        <v>201</v>
      </c>
      <c r="C6" s="2509">
        <f ca="1">IF(B6=G14,结果表!H108,ROUND(B6*10000/$B$1,0))</f>
        <v>26813</v>
      </c>
      <c r="D6" s="2509">
        <f ca="1">ROUND(B6*10000/$B$2,0)</f>
        <v>291304</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8"/>
      <c r="F10" s="3442" t="s">
        <v>3361</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74.91</v>
      </c>
      <c r="C14" s="2515">
        <f>结果表!C118</f>
        <v>6.9</v>
      </c>
      <c r="D14" s="2515">
        <f ca="1">结果表!H118</f>
        <v>201</v>
      </c>
      <c r="E14" s="2515">
        <f ca="1">结果表!H102</f>
        <v>26813</v>
      </c>
      <c r="F14" s="2515">
        <f ca="1">ROUND(D14*10000/C14,0)</f>
        <v>291304</v>
      </c>
      <c r="G14" s="2515">
        <f ca="1">D14</f>
        <v>201</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P36" sqref="P3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9" t="str">
        <f>项目基本情况!S2</f>
        <v>北京市东城区灯市口大街33号4层427房地产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3" t="s">
        <v>1265</v>
      </c>
      <c r="B4" s="1754" t="s">
        <v>1266</v>
      </c>
      <c r="C4" s="1755" t="s">
        <v>3416</v>
      </c>
      <c r="D4" s="1755" t="s">
        <v>3397</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6"/>
      <c r="G5" s="1756"/>
      <c r="H5" s="1756"/>
      <c r="I5" s="1372"/>
    </row>
    <row r="6" spans="1:12" ht="12.75">
      <c r="A6" s="3557"/>
      <c r="B6" s="3612"/>
      <c r="C6" s="3617"/>
      <c r="D6" s="3603"/>
      <c r="E6" s="131" t="s">
        <v>1270</v>
      </c>
      <c r="F6" s="1756"/>
      <c r="G6" s="1756"/>
      <c r="H6" s="1756"/>
      <c r="I6" s="1372"/>
    </row>
    <row r="7" spans="1:12" ht="12.75">
      <c r="A7" s="3557"/>
      <c r="B7" s="3612"/>
      <c r="C7" s="3616"/>
      <c r="D7" s="3603"/>
      <c r="E7" s="131" t="s">
        <v>1271</v>
      </c>
      <c r="F7" s="1756"/>
      <c r="G7" s="1756"/>
      <c r="H7" s="1756"/>
      <c r="I7" s="1372"/>
    </row>
    <row r="8" spans="1:12" ht="12.75">
      <c r="A8" s="3557" t="s">
        <v>1272</v>
      </c>
      <c r="B8" s="3612">
        <v>15</v>
      </c>
      <c r="C8" s="3615"/>
      <c r="D8" s="3603"/>
      <c r="E8" s="131" t="s">
        <v>1273</v>
      </c>
      <c r="F8" s="1756"/>
      <c r="G8" s="1756"/>
      <c r="H8" s="1756"/>
      <c r="I8" s="1372"/>
    </row>
    <row r="9" spans="1:12" ht="12.75">
      <c r="A9" s="3557"/>
      <c r="B9" s="3612"/>
      <c r="C9" s="3616"/>
      <c r="D9" s="3603"/>
      <c r="E9" s="131" t="s">
        <v>1274</v>
      </c>
      <c r="F9" s="1756"/>
      <c r="G9" s="1756"/>
      <c r="H9" s="1756"/>
      <c r="I9" s="1372"/>
    </row>
    <row r="10" spans="1:12" ht="12.75">
      <c r="A10" s="3557" t="s">
        <v>1275</v>
      </c>
      <c r="B10" s="3612">
        <v>15</v>
      </c>
      <c r="C10" s="3615"/>
      <c r="D10" s="3603"/>
      <c r="E10" s="131" t="s">
        <v>1276</v>
      </c>
      <c r="F10" s="1756"/>
      <c r="G10" s="1756"/>
      <c r="H10" s="1756"/>
      <c r="I10" s="1372"/>
    </row>
    <row r="11" spans="1:12" ht="12.75">
      <c r="A11" s="3557"/>
      <c r="B11" s="3612"/>
      <c r="C11" s="3616"/>
      <c r="D11" s="3603"/>
      <c r="E11" s="131" t="s">
        <v>1277</v>
      </c>
      <c r="F11" s="1756"/>
      <c r="G11" s="1756"/>
      <c r="H11" s="1756"/>
      <c r="I11" s="1372"/>
    </row>
    <row r="12" spans="1:12" ht="12.75">
      <c r="A12" s="3557" t="s">
        <v>1278</v>
      </c>
      <c r="B12" s="3612">
        <v>15</v>
      </c>
      <c r="C12" s="3615"/>
      <c r="D12" s="3603"/>
      <c r="E12" s="131" t="s">
        <v>1279</v>
      </c>
      <c r="F12" s="1756"/>
      <c r="G12" s="1756"/>
      <c r="H12" s="1756"/>
      <c r="I12" s="1372"/>
    </row>
    <row r="13" spans="1:12" ht="12.75">
      <c r="A13" s="3557"/>
      <c r="B13" s="3612"/>
      <c r="C13" s="3616"/>
      <c r="D13" s="3603"/>
      <c r="E13" s="131" t="s">
        <v>1280</v>
      </c>
      <c r="F13" s="1756"/>
      <c r="G13" s="1756"/>
      <c r="H13" s="1756"/>
      <c r="I13" s="1372"/>
    </row>
    <row r="14" spans="1:12" ht="12.75">
      <c r="A14" s="3557" t="s">
        <v>1281</v>
      </c>
      <c r="B14" s="3612">
        <v>30</v>
      </c>
      <c r="C14" s="3615">
        <v>4</v>
      </c>
      <c r="D14" s="3603">
        <v>6</v>
      </c>
      <c r="E14" s="131" t="s">
        <v>1282</v>
      </c>
      <c r="F14" s="1756"/>
      <c r="G14" s="1756"/>
      <c r="H14" s="1756"/>
      <c r="I14" s="1372"/>
    </row>
    <row r="15" spans="1:12" ht="12.75">
      <c r="A15" s="3557"/>
      <c r="B15" s="3612"/>
      <c r="C15" s="3617"/>
      <c r="D15" s="3603"/>
      <c r="E15" s="131" t="s">
        <v>1283</v>
      </c>
      <c r="F15" s="1756"/>
      <c r="G15" s="1756"/>
      <c r="H15" s="1756"/>
      <c r="I15" s="1372"/>
    </row>
    <row r="16" spans="1:12" ht="12.75">
      <c r="A16" s="3557"/>
      <c r="B16" s="3612"/>
      <c r="C16" s="3616"/>
      <c r="D16" s="3603"/>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34" t="s">
        <v>2131</v>
      </c>
      <c r="F18" s="3635"/>
      <c r="G18" s="3635"/>
      <c r="H18" s="3635"/>
      <c r="I18" s="3635"/>
      <c r="K18" s="302" t="s">
        <v>1289</v>
      </c>
      <c r="L18" s="302">
        <f>IF(C1="",'数据-汇总表'!E3,SUMIF(项目类型,C1,'数据-汇总表'!E17:E26)+SUMIF(项目类型,C1,'数据-汇总表'!I17:I26))</f>
        <v>74.91</v>
      </c>
      <c r="M18" s="302">
        <f>IF(C1="",'数据-汇总表'!E3,SUMIF(项目类型,C1,'数据-汇总表'!E17:E26))</f>
        <v>74.91</v>
      </c>
    </row>
    <row r="19" spans="1:36" ht="15">
      <c r="A19" s="1760" t="s">
        <v>1290</v>
      </c>
      <c r="B19" s="1761" t="s">
        <v>1291</v>
      </c>
      <c r="C19" s="134">
        <f ca="1">SUMIF(INDIRECT("'"&amp;C4&amp;"'"&amp;"!A:A"),结果表!B19,INDIRECT("'"&amp;C4&amp;"'"&amp;"!B:B"))</f>
        <v>288.37099999999998</v>
      </c>
      <c r="D19" s="135">
        <f ca="1">SUMIF(INDIRECT("'"&amp;D4&amp;"'"&amp;"!A:A"),结果表!B19,INDIRECT("'"&amp;D4&amp;"'"&amp;"!B:B"))</f>
        <v>142.51929999999999</v>
      </c>
      <c r="E19" s="1760" t="s">
        <v>1292</v>
      </c>
      <c r="F19" s="1761" t="s">
        <v>1291</v>
      </c>
      <c r="G19" s="136">
        <f ca="1">ROUND(C19*$C$18+D19*$D$18,0)</f>
        <v>201</v>
      </c>
      <c r="H19" s="1762" t="s">
        <v>1293</v>
      </c>
      <c r="I19" s="129"/>
      <c r="K19" s="302" t="s">
        <v>1294</v>
      </c>
      <c r="L19" s="302">
        <f>IF(C1="",'数据-汇总表'!D3,SUMIF(项目类型,C1,'数据-汇总表'!D17:D26)+SUMIF(项目类型,C1,'数据-汇总表'!H17:H27))</f>
        <v>6.9</v>
      </c>
      <c r="M19" s="302">
        <f>IF(C1="",'数据-汇总表'!D3,SUMIF(项目类型,C1,'数据-汇总表'!D17:D26))</f>
        <v>6.9</v>
      </c>
    </row>
    <row r="20" spans="1:36" ht="15">
      <c r="A20" s="1763"/>
      <c r="B20" s="1025" t="s">
        <v>1295</v>
      </c>
      <c r="C20" s="137">
        <f ca="1">SUMIF(INDIRECT("'"&amp;C4&amp;"'"&amp;"!A:A"),结果表!B20,INDIRECT("'"&amp;C4&amp;"'"&amp;"!B:B"))</f>
        <v>38496</v>
      </c>
      <c r="D20" s="138">
        <f ca="1">SUMIF(INDIRECT("'"&amp;D4&amp;"'"&amp;"!A:A"),结果表!B20,INDIRECT("'"&amp;D4&amp;"'"&amp;"!B:B"))</f>
        <v>19025</v>
      </c>
      <c r="E20" s="1763"/>
      <c r="F20" s="1025" t="s">
        <v>1295</v>
      </c>
      <c r="G20" s="139">
        <f ca="1">ROUND(C20*$C$18+D20*$D$18,0)</f>
        <v>26813</v>
      </c>
      <c r="H20" s="807" t="s">
        <v>1296</v>
      </c>
      <c r="I20" s="129"/>
    </row>
    <row r="21" spans="1:36" ht="15" customHeight="1" thickBot="1">
      <c r="A21" s="827"/>
      <c r="B21" s="1764" t="s">
        <v>1297</v>
      </c>
      <c r="C21" s="719">
        <f ca="1">ROUND(C19*10000/L19,0)</f>
        <v>417929</v>
      </c>
      <c r="D21" s="720">
        <f ca="1">ROUND(D19*10000/L19,0)</f>
        <v>206550</v>
      </c>
      <c r="E21" s="827"/>
      <c r="F21" s="1764" t="s">
        <v>1297</v>
      </c>
      <c r="G21" s="140">
        <f ca="1">ROUND(G19*10000/L19,0)</f>
        <v>291304</v>
      </c>
      <c r="H21" s="1765" t="s">
        <v>1296</v>
      </c>
      <c r="I21" s="129"/>
      <c r="J21" s="725" t="s">
        <v>3419</v>
      </c>
    </row>
    <row r="22" spans="1:36" ht="15" thickBot="1">
      <c r="A22" s="1687" t="s">
        <v>1298</v>
      </c>
      <c r="B22" s="1766"/>
      <c r="C22" s="1767"/>
      <c r="D22" s="721">
        <f ca="1">IF(C19&lt;D19,D19/C19-1,C19/D19-1)</f>
        <v>1.0233820963195863</v>
      </c>
      <c r="E22" s="129"/>
      <c r="F22" s="129"/>
      <c r="G22" s="129"/>
      <c r="H22" s="129"/>
      <c r="I22" s="129"/>
    </row>
    <row r="23" spans="1:36" ht="13.5" thickBot="1">
      <c r="A23" s="1746"/>
      <c r="B23" s="1746"/>
      <c r="C23" s="1746"/>
      <c r="D23" s="1746"/>
      <c r="E23" s="129"/>
      <c r="F23" s="129"/>
      <c r="G23" s="129"/>
      <c r="H23" s="129"/>
      <c r="I23" s="129"/>
    </row>
    <row r="24" spans="1:36" ht="14.25">
      <c r="A24" s="3627" t="s">
        <v>1299</v>
      </c>
      <c r="B24" s="1761" t="s">
        <v>1291</v>
      </c>
      <c r="C24" s="136">
        <f>IF(B30=0,0,D30)</f>
        <v>0</v>
      </c>
      <c r="D24" s="1768"/>
      <c r="E24" s="129"/>
      <c r="F24" s="129"/>
      <c r="G24" s="129"/>
      <c r="H24" s="129"/>
      <c r="I24" s="129"/>
    </row>
    <row r="25" spans="1:36" ht="14.25">
      <c r="A25" s="362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26813</v>
      </c>
      <c r="D32" s="1774" t="s">
        <v>3417</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4" t="s">
        <v>1312</v>
      </c>
      <c r="B36" s="1786" t="s">
        <v>1313</v>
      </c>
      <c r="C36" s="145"/>
      <c r="D36" s="1787"/>
      <c r="E36" s="1788"/>
      <c r="F36" s="1789"/>
      <c r="G36" s="129"/>
      <c r="H36" s="129"/>
      <c r="I36" s="129"/>
    </row>
    <row r="37" spans="1:15" ht="15.75" thickBot="1">
      <c r="A37" s="3605"/>
      <c r="B37" s="1673" t="s">
        <v>1314</v>
      </c>
      <c r="C37" s="147"/>
      <c r="D37" s="1138"/>
      <c r="E37" s="1138"/>
      <c r="F37" s="1789"/>
      <c r="G37" s="129"/>
      <c r="H37" s="129"/>
      <c r="I37" s="129"/>
    </row>
    <row r="38" spans="1:15" ht="15.75" thickBot="1">
      <c r="A38" s="3606"/>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624" t="s">
        <v>1326</v>
      </c>
      <c r="B45" s="3625"/>
      <c r="C45" s="3626"/>
      <c r="D45" s="155">
        <f ca="1">ROUND(H101*F45,0)</f>
        <v>201</v>
      </c>
      <c r="E45" s="156" t="s">
        <v>1327</v>
      </c>
      <c r="F45" s="157">
        <v>1</v>
      </c>
      <c r="G45" s="158" t="s">
        <v>1328</v>
      </c>
      <c r="H45" s="129"/>
      <c r="I45" s="129"/>
      <c r="J45" s="3544" t="s">
        <v>1329</v>
      </c>
      <c r="K45" s="3544"/>
      <c r="L45" s="3544"/>
      <c r="M45" s="3544"/>
      <c r="N45" s="3544"/>
      <c r="O45" s="3544"/>
    </row>
    <row r="46" spans="1:15" ht="14.25" hidden="1" customHeight="1">
      <c r="A46" s="3621" t="s">
        <v>1330</v>
      </c>
      <c r="B46" s="3622"/>
      <c r="C46" s="3622"/>
      <c r="D46" s="3622"/>
      <c r="E46" s="3622"/>
      <c r="F46" s="3622"/>
      <c r="G46" s="3623"/>
      <c r="H46" s="1805"/>
      <c r="I46" s="159"/>
      <c r="J46" s="2520">
        <v>1</v>
      </c>
      <c r="K46" s="3545" t="s">
        <v>1331</v>
      </c>
      <c r="L46" s="3545"/>
      <c r="M46" s="3546"/>
      <c r="N46" s="3546"/>
      <c r="O46" s="3546"/>
    </row>
    <row r="47" spans="1:15" ht="12" hidden="1" customHeight="1">
      <c r="A47" s="160" t="s">
        <v>1332</v>
      </c>
      <c r="B47" s="161"/>
      <c r="C47" s="162"/>
      <c r="D47" s="1086" t="s">
        <v>1333</v>
      </c>
      <c r="E47" s="302" t="s">
        <v>1334</v>
      </c>
      <c r="F47" s="163" t="s">
        <v>1335</v>
      </c>
      <c r="G47" s="2543" t="s">
        <v>1336</v>
      </c>
      <c r="H47" s="2544"/>
      <c r="I47" s="159"/>
      <c r="J47" s="2520">
        <v>2</v>
      </c>
      <c r="K47" s="3545" t="s">
        <v>1337</v>
      </c>
      <c r="L47" s="3545"/>
      <c r="M47" s="3547">
        <f>'数据-取费表'!B2</f>
        <v>44993</v>
      </c>
      <c r="N47" s="3547"/>
      <c r="O47" s="3547"/>
    </row>
    <row r="48" spans="1:15" ht="25.5" hidden="1">
      <c r="A48" s="3607" t="s">
        <v>1338</v>
      </c>
      <c r="B48" s="3608"/>
      <c r="C48" s="3608"/>
      <c r="D48" s="2323" t="b">
        <f>IF(H48="情况1",0,IF(H48="情况2",D52,IF(H48="情况3",D53,IF(H48="情况4",D54))))</f>
        <v>0</v>
      </c>
      <c r="E48" s="2333" t="str">
        <f>IF(H48="情况4","(销售额-原购置价)×税（费）率","销售额×税（费）率")</f>
        <v>销售额×税（费）率</v>
      </c>
      <c r="F48" s="2545">
        <f>IF(H48="情况1","免征",'数据-取费表'!B41)</f>
        <v>5.6000000000000001E-2</v>
      </c>
      <c r="G48" s="2546" t="s">
        <v>1339</v>
      </c>
      <c r="H48" s="2547"/>
      <c r="I48" s="1805"/>
      <c r="J48" s="2520">
        <v>3</v>
      </c>
      <c r="K48" s="3545" t="s">
        <v>1340</v>
      </c>
      <c r="L48" s="3545"/>
      <c r="M48" s="3548">
        <f ca="1">H101</f>
        <v>201</v>
      </c>
      <c r="N48" s="3548"/>
      <c r="O48" s="3548"/>
    </row>
    <row r="49" spans="1:35" ht="25.5" hidden="1" customHeight="1">
      <c r="A49" s="2332" t="s">
        <v>1341</v>
      </c>
      <c r="B49" s="3593" t="s">
        <v>1342</v>
      </c>
      <c r="C49" s="3593"/>
      <c r="D49" s="1589">
        <v>0</v>
      </c>
      <c r="E49" s="324" t="s">
        <v>1343</v>
      </c>
      <c r="F49" s="2423" t="s">
        <v>28</v>
      </c>
      <c r="G49" s="3576"/>
      <c r="H49" s="2309" t="s">
        <v>2134</v>
      </c>
      <c r="I49" s="2310"/>
      <c r="J49" s="2520">
        <v>4</v>
      </c>
      <c r="K49" s="3545" t="str">
        <f>IF(项目基本情况!E8="房地产抵押价值","房地产抵押价值","抵押担保权已注销时的房地产抵押价值")</f>
        <v>房地产抵押价值</v>
      </c>
      <c r="L49" s="3545"/>
      <c r="M49" s="3548">
        <f ca="1">IF(项目基本情况!E8="房地产抵押价值",H107,H109)</f>
        <v>201</v>
      </c>
      <c r="N49" s="3548"/>
      <c r="O49" s="3548"/>
    </row>
    <row r="50" spans="1:35" ht="25.5" hidden="1" customHeight="1">
      <c r="A50" s="2548"/>
      <c r="B50" s="3593" t="s">
        <v>1344</v>
      </c>
      <c r="C50" s="3593"/>
      <c r="D50" s="2549"/>
      <c r="E50" s="332"/>
      <c r="F50" s="2423"/>
      <c r="G50" s="3577"/>
      <c r="H50" s="2311" t="s">
        <v>2135</v>
      </c>
      <c r="I50" s="2310"/>
      <c r="J50" s="3544" t="s">
        <v>1345</v>
      </c>
      <c r="K50" s="3544"/>
      <c r="L50" s="3544"/>
      <c r="M50" s="3544"/>
      <c r="N50" s="3544"/>
      <c r="O50" s="3544"/>
    </row>
    <row r="51" spans="1:35" ht="20.45" hidden="1" customHeight="1">
      <c r="A51" s="2550"/>
      <c r="B51" s="3593" t="s">
        <v>1346</v>
      </c>
      <c r="C51" s="3593"/>
      <c r="D51" s="1086"/>
      <c r="E51" s="327"/>
      <c r="F51" s="2423"/>
      <c r="G51" s="3578"/>
      <c r="H51" s="2311" t="s">
        <v>2136</v>
      </c>
      <c r="I51" s="2310"/>
      <c r="J51" s="2521" t="s">
        <v>1347</v>
      </c>
      <c r="K51" s="3545" t="s">
        <v>1348</v>
      </c>
      <c r="L51" s="3545"/>
      <c r="M51" s="2521" t="s">
        <v>1349</v>
      </c>
      <c r="N51" s="2521" t="s">
        <v>1350</v>
      </c>
      <c r="O51" s="2521" t="s">
        <v>1351</v>
      </c>
    </row>
    <row r="52" spans="1:35" ht="24" hidden="1" customHeight="1">
      <c r="A52" s="2334" t="s">
        <v>1352</v>
      </c>
      <c r="B52" s="3593" t="s">
        <v>1353</v>
      </c>
      <c r="C52" s="3593"/>
      <c r="D52" s="1086">
        <f ca="1">ROUND(D45*'数据-取费表'!B41/(1+'数据-取费表'!C42),0)</f>
        <v>11</v>
      </c>
      <c r="E52" s="2333" t="s">
        <v>1354</v>
      </c>
      <c r="F52" s="2551">
        <f>'数据-取费表'!B41</f>
        <v>5.6000000000000001E-2</v>
      </c>
      <c r="G52" s="2552"/>
      <c r="H52" s="2541"/>
      <c r="I52" s="1806"/>
      <c r="J52" s="2520">
        <v>1</v>
      </c>
      <c r="K52" s="3570" t="s">
        <v>1355</v>
      </c>
      <c r="L52" s="3570"/>
      <c r="M52" s="2522" t="b">
        <f>D48</f>
        <v>0</v>
      </c>
      <c r="N52" s="2520" t="str">
        <f>E48</f>
        <v>销售额×税（费）率</v>
      </c>
      <c r="O52" s="2523">
        <f>F48</f>
        <v>5.6000000000000001E-2</v>
      </c>
    </row>
    <row r="53" spans="1:35" ht="12" hidden="1" customHeight="1">
      <c r="A53" s="2334" t="s">
        <v>1356</v>
      </c>
      <c r="B53" s="3594" t="s">
        <v>2287</v>
      </c>
      <c r="C53" s="3595"/>
      <c r="D53" s="1086">
        <f ca="1">ROUND(D45*'数据-取费表'!B41/(1+'数据-取费表'!C42),0)</f>
        <v>11</v>
      </c>
      <c r="E53" s="2333" t="s">
        <v>1354</v>
      </c>
      <c r="F53" s="2551">
        <f>'数据-取费表'!B41</f>
        <v>5.6000000000000001E-2</v>
      </c>
      <c r="G53" s="2552"/>
      <c r="H53" s="2541"/>
      <c r="I53" s="1806"/>
      <c r="J53" s="2520">
        <v>2</v>
      </c>
      <c r="K53" s="3570" t="s">
        <v>1357</v>
      </c>
      <c r="L53" s="3570"/>
      <c r="M53" s="2522">
        <f t="shared" ref="M53:O54" ca="1" si="0">D55</f>
        <v>0</v>
      </c>
      <c r="N53" s="2520" t="str">
        <f t="shared" si="0"/>
        <v>销售额×税（费）率</v>
      </c>
      <c r="O53" s="2523" t="str">
        <f t="shared" si="0"/>
        <v>免征</v>
      </c>
    </row>
    <row r="54" spans="1:35" ht="12" hidden="1" customHeight="1">
      <c r="A54" s="2334" t="s">
        <v>1358</v>
      </c>
      <c r="B54" s="3594" t="s">
        <v>2288</v>
      </c>
      <c r="C54" s="3595"/>
      <c r="D54" s="1086">
        <f ca="1">C68</f>
        <v>11</v>
      </c>
      <c r="E54" s="327" t="s">
        <v>1359</v>
      </c>
      <c r="F54" s="2551">
        <f>'数据-取费表'!B41</f>
        <v>5.6000000000000001E-2</v>
      </c>
      <c r="G54" s="2552"/>
      <c r="H54" s="2553"/>
      <c r="I54" s="1806"/>
      <c r="J54" s="2520">
        <v>3</v>
      </c>
      <c r="K54" s="3570" t="s">
        <v>1360</v>
      </c>
      <c r="L54" s="3570"/>
      <c r="M54" s="2522">
        <f t="shared" ca="1" si="0"/>
        <v>114</v>
      </c>
      <c r="N54" s="2520" t="str">
        <f t="shared" si="0"/>
        <v>增值额×税（费）率</v>
      </c>
      <c r="O54" s="2524" t="str">
        <f t="shared" si="0"/>
        <v>免征</v>
      </c>
    </row>
    <row r="55" spans="1:35" ht="24" hidden="1" customHeight="1">
      <c r="A55" s="3630" t="s">
        <v>1361</v>
      </c>
      <c r="B55" s="3608"/>
      <c r="C55" s="3608"/>
      <c r="D55" s="2323">
        <f ca="1">IF(H55="个人住宅",0,ROUND(D45*I55,0))</f>
        <v>0</v>
      </c>
      <c r="E55" s="2333" t="s">
        <v>1362</v>
      </c>
      <c r="F55" s="2551" t="str">
        <f>IF(H55="正常",I55,"免征")</f>
        <v>免征</v>
      </c>
      <c r="G55" s="2552"/>
      <c r="H55" s="2547"/>
      <c r="I55" s="165">
        <f>'数据-取费表'!B49</f>
        <v>5.0000000000000001E-4</v>
      </c>
      <c r="J55" s="2520">
        <f>IF(H59="非个人房产","",4)</f>
        <v>4</v>
      </c>
      <c r="K55" s="3570" t="str">
        <f>IF(H59="非个人房产","——","个人所得税")</f>
        <v>个人所得税</v>
      </c>
      <c r="L55" s="3570"/>
      <c r="M55" s="2525">
        <f ca="1">D59</f>
        <v>2</v>
      </c>
      <c r="N55" s="2039" t="str">
        <f>E59</f>
        <v>差额计税</v>
      </c>
      <c r="O55" s="2526">
        <f>F59</f>
        <v>0.01</v>
      </c>
    </row>
    <row r="56" spans="1:35" ht="24.75" hidden="1">
      <c r="A56" s="3630" t="s">
        <v>1363</v>
      </c>
      <c r="B56" s="3608"/>
      <c r="C56" s="3608"/>
      <c r="D56" s="2323">
        <f ca="1">IF(H56="个人住宅",D57,D58)</f>
        <v>114</v>
      </c>
      <c r="E56" s="2333" t="s">
        <v>1364</v>
      </c>
      <c r="F56" s="2551" t="str">
        <f>IF(H56="正常",F58,"免征")</f>
        <v>免征</v>
      </c>
      <c r="G56" s="2554" t="s">
        <v>1365</v>
      </c>
      <c r="H56" s="2555"/>
      <c r="I56" s="1807"/>
      <c r="J56" s="2520" t="str">
        <f>IF(项目基本情况!K6="上海银行",IF(J55="",4,J55+1),"")</f>
        <v/>
      </c>
      <c r="K56" s="3551" t="str">
        <f>IF(项目基本情况!K6="上海银行","其他处置费用","")</f>
        <v/>
      </c>
      <c r="L56" s="3552"/>
      <c r="M56" s="2522" t="str">
        <f>IF(项目基本情况!K6="上海银行",M69,"")</f>
        <v/>
      </c>
      <c r="N56" s="3551" t="str">
        <f>IF(项目基本情况!K6="上海银行","包含处置中涉及的律师、诉讼、拍卖、评估等费用","")</f>
        <v/>
      </c>
      <c r="O56" s="3554"/>
    </row>
    <row r="57" spans="1:35" ht="12.75" hidden="1">
      <c r="A57" s="2334" t="s">
        <v>1341</v>
      </c>
      <c r="B57" s="3594" t="s">
        <v>1366</v>
      </c>
      <c r="C57" s="3595"/>
      <c r="D57" s="1589">
        <v>0</v>
      </c>
      <c r="E57" s="324" t="s">
        <v>1343</v>
      </c>
      <c r="F57" s="302"/>
      <c r="G57" s="2552"/>
      <c r="H57" s="2556"/>
      <c r="I57" s="1807"/>
      <c r="J57" s="3570">
        <f>IF(AND(J55="",J56=""),4,IF(项目基本情况!K6="上海银行",结果表!J56+1,结果表!J55+1))</f>
        <v>5</v>
      </c>
      <c r="K57" s="3570" t="s">
        <v>1367</v>
      </c>
      <c r="L57" s="2527" t="s">
        <v>1368</v>
      </c>
      <c r="M57" s="2528"/>
      <c r="N57" s="2529">
        <f ca="1">SUMIF(M52:M56,"&lt;9e307")</f>
        <v>116</v>
      </c>
      <c r="O57" s="2530"/>
      <c r="P57" s="2687">
        <f ca="1">N57/M49</f>
        <v>0.57711442786069655</v>
      </c>
    </row>
    <row r="58" spans="1:35" ht="24.75" hidden="1">
      <c r="A58" s="2334" t="s">
        <v>1352</v>
      </c>
      <c r="B58" s="3594" t="s">
        <v>1369</v>
      </c>
      <c r="C58" s="3593"/>
      <c r="D58" s="2323">
        <f ca="1">IF(H58="转让取得",C81,C97)</f>
        <v>114</v>
      </c>
      <c r="E58" s="2333" t="s">
        <v>1364</v>
      </c>
      <c r="F58" s="302" t="s">
        <v>28</v>
      </c>
      <c r="G58" s="2552"/>
      <c r="H58" s="2555"/>
      <c r="I58" s="1807"/>
      <c r="J58" s="3570"/>
      <c r="K58" s="3570"/>
      <c r="L58" s="2527" t="s">
        <v>1370</v>
      </c>
      <c r="M58" s="2531"/>
      <c r="N58" s="2532" t="str">
        <f ca="1">NUMBERSTRING(INT(N57*10000),2)&amp;"元整"</f>
        <v>壹佰壹拾陆万元整</v>
      </c>
      <c r="O58" s="2533"/>
    </row>
    <row r="59" spans="1:35" ht="24.75" hidden="1" thickBot="1">
      <c r="A59" s="3574" t="s">
        <v>1371</v>
      </c>
      <c r="B59" s="3575"/>
      <c r="C59" s="3575"/>
      <c r="D59" s="2557">
        <f ca="1">IF(H59="非个人房产","——",IF(H59="个人住宅（满五唯一有凭证）",0,IF(H59="个人其他（无凭证）",ROUND(D45*F59,0),ROUND(C67*F59,0))))</f>
        <v>2</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572">
        <f>J57+1</f>
        <v>6</v>
      </c>
      <c r="K59" s="3570" t="s">
        <v>1372</v>
      </c>
      <c r="L59" s="2520" t="s">
        <v>1368</v>
      </c>
      <c r="M59" s="2534"/>
      <c r="N59" s="2535">
        <f ca="1">M49-N57</f>
        <v>85</v>
      </c>
      <c r="O59" s="2536"/>
    </row>
    <row r="60" spans="1:35" ht="12" hidden="1" customHeight="1">
      <c r="A60" s="1808"/>
      <c r="B60" s="1746"/>
      <c r="C60" s="1746"/>
      <c r="D60" s="1746"/>
      <c r="E60" s="1577"/>
      <c r="F60" s="1807"/>
      <c r="G60" s="1807"/>
      <c r="H60" s="1809"/>
      <c r="I60" s="129"/>
      <c r="J60" s="3573"/>
      <c r="K60" s="3570"/>
      <c r="L60" s="2527" t="s">
        <v>1370</v>
      </c>
      <c r="M60" s="2531"/>
      <c r="N60" s="2532" t="str">
        <f ca="1">NUMBERSTRING(INT(N59*10000),2)&amp;"元整"</f>
        <v>捌拾伍万元整</v>
      </c>
      <c r="O60" s="2533"/>
    </row>
    <row r="61" spans="1:35" ht="13.5" hidden="1" thickBot="1">
      <c r="A61" s="3629" t="s">
        <v>1373</v>
      </c>
      <c r="B61" s="3629"/>
      <c r="C61" s="3629"/>
      <c r="D61" s="3629"/>
      <c r="E61" s="3629"/>
      <c r="F61" s="1807"/>
      <c r="G61" s="1807"/>
      <c r="H61" s="1809"/>
      <c r="I61" s="129"/>
      <c r="J61" s="2520">
        <f>J59+1</f>
        <v>7</v>
      </c>
      <c r="K61" s="3570" t="s">
        <v>1374</v>
      </c>
      <c r="L61" s="3570"/>
      <c r="M61" s="2537"/>
      <c r="N61" s="2538">
        <f ca="1">ROUND(N59*10000/'数据-汇总表'!E3,0)</f>
        <v>11347</v>
      </c>
      <c r="O61" s="2539"/>
    </row>
    <row r="62" spans="1:35" ht="12.75" hidden="1">
      <c r="A62" s="3589" t="s">
        <v>1375</v>
      </c>
      <c r="B62" s="3590"/>
      <c r="C62" s="2020"/>
      <c r="D62" s="2020" t="s">
        <v>1376</v>
      </c>
      <c r="E62" s="166" t="s">
        <v>1377</v>
      </c>
      <c r="F62" s="1807"/>
      <c r="G62" s="1807"/>
      <c r="H62" s="1809"/>
      <c r="I62" s="129"/>
    </row>
    <row r="63" spans="1:35" ht="12.75" hidden="1">
      <c r="A63" s="173" t="s">
        <v>330</v>
      </c>
      <c r="B63" s="167" t="s">
        <v>1378</v>
      </c>
      <c r="C63" s="2561">
        <f ca="1">ROUND((C64+C65)/(1+'数据-取费表'!C42),0)</f>
        <v>191</v>
      </c>
      <c r="D63" s="167"/>
      <c r="E63" s="168"/>
      <c r="F63" s="1807"/>
      <c r="G63" s="1807"/>
      <c r="H63" s="1809"/>
      <c r="I63" s="129"/>
      <c r="J63" s="3553" t="s">
        <v>1379</v>
      </c>
      <c r="K63" s="1331" t="s">
        <v>1380</v>
      </c>
      <c r="L63" s="1331">
        <f ca="1">IF(M49&gt;10000,M49*0.5%,IF(AND(M49&gt;1000,M49&lt;=10000),M49*1%,IF(AND(M49&gt;100,M49&lt;=1000),M49*3%,IF(AND(M49&gt;10,M49&lt;=100),M49*5%,M49*8%))))</f>
        <v>6.0299999999999994</v>
      </c>
      <c r="M63" s="302">
        <f ca="1">ROUND(L63,1)</f>
        <v>6</v>
      </c>
      <c r="N63" s="2540"/>
      <c r="Z63" s="1751"/>
      <c r="AI63" s="1752"/>
    </row>
    <row r="64" spans="1:35" ht="14.25" hidden="1" customHeight="1">
      <c r="A64" s="169" t="s">
        <v>325</v>
      </c>
      <c r="B64" s="170" t="s">
        <v>1381</v>
      </c>
      <c r="C64" s="2562">
        <f ca="1">D45</f>
        <v>201</v>
      </c>
      <c r="D64" s="170" t="s">
        <v>26</v>
      </c>
      <c r="E64" s="172"/>
      <c r="F64" s="1807"/>
      <c r="G64" s="1807"/>
      <c r="H64" s="1809"/>
      <c r="I64" s="129"/>
      <c r="J64" s="3553"/>
      <c r="K64" s="1331" t="s">
        <v>1382</v>
      </c>
      <c r="L64" s="1331">
        <f ca="1">IF(M49&gt;2000,M49*0.5%,IF(AND(M49&gt;1000,M49&lt;=2000),M49*0.6%,IF(AND(M49&gt;500,M49&lt;=1000),M49*0.7%,IF(AND(M49&gt;200,M49&lt;=500),M49*0.8%,IF(AND(M49&gt;100,M49&lt;=200),M49*0.9%,IF(AND(M49&gt;50,M49&lt;=100),M49*1%,IF(AND(M49&gt;20,M49&lt;=50),M49*1.5%,IF(AND(M49&gt;10,M49&lt;=20),M49*2%,IF(AND(M49&gt;1,M49&lt;=10),M49*2.5%)))))))))</f>
        <v>1.6080000000000001</v>
      </c>
      <c r="M64" s="302">
        <f t="shared" ref="M64:M65" ca="1" si="1">ROUND(L64,1)</f>
        <v>1.6</v>
      </c>
      <c r="N64" s="2541" t="s">
        <v>1383</v>
      </c>
      <c r="Z64" s="1751"/>
      <c r="AI64" s="1752"/>
    </row>
    <row r="65" spans="1:35" ht="14.25" hidden="1" customHeight="1">
      <c r="A65" s="169" t="s">
        <v>326</v>
      </c>
      <c r="B65" s="170" t="s">
        <v>1384</v>
      </c>
      <c r="C65" s="2563"/>
      <c r="D65" s="170"/>
      <c r="E65" s="172"/>
      <c r="F65" s="1807"/>
      <c r="G65" s="1807"/>
      <c r="H65" s="1809"/>
      <c r="I65" s="129"/>
      <c r="J65" s="3553"/>
      <c r="K65" s="1331" t="s">
        <v>1385</v>
      </c>
      <c r="L65" s="1331">
        <f ca="1">IF(M49&gt;1000,M49*0.1%,IF(AND(M49&gt;500,M49&lt;=1000),M49*0.5%,IF(AND(M49&gt;50,M49&lt;=500),M49*1%,IF(AND(M49&gt;1,M49&lt;=50),M49*1.5%))))</f>
        <v>2.0100000000000002</v>
      </c>
      <c r="M65" s="302">
        <f t="shared" ca="1" si="1"/>
        <v>2</v>
      </c>
      <c r="N65" s="2541" t="s">
        <v>1383</v>
      </c>
      <c r="Z65" s="1751"/>
      <c r="AI65" s="1752"/>
    </row>
    <row r="66" spans="1:35" ht="14.25" hidden="1" customHeight="1">
      <c r="A66" s="173" t="s">
        <v>327</v>
      </c>
      <c r="B66" s="174" t="s">
        <v>1386</v>
      </c>
      <c r="C66" s="2564"/>
      <c r="D66" s="174" t="s">
        <v>26</v>
      </c>
      <c r="E66" s="1337" t="s">
        <v>671</v>
      </c>
      <c r="F66" s="1807"/>
      <c r="G66" s="1807"/>
      <c r="H66" s="1809"/>
      <c r="I66" s="129"/>
      <c r="J66" s="3553"/>
      <c r="K66" s="1331" t="s">
        <v>1387</v>
      </c>
      <c r="L66" s="1331">
        <f ca="1">M49*0.5%</f>
        <v>1.0050000000000001</v>
      </c>
      <c r="M66" s="302">
        <f ca="1">IF(L66&gt;0.5,0.5,ROUND(L66,0))</f>
        <v>0.5</v>
      </c>
      <c r="N66" s="2541" t="s">
        <v>1388</v>
      </c>
      <c r="Z66" s="1751"/>
      <c r="AI66" s="1752"/>
    </row>
    <row r="67" spans="1:35" ht="14.25" hidden="1" customHeight="1">
      <c r="A67" s="173" t="s">
        <v>328</v>
      </c>
      <c r="B67" s="174" t="s">
        <v>1389</v>
      </c>
      <c r="C67" s="2565">
        <f ca="1">C63-C66</f>
        <v>191</v>
      </c>
      <c r="D67" s="170" t="s">
        <v>26</v>
      </c>
      <c r="E67" s="172"/>
      <c r="F67" s="1807"/>
      <c r="G67" s="1807"/>
      <c r="H67" s="1809"/>
      <c r="I67" s="129"/>
      <c r="J67" s="3553"/>
      <c r="K67" s="1331" t="s">
        <v>1390</v>
      </c>
      <c r="L67" s="1331">
        <f ca="1">IF(M49&gt;=10000,(8.25+(M49-10000)*0.01%),IF(AND(M49&gt;=8000,M49&lt;10000),(7.85+(M49-8000)*0.02%),IF(AND(M49&gt;=5000,M49&lt;8000),(6.65+(M49-5000)*0.04%),IF(AND(M49&gt;=2000,M49&lt;5000),(4.25+(PM49-2000)*0.08%),IF(AND(M49&gt;=1000,M49&lt;2000),(2.75+(M49-1000)*0.15%),IF(AND(M49&gt;=100,M49&lt;1000),(0.5+(M49-100)*0.25%),IF(AND(M49&gt;0,M49&lt;100),M49*0.5%)))))))</f>
        <v>0.75249999999999995</v>
      </c>
      <c r="M67" s="302">
        <f ca="1">ROUND(L67*0.9,1)</f>
        <v>0.7</v>
      </c>
      <c r="N67" s="2540"/>
      <c r="Z67" s="1751"/>
      <c r="AI67" s="1752"/>
    </row>
    <row r="68" spans="1:35" ht="14.25" hidden="1" customHeight="1" thickBot="1">
      <c r="A68" s="176" t="s">
        <v>329</v>
      </c>
      <c r="B68" s="177" t="s">
        <v>1391</v>
      </c>
      <c r="C68" s="2566">
        <f ca="1">IF(C67&lt;=0,0,ROUND(C67*D68,0))</f>
        <v>11</v>
      </c>
      <c r="D68" s="2567">
        <f>'数据-取费表'!B41</f>
        <v>5.6000000000000001E-2</v>
      </c>
      <c r="E68" s="178"/>
      <c r="F68" s="1807"/>
      <c r="G68" s="1807"/>
      <c r="H68" s="1809"/>
      <c r="I68" s="129"/>
      <c r="J68" s="3553"/>
      <c r="K68" s="1331" t="s">
        <v>1392</v>
      </c>
      <c r="L68" s="1331">
        <f ca="1">IF(M49&gt;10000,M49*0.5%,IF(AND(M49&gt;5000,M49&lt;=10000),M49*1%,IF(AND(M49&gt;1000,M49&lt;=5000),M49*2%,IF(AND(M49&gt;200,M49&lt;=1000),M49*3%,M49*5%))))</f>
        <v>6.0299999999999994</v>
      </c>
      <c r="M68" s="302">
        <f ca="1">ROUND(L68,1)</f>
        <v>6</v>
      </c>
      <c r="N68" s="2540"/>
      <c r="Z68" s="1751"/>
      <c r="AI68" s="1752"/>
    </row>
    <row r="69" spans="1:35" s="1771" customFormat="1" ht="16.5" hidden="1" customHeight="1">
      <c r="A69" s="1810"/>
      <c r="B69" s="1811"/>
      <c r="C69" s="1812"/>
      <c r="D69" s="1813"/>
      <c r="E69" s="1814"/>
      <c r="F69" s="1577"/>
      <c r="G69" s="1577"/>
      <c r="H69" s="1576"/>
      <c r="I69" s="1746"/>
      <c r="J69" s="3553"/>
      <c r="K69" s="1331" t="s">
        <v>1393</v>
      </c>
      <c r="L69" s="1331"/>
      <c r="M69" s="302">
        <f ca="1">ROUND(SUM(M63:M68),0)</f>
        <v>17</v>
      </c>
      <c r="N69" s="2542">
        <f ca="1">M69/M49</f>
        <v>8.45771144278607E-2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597" t="s">
        <v>1394</v>
      </c>
      <c r="B70" s="3598"/>
      <c r="C70" s="3598"/>
      <c r="D70" s="3598"/>
      <c r="E70" s="3598"/>
      <c r="F70" s="3598"/>
      <c r="G70" s="3598"/>
      <c r="H70" s="3598"/>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9" t="s">
        <v>1375</v>
      </c>
      <c r="B71" s="3590"/>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5">
        <f ca="1">ROUND(D45/(1+'数据-取费表'!C42),0)</f>
        <v>191</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5">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71">
        <v>0.05</v>
      </c>
      <c r="E76" s="3594" t="s">
        <v>1402</v>
      </c>
      <c r="F76" s="3593"/>
      <c r="G76" s="3593"/>
      <c r="H76" s="359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73">
        <f ca="1">ROUND(D45*D78/(1+'数据-取费表'!C42),0)</f>
        <v>1</v>
      </c>
      <c r="D78" s="2574">
        <f>'数据-取费表'!B43</f>
        <v>6.000000000000001E-3</v>
      </c>
      <c r="E78" s="3586" t="s">
        <v>1406</v>
      </c>
      <c r="F78" s="3587"/>
      <c r="G78" s="3587"/>
      <c r="H78" s="358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5">
        <f ca="1">C72-C73</f>
        <v>190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5">
        <f ca="1">IF(C79&lt;=0,0,C79/C73)</f>
        <v>190</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6">
        <f ca="1">ROUND(IF(C79&lt;=0,0,IF(C80&gt;=200%,C79*60%-C73*35%,IF(C80&gt;=100%,C79*50%-C73*15%,IF(C80&gt;=50%,C79*40%-C73*5%,IF(C80&lt;50%,C79*30%,0))))),0)</f>
        <v>114</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597" t="s">
        <v>1410</v>
      </c>
      <c r="B83" s="3598"/>
      <c r="C83" s="3598"/>
      <c r="D83" s="3598"/>
      <c r="E83" s="3598"/>
      <c r="F83" s="3598"/>
      <c r="G83" s="3598"/>
      <c r="H83" s="359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5">
        <f ca="1">ROUND(D45/(1+'数据-取费表'!C42),0)</f>
        <v>191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5">
        <f ca="1">IF(H88="仅含出让金",C87+C90+C91+C92+C93+C94,C87+C91+C92+C93+C94)</f>
        <v>1</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9"/>
      <c r="D88" s="2574"/>
      <c r="E88" s="193" t="s">
        <v>1413</v>
      </c>
      <c r="F88" s="2326"/>
      <c r="G88" s="194" t="s">
        <v>1414</v>
      </c>
      <c r="H88" s="1823"/>
      <c r="I88" s="1820"/>
      <c r="J88" s="2518"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73">
        <f>ROUND(C88*D89,0)</f>
        <v>0</v>
      </c>
      <c r="D89" s="2574">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9"/>
      <c r="D90" s="2574"/>
      <c r="E90" s="193" t="str">
        <f>IF(H88="-","土地取得成本中已包含该笔费用"," ")</f>
        <v xml:space="preserve"> </v>
      </c>
      <c r="F90" s="2326"/>
      <c r="G90" s="3555" t="s">
        <v>2129</v>
      </c>
      <c r="H90" s="3556"/>
      <c r="I90" s="1820"/>
      <c r="J90" s="2518"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73">
        <f>IF(H91="——",成本法!C33,I91)</f>
        <v>0</v>
      </c>
      <c r="D91" s="2574"/>
      <c r="E91" s="3586" t="s">
        <v>1419</v>
      </c>
      <c r="F91" s="3587"/>
      <c r="G91" s="358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73">
        <f>ROUND((C87+C90+C91)*D92,0)</f>
        <v>0</v>
      </c>
      <c r="D92" s="2580"/>
      <c r="E92" s="3586" t="s">
        <v>1422</v>
      </c>
      <c r="F92" s="3587"/>
      <c r="G92" s="3587"/>
      <c r="H92" s="3588"/>
      <c r="I92" s="1820"/>
      <c r="J92" s="2519"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73">
        <f ca="1">ROUND(D45*D93/(1+'数据-取费表'!C42),0)</f>
        <v>1</v>
      </c>
      <c r="D93" s="2574">
        <f>'数据-取费表'!B43</f>
        <v>6.000000000000001E-3</v>
      </c>
      <c r="E93" s="3586" t="s">
        <v>1406</v>
      </c>
      <c r="F93" s="3587"/>
      <c r="G93" s="3587"/>
      <c r="H93" s="358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9">
        <f>ROUND((C87+C90+C91)*D94,0)</f>
        <v>0</v>
      </c>
      <c r="D94" s="2574">
        <v>0.2</v>
      </c>
      <c r="E94" s="3631" t="s">
        <v>1426</v>
      </c>
      <c r="F94" s="3632"/>
      <c r="G94" s="3632"/>
      <c r="H94" s="363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5">
        <f ca="1">ROUND(C85-C86,0)</f>
        <v>190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5">
        <f ca="1">IF(C95&lt;=0,0,C95/C86)</f>
        <v>190</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6">
        <f ca="1">ROUND(IF(C95&lt;=0,0,IF(C96&gt;=200%,C95*60%-C86*35%,IF(C96&gt;=100%,C95*50%-C86*15%,IF(C96&gt;=50%,C95*40%-C86*5%,IF(C96&lt;50%,C95*30%,0))))),0)</f>
        <v>114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2" t="str">
        <f>C4</f>
        <v>成本法 (元)</v>
      </c>
      <c r="D101" s="2583" t="str">
        <f>D4</f>
        <v>收益法 (元)</v>
      </c>
      <c r="E101" s="3549" t="s">
        <v>1431</v>
      </c>
      <c r="F101" s="3550"/>
      <c r="G101" s="1826" t="s">
        <v>1432</v>
      </c>
      <c r="H101" s="2592">
        <f ca="1">H118</f>
        <v>201</v>
      </c>
      <c r="I101" s="129"/>
    </row>
    <row r="102" spans="1:35" ht="18.75" customHeight="1">
      <c r="A102" s="3581" t="s">
        <v>1433</v>
      </c>
      <c r="B102" s="2581" t="s">
        <v>1432</v>
      </c>
      <c r="C102" s="2582">
        <f ca="1">IF(D32="楼面单价",ROUND(C19,0),C19)</f>
        <v>288</v>
      </c>
      <c r="D102" s="2583">
        <f ca="1">IF(D32="楼面单价",ROUND(D19,0),D19)</f>
        <v>143</v>
      </c>
      <c r="E102" s="3549"/>
      <c r="F102" s="3550"/>
      <c r="G102" s="1826" t="s">
        <v>1434</v>
      </c>
      <c r="H102" s="2552">
        <f ca="1">I118</f>
        <v>26813</v>
      </c>
      <c r="I102" s="129"/>
    </row>
    <row r="103" spans="1:35" ht="42.75" customHeight="1">
      <c r="A103" s="3581"/>
      <c r="B103" s="2581" t="s">
        <v>1434</v>
      </c>
      <c r="C103" s="2584">
        <f ca="1">C20</f>
        <v>38496</v>
      </c>
      <c r="D103" s="2585">
        <f ca="1">D20</f>
        <v>19025</v>
      </c>
      <c r="E103" s="3542" t="s">
        <v>1435</v>
      </c>
      <c r="F103" s="3543"/>
      <c r="G103" s="1827" t="s">
        <v>1436</v>
      </c>
      <c r="H103" s="2592">
        <f>IF(D36="正常操作",H104+H105+H106,H105+H106)</f>
        <v>0</v>
      </c>
      <c r="I103" s="129"/>
    </row>
    <row r="104" spans="1:35" ht="18.75" customHeight="1">
      <c r="A104" s="3581" t="s">
        <v>1437</v>
      </c>
      <c r="B104" s="2586" t="s">
        <v>1432</v>
      </c>
      <c r="C104" s="2587">
        <f ca="1">H118</f>
        <v>201</v>
      </c>
      <c r="D104" s="2588"/>
      <c r="E104" s="1673" t="s">
        <v>1438</v>
      </c>
      <c r="F104" s="1665"/>
      <c r="G104" s="1827" t="s">
        <v>1436</v>
      </c>
      <c r="H104" s="2593">
        <f>IF(D36="同一抵押权人同一抵押物续贷",C36&amp;"（续贷，未扣减，详见特别提示）",C36)</f>
        <v>0</v>
      </c>
      <c r="I104" s="129"/>
    </row>
    <row r="105" spans="1:35" ht="18.75" customHeight="1" thickBot="1">
      <c r="A105" s="3591"/>
      <c r="B105" s="2589" t="s">
        <v>1434</v>
      </c>
      <c r="C105" s="2590">
        <f ca="1">I118</f>
        <v>26813</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582" t="str">
        <f>IF(项目基本情况!E8="已注销","——","3.房地产抵押价值")</f>
        <v>3.房地产抵押价值</v>
      </c>
      <c r="F107" s="3550"/>
      <c r="G107" s="1826" t="s">
        <v>1432</v>
      </c>
      <c r="H107" s="2592">
        <f ca="1">IF(E107="——","——",H101-H103)</f>
        <v>201</v>
      </c>
      <c r="I107" s="129"/>
    </row>
    <row r="108" spans="1:35" ht="18.75" customHeight="1">
      <c r="A108" s="129"/>
      <c r="B108" s="129"/>
      <c r="C108" s="129"/>
      <c r="D108" s="129"/>
      <c r="E108" s="3582"/>
      <c r="F108" s="3550"/>
      <c r="G108" s="1826" t="s">
        <v>1434</v>
      </c>
      <c r="H108" s="2552">
        <f ca="1">IF(H107=H101,H102,ROUND(H107*10000/'数据-汇总表'!E3,0))</f>
        <v>26813</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6" t="s">
        <v>1432</v>
      </c>
      <c r="H109" s="2595" t="str">
        <f>IF(E109="——","——",H101-H105-H106)</f>
        <v>——</v>
      </c>
      <c r="I109" s="129"/>
    </row>
    <row r="110" spans="1:35" ht="18.75" customHeight="1">
      <c r="A110" s="129"/>
      <c r="B110" s="129"/>
      <c r="C110" s="129"/>
      <c r="D110" s="129"/>
      <c r="E110" s="3582"/>
      <c r="F110" s="3550"/>
      <c r="G110" s="1826" t="s">
        <v>1434</v>
      </c>
      <c r="H110" s="2552"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6" t="s">
        <v>1432</v>
      </c>
      <c r="H111" s="2592" t="str">
        <f>IF(E111="——","——",N59)</f>
        <v>——</v>
      </c>
      <c r="I111" s="129"/>
    </row>
    <row r="112" spans="1:35" ht="18.75" customHeight="1" thickBot="1">
      <c r="A112" s="129"/>
      <c r="B112" s="129"/>
      <c r="C112" s="129"/>
      <c r="D112" s="129"/>
      <c r="E112" s="3584"/>
      <c r="F112" s="3585"/>
      <c r="G112" s="1829" t="s">
        <v>1434</v>
      </c>
      <c r="H112" s="2596" t="str">
        <f>IF(E111="——","——",N61)</f>
        <v>——</v>
      </c>
      <c r="I112" s="129"/>
    </row>
    <row r="113" spans="1:27" ht="18.75" customHeight="1">
      <c r="A113" s="129"/>
      <c r="B113" s="129"/>
      <c r="C113" s="129"/>
      <c r="D113" s="129"/>
      <c r="E113" s="3592" t="s">
        <v>1440</v>
      </c>
      <c r="F113" s="3592"/>
      <c r="G113" s="3592"/>
      <c r="H113" s="3592"/>
      <c r="I113" s="129"/>
    </row>
    <row r="114" spans="1:27" ht="3.75" customHeight="1">
      <c r="A114" s="1746"/>
      <c r="B114" s="1746"/>
      <c r="C114" s="1746"/>
      <c r="D114" s="1746"/>
      <c r="E114" s="1808"/>
      <c r="F114" s="1808"/>
      <c r="G114" s="1808"/>
      <c r="H114" s="1808"/>
      <c r="I114" s="1746"/>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8" t="s">
        <v>1449</v>
      </c>
      <c r="E117" s="2328" t="s">
        <v>1450</v>
      </c>
      <c r="F117" s="2328" t="s">
        <v>1449</v>
      </c>
      <c r="G117" s="2328" t="s">
        <v>1451</v>
      </c>
      <c r="H117" s="2328" t="s">
        <v>1449</v>
      </c>
      <c r="I117" s="2328" t="s">
        <v>1451</v>
      </c>
    </row>
    <row r="118" spans="1:27" ht="24.75" customHeight="1">
      <c r="A118" s="2597" t="str">
        <f>项目基本情况!S2</f>
        <v>北京市东城区灯市口大街33号4层427房地产</v>
      </c>
      <c r="B118" s="2328">
        <f>M18</f>
        <v>74.91</v>
      </c>
      <c r="C118" s="2328">
        <f>M19</f>
        <v>6.9</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201</v>
      </c>
      <c r="I118" s="2328">
        <f ca="1">ROUND(IF(D32="楼面单价",C32,H118*10000/B118),0)</f>
        <v>26813</v>
      </c>
    </row>
    <row r="119" spans="1:27" ht="18.75" customHeight="1">
      <c r="A119" s="3557" t="s">
        <v>1452</v>
      </c>
      <c r="B119" s="3557"/>
      <c r="C119" s="3557"/>
      <c r="D119" s="3563" t="e">
        <f ca="1">NUMBERSTRING(INT(D118*10000),2)&amp;"元整"</f>
        <v>#REF!</v>
      </c>
      <c r="E119" s="3564"/>
      <c r="F119" s="3563" t="e">
        <f ca="1">NUMBERSTRING(INT(F118*10000),2)&amp;"元整"</f>
        <v>#REF!</v>
      </c>
      <c r="G119" s="3564"/>
      <c r="H119" s="3563" t="str">
        <f ca="1">NUMBERSTRING(INT(H118*10000),2)&amp;"元整"</f>
        <v>贰佰零壹万元整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201</v>
      </c>
      <c r="E122" s="3559"/>
      <c r="F122" s="3559"/>
      <c r="G122" s="3559"/>
      <c r="H122" s="3559"/>
      <c r="I122" s="3560"/>
      <c r="AA122" s="725"/>
    </row>
    <row r="123" spans="1:27" ht="18.75" customHeight="1">
      <c r="A123" s="3557" t="s">
        <v>1452</v>
      </c>
      <c r="B123" s="3557"/>
      <c r="C123" s="3557"/>
      <c r="D123" s="3563" t="str">
        <f ca="1">NUMBERSTRING(INT(D122*10000),2)&amp;"元整"</f>
        <v>贰佰零壹万元整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4272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1.4982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1.4982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74.91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v>
      </c>
      <c r="D19" s="848">
        <f ca="1">D9+D10</f>
        <v>74.91</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30</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v>
      </c>
      <c r="D37" s="217">
        <f ca="1">D19</f>
        <v>74.91</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36" t="s">
        <v>1544</v>
      </c>
    </row>
    <row r="43" spans="1:7" ht="13.5" customHeight="1">
      <c r="A43" s="779" t="s">
        <v>347</v>
      </c>
      <c r="B43" s="215" t="s">
        <v>1545</v>
      </c>
      <c r="C43" s="238">
        <f ca="1">ROUND(IF('数据-取费表'!B22&lt;=1,C39*F22*'数据-取费表'!B21/2,C39*(POWER((1+F22),'数据-取费表'!B21/2)-1)),0)</f>
        <v>0</v>
      </c>
      <c r="D43" s="238"/>
      <c r="E43" s="238"/>
      <c r="F43" s="239"/>
      <c r="G43" s="3637"/>
    </row>
    <row r="44" spans="1:7" ht="13.5" customHeight="1">
      <c r="A44" s="779" t="s">
        <v>348</v>
      </c>
      <c r="B44" s="215" t="s">
        <v>1546</v>
      </c>
      <c r="C44" s="238">
        <f ca="1">ROUND(IF('数据-取费表'!B22&lt;=1,C40*F22*'数据-取费表'!B21/2,C40*(POWER((1+F22),'数据-取费表'!B21/2)-1)),4)</f>
        <v>8.0000000000000004E-4</v>
      </c>
      <c r="D44" s="238"/>
      <c r="E44" s="238"/>
      <c r="F44" s="239"/>
      <c r="G44" s="3638"/>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79" t="s">
        <v>346</v>
      </c>
      <c r="B46" s="248" t="s">
        <v>1549</v>
      </c>
      <c r="C46" s="249">
        <f ca="1">ROUND((C33+C39)*F27,0)</f>
        <v>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v>
      </c>
      <c r="D49" s="232"/>
      <c r="E49" s="232"/>
      <c r="F49" s="264"/>
      <c r="G49" s="234" t="s">
        <v>1554</v>
      </c>
    </row>
    <row r="50" spans="1:7" s="258" customFormat="1" ht="24">
      <c r="A50" s="255" t="s">
        <v>1555</v>
      </c>
      <c r="B50" s="210" t="s">
        <v>1556</v>
      </c>
      <c r="C50" s="232"/>
      <c r="D50" s="232"/>
      <c r="E50" s="232"/>
      <c r="F50" s="264">
        <f>IF('数据-取费表'!B24=0,'数据-取费表'!N16,1)</f>
        <v>0.68400000000000005</v>
      </c>
      <c r="G50" s="247" t="s">
        <v>1557</v>
      </c>
    </row>
    <row r="51" spans="1:7" ht="16.5" customHeight="1">
      <c r="A51" s="255" t="s">
        <v>1558</v>
      </c>
      <c r="B51" s="210" t="s">
        <v>1559</v>
      </c>
      <c r="C51" s="232">
        <f ca="1">ROUND(C49*F50,0)</f>
        <v>29</v>
      </c>
      <c r="D51" s="232"/>
      <c r="E51" s="232"/>
      <c r="F51" s="264"/>
      <c r="G51" s="234" t="s">
        <v>1560</v>
      </c>
    </row>
    <row r="52" spans="1:7" s="208" customFormat="1" ht="16.5" thickBot="1">
      <c r="A52" s="265" t="s">
        <v>1561</v>
      </c>
      <c r="B52" s="266"/>
      <c r="C52" s="267">
        <f ca="1">C31+C51</f>
        <v>32</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北京市东城区灯市口大街33号4层427房地产抵押价值预评估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70" zoomScaleNormal="70" zoomScaleSheetLayoutView="70" workbookViewId="0">
      <selection activeCell="L50" sqref="L5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21</v>
      </c>
      <c r="C1" s="1858" t="s">
        <v>1563</v>
      </c>
      <c r="D1" s="198"/>
      <c r="E1" s="198"/>
      <c r="F1" s="198"/>
      <c r="G1" s="1125">
        <f>MATCH(B1,'数据-取费表'!A6:A16,0)+5</f>
        <v>6</v>
      </c>
      <c r="H1" s="1060" t="str">
        <f>IF(ISERROR(FIND("住宅",B1)),"非住宅","住宅")</f>
        <v>非住宅</v>
      </c>
    </row>
    <row r="2" spans="1:8" s="200" customFormat="1" ht="18" customHeight="1">
      <c r="A2" s="201" t="s">
        <v>1462</v>
      </c>
      <c r="B2" s="3421">
        <f ca="1">ROUND(IF(D2="——",C52/10000,C52/10000-E2),4)</f>
        <v>288.37099999999998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38496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1897917</v>
      </c>
      <c r="D5" s="211" t="s">
        <v>1469</v>
      </c>
      <c r="E5" s="212" t="s">
        <v>1470</v>
      </c>
      <c r="F5" s="212" t="s">
        <v>1471</v>
      </c>
      <c r="G5" s="213"/>
    </row>
    <row r="6" spans="1:8" s="214" customFormat="1" ht="13.5" customHeight="1">
      <c r="A6" s="777" t="s">
        <v>1472</v>
      </c>
      <c r="B6" s="215" t="s">
        <v>1473</v>
      </c>
      <c r="C6" s="216">
        <f>ROUND(基准地价修正!C33*基准地价修正!D33,0)</f>
        <v>1827205</v>
      </c>
      <c r="D6" s="217"/>
      <c r="E6" s="218"/>
      <c r="F6" s="218"/>
      <c r="G6" s="219"/>
    </row>
    <row r="7" spans="1:8" s="214" customFormat="1" ht="13.5" customHeight="1">
      <c r="A7" s="777" t="s">
        <v>1474</v>
      </c>
      <c r="B7" s="215" t="s">
        <v>1475</v>
      </c>
      <c r="C7" s="220">
        <f>ROUND(C6*F7,0)</f>
        <v>55730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14982</v>
      </c>
      <c r="D8" s="222"/>
      <c r="E8" s="220"/>
      <c r="F8" s="221"/>
      <c r="G8" s="1855" t="s">
        <v>3411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14982</v>
      </c>
      <c r="D10" s="844">
        <f ca="1">IF(B1="",'数据-汇总表'!E6,IF(INDIRECT("'数据-取费表'!c"&amp;$G$1)="住宅",INDIRECT("'数据-取费表'!s"&amp;$G$1),INDIRECT("'数据-取费表'!k"&amp;$G$1)+INDIRECT("'数据-取费表'!s"&amp;$G$1)))</f>
        <v>74.91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74.91</v>
      </c>
      <c r="E19" s="211">
        <f>'数据-取费表'!B31</f>
        <v>200</v>
      </c>
      <c r="F19" s="231"/>
      <c r="G19" s="1855" t="s">
        <v>3412</v>
      </c>
    </row>
    <row r="20" spans="1:7" s="214" customFormat="1" ht="13.5" customHeight="1">
      <c r="A20" s="255" t="s">
        <v>1574</v>
      </c>
      <c r="B20" s="210" t="s">
        <v>1575</v>
      </c>
      <c r="C20" s="232">
        <f ca="1">ROUND((C5+C19)*F20,0)</f>
        <v>37958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162371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160796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1575</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290381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290381</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2588175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328106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299640</v>
      </c>
      <c r="D34" s="217"/>
      <c r="E34" s="220"/>
      <c r="F34" s="257"/>
      <c r="G34" s="219"/>
    </row>
    <row r="35" spans="1:7" ht="13.5" customHeight="1">
      <c r="A35" s="779" t="s">
        <v>351</v>
      </c>
      <c r="B35" s="215" t="s">
        <v>1527</v>
      </c>
      <c r="C35" s="220">
        <f ca="1">ROUND(C34*F35,0)</f>
        <v>8989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14982</v>
      </c>
      <c r="D37" s="217">
        <f ca="1">D19</f>
        <v>74.91</v>
      </c>
      <c r="E37" s="249">
        <f>'数据-取费表'!B35</f>
        <v>200</v>
      </c>
      <c r="F37" s="259"/>
      <c r="G37" s="261"/>
    </row>
    <row r="38" spans="1:7" ht="13.5" customHeight="1">
      <c r="A38" s="779" t="s">
        <v>354</v>
      </c>
      <c r="B38" s="215" t="s">
        <v>1533</v>
      </c>
      <c r="C38" s="220">
        <f ca="1">ROUND(C34*F38,0)</f>
        <v>4495</v>
      </c>
      <c r="D38" s="220"/>
      <c r="E38" s="220"/>
      <c r="F38" s="259">
        <f>'数据-取费表'!B36</f>
        <v>1.4999999999999999E-2</v>
      </c>
      <c r="G38" s="219" t="s">
        <v>1528</v>
      </c>
    </row>
    <row r="39" spans="1:7" s="214" customFormat="1" ht="13.5" customHeight="1">
      <c r="A39" s="255" t="s">
        <v>1534</v>
      </c>
      <c r="B39" s="210" t="s">
        <v>1535</v>
      </c>
      <c r="C39" s="232">
        <f ca="1">ROUND(C33*F20,0)</f>
        <v>6562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13888</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13616</v>
      </c>
      <c r="D42" s="238"/>
      <c r="E42" s="238"/>
      <c r="F42" s="239"/>
      <c r="G42" s="3636" t="s">
        <v>1591</v>
      </c>
    </row>
    <row r="43" spans="1:7" ht="13.5" customHeight="1">
      <c r="A43" s="779" t="s">
        <v>347</v>
      </c>
      <c r="B43" s="215" t="s">
        <v>1545</v>
      </c>
      <c r="C43" s="238">
        <f ca="1">ROUND(IF('数据-取费表'!B22&lt;=1,C39*F22*'数据-取费表'!B20/2,C39*(POWER((1+F22),'数据-取费表'!B20/2)-1)),0)</f>
        <v>272</v>
      </c>
      <c r="D43" s="238"/>
      <c r="E43" s="238"/>
      <c r="F43" s="239"/>
      <c r="G43" s="3637"/>
    </row>
    <row r="44" spans="1:7" ht="13.5" customHeight="1">
      <c r="A44" s="779" t="s">
        <v>348</v>
      </c>
      <c r="B44" s="215" t="s">
        <v>1546</v>
      </c>
      <c r="C44" s="238">
        <f ca="1">ROUND(IF('数据-取费表'!B22&lt;=1,C40*F22*'数据-取费表'!B20/2,C40*(POWER((1+F22),'数据-取费表'!B20/2)-1)),4)</f>
        <v>8.0000000000000004E-4</v>
      </c>
      <c r="D44" s="238"/>
      <c r="E44" s="238"/>
      <c r="F44" s="239"/>
      <c r="G44" s="3638"/>
    </row>
    <row r="45" spans="1:7" s="214" customFormat="1" ht="13.5" customHeight="1">
      <c r="A45" s="255" t="s">
        <v>1547</v>
      </c>
      <c r="B45" s="244" t="s">
        <v>1513</v>
      </c>
      <c r="C45" s="245">
        <f ca="1">C46</f>
        <v>50200</v>
      </c>
      <c r="D45" s="235">
        <f ca="1">C47</f>
        <v>3.0000000000000001E-3</v>
      </c>
      <c r="E45" s="236" t="s">
        <v>1539</v>
      </c>
      <c r="F45" s="246">
        <f ca="1">F27</f>
        <v>0.15</v>
      </c>
      <c r="G45" s="247" t="s">
        <v>1548</v>
      </c>
    </row>
    <row r="46" spans="1:7" s="214" customFormat="1" ht="13.5" customHeight="1">
      <c r="A46" s="779" t="s">
        <v>346</v>
      </c>
      <c r="B46" s="248" t="s">
        <v>1549</v>
      </c>
      <c r="C46" s="249">
        <f ca="1">ROUND((C33+C39)*F27,0)</f>
        <v>50200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432068</v>
      </c>
      <c r="D49" s="232"/>
      <c r="E49" s="232"/>
      <c r="F49" s="264"/>
      <c r="G49" s="234" t="s">
        <v>1554</v>
      </c>
    </row>
    <row r="50" spans="1:7" s="258" customFormat="1">
      <c r="A50" s="255" t="s">
        <v>1555</v>
      </c>
      <c r="B50" s="210" t="s">
        <v>1556</v>
      </c>
      <c r="C50" s="232"/>
      <c r="D50" s="232"/>
      <c r="E50" s="232"/>
      <c r="F50" s="264">
        <f>IF('数据-取费表'!B24=0,'数据-取费表'!N16,1)</f>
        <v>0.68400000000000005</v>
      </c>
      <c r="G50" s="247"/>
    </row>
    <row r="51" spans="1:7" ht="16.5" customHeight="1">
      <c r="A51" s="255" t="s">
        <v>1558</v>
      </c>
      <c r="B51" s="210" t="s">
        <v>1593</v>
      </c>
      <c r="C51" s="232">
        <f ca="1">ROUND(C49*F50,0)</f>
        <v>295535</v>
      </c>
      <c r="D51" s="232"/>
      <c r="E51" s="232"/>
      <c r="F51" s="264"/>
      <c r="G51" s="234" t="s">
        <v>1560</v>
      </c>
    </row>
    <row r="52" spans="1:7" s="208" customFormat="1" ht="16.5" thickBot="1">
      <c r="A52" s="265" t="s">
        <v>1561</v>
      </c>
      <c r="B52" s="266"/>
      <c r="C52" s="267">
        <f ca="1">C31+C51</f>
        <v>2883710</v>
      </c>
      <c r="D52" s="266"/>
      <c r="E52" s="266"/>
      <c r="F52" s="266"/>
      <c r="G52" s="268"/>
    </row>
    <row r="55" spans="1:7" ht="15">
      <c r="B55" s="270" t="s">
        <v>1562</v>
      </c>
      <c r="C55" s="271"/>
    </row>
    <row r="56" spans="1:7">
      <c r="B56" s="273" t="s">
        <v>802</v>
      </c>
      <c r="C56" s="275">
        <f ca="1">1-C57</f>
        <v>0.89800000000000002</v>
      </c>
    </row>
    <row r="57" spans="1:7">
      <c r="B57" s="273" t="s">
        <v>803</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74.91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74.91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-0.49819999999999998</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74.91</v>
      </c>
      <c r="E20" s="21">
        <f>'数据-取费表'!B28</f>
        <v>200</v>
      </c>
      <c r="F20" s="803"/>
      <c r="G20" s="12"/>
      <c r="H20" s="808"/>
      <c r="I20" s="808"/>
      <c r="J20" s="808"/>
      <c r="K20" s="809"/>
    </row>
    <row r="21" spans="1:33" s="802" customFormat="1" ht="13.5" customHeight="1">
      <c r="A21" s="789" t="s">
        <v>357</v>
      </c>
      <c r="B21" s="812" t="s">
        <v>1628</v>
      </c>
      <c r="C21" s="813">
        <f ca="1">C16+C17+C18</f>
        <v>-0.49819999999999998</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1" t="s">
        <v>694</v>
      </c>
      <c r="C6" s="1073">
        <f ca="1">ROUND(F6*F8*F7*(1-F9)/10000,0)</f>
        <v>0</v>
      </c>
      <c r="D6" s="155" t="s">
        <v>2109</v>
      </c>
      <c r="E6" s="302" t="s">
        <v>696</v>
      </c>
      <c r="F6" s="303">
        <f ca="1">INDIRECT("'数据-取费表'!u"&amp;$G$1)</f>
        <v>0</v>
      </c>
      <c r="G6" s="1383"/>
      <c r="H6" s="1068" t="s">
        <v>398</v>
      </c>
      <c r="I6" s="3641" t="s">
        <v>694</v>
      </c>
      <c r="J6" s="301">
        <f ca="1">ROUND(M6*M8*M7*(1-M9)/10000,0)</f>
        <v>0</v>
      </c>
      <c r="K6" s="155" t="s">
        <v>2108</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0</v>
      </c>
      <c r="G7" s="1383"/>
      <c r="H7" s="304"/>
      <c r="I7" s="3642"/>
      <c r="J7" s="306"/>
      <c r="K7" s="307"/>
      <c r="L7" s="302" t="s">
        <v>697</v>
      </c>
      <c r="M7" s="303">
        <f ca="1">F7</f>
        <v>0</v>
      </c>
    </row>
    <row r="8" spans="1:37" ht="18" customHeight="1">
      <c r="A8" s="304"/>
      <c r="B8" s="3642"/>
      <c r="C8" s="306"/>
      <c r="D8" s="307"/>
      <c r="E8" s="302" t="s">
        <v>698</v>
      </c>
      <c r="F8" s="303">
        <f ca="1">INDIRECT("'数据-取费表'!ai"&amp;$G$1)</f>
        <v>0</v>
      </c>
      <c r="G8" s="1383"/>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2306</v>
      </c>
      <c r="I31" s="1397"/>
      <c r="J31" s="1398"/>
      <c r="K31" s="2472"/>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39" t="s">
        <v>837</v>
      </c>
      <c r="L53" s="364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13" sqref="C1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74.91</v>
      </c>
      <c r="E1" s="1994"/>
      <c r="F1" s="1994"/>
      <c r="G1" s="1994"/>
      <c r="H1" s="1994"/>
      <c r="I1" s="1994"/>
      <c r="J1" s="1994"/>
      <c r="K1" s="1118"/>
      <c r="L1" s="1995" t="s">
        <v>1928</v>
      </c>
      <c r="M1" s="862">
        <f>SUMPRODUCT((区片价!B5:B9=I2)*(区片价!C3:G3=E2)*(区片价!C5:G9))</f>
        <v>34470</v>
      </c>
      <c r="N1" s="865">
        <f>SUMPRODUCT((因素修正幅度!B5:B9=I2)*(因素修正幅度!C3:G3=E2)*(因素修正幅度!C5:G9))</f>
        <v>8.6999999999999994E-2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183</v>
      </c>
      <c r="C2" s="1998" t="s">
        <v>1935</v>
      </c>
      <c r="D2" s="1999" t="s">
        <v>1936</v>
      </c>
      <c r="E2" s="3419" t="s">
        <v>21</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1.5206</v>
      </c>
      <c r="T2" s="3358">
        <f t="shared" ref="T2:T16" si="0">ROUND($C$5*$C$22*$C$23*$C$24*S2*$C$28,0)</f>
        <v>42565</v>
      </c>
      <c r="U2" s="1212"/>
      <c r="V2" s="3358">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24429</v>
      </c>
      <c r="C3" s="1998" t="s">
        <v>1941</v>
      </c>
      <c r="D3" s="1999" t="s">
        <v>1942</v>
      </c>
      <c r="E3" s="3417" t="s">
        <v>3404</v>
      </c>
      <c r="F3" s="2003" t="s">
        <v>3405</v>
      </c>
      <c r="G3" s="752">
        <f>IF(F3="宗地容积率",'数据-汇总表'!I4,IF(F3="估价对象容积率",'数据-汇总表'!I6,'数据-汇总表'!I7))</f>
        <v>10.86</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1.2072000000000001</v>
      </c>
      <c r="T3" s="3358">
        <f t="shared" si="0"/>
        <v>33792</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651"/>
      <c r="B4" s="3652"/>
      <c r="C4" s="3652"/>
      <c r="D4" s="3653"/>
      <c r="E4" s="3653"/>
      <c r="F4" s="3653"/>
      <c r="G4" s="3653"/>
      <c r="H4" s="3653"/>
      <c r="I4" s="3653"/>
      <c r="J4" s="36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1.0430999999999999</v>
      </c>
      <c r="T4" s="3358">
        <f t="shared" si="0"/>
        <v>29198</v>
      </c>
      <c r="U4" s="1212"/>
      <c r="V4" s="3358">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36163</v>
      </c>
      <c r="D5" s="1338">
        <f>ROUND(C6*C17+C20,0)</f>
        <v>34439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0.94389999999999996</v>
      </c>
      <c r="T5" s="3358">
        <f t="shared" si="0"/>
        <v>26422</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34470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0.89959999999999996</v>
      </c>
      <c r="T6" s="3358">
        <f t="shared" si="0"/>
        <v>25182</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3240</v>
      </c>
      <c r="B7" s="2020" t="s">
        <v>1952</v>
      </c>
      <c r="C7" s="755">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一级</v>
      </c>
      <c r="Y7" s="1213" t="s">
        <v>1956</v>
      </c>
      <c r="Z7" s="1214">
        <f>G3</f>
        <v>10.86</v>
      </c>
      <c r="AA7" s="1215"/>
      <c r="AB7" s="1215"/>
      <c r="AC7" s="1216"/>
      <c r="AD7" s="1217"/>
      <c r="AE7" s="1217"/>
      <c r="AF7" s="1217"/>
      <c r="AG7" s="1217"/>
      <c r="AH7" s="1217"/>
      <c r="AI7" s="1217"/>
      <c r="AJ7" s="1218"/>
    </row>
    <row r="8" spans="1:36" ht="25.5">
      <c r="A8" s="3296"/>
      <c r="B8" s="170" t="s">
        <v>1957</v>
      </c>
      <c r="C8" s="2025" t="s">
        <v>3406</v>
      </c>
      <c r="D8" s="756" t="s">
        <v>112</v>
      </c>
      <c r="E8" s="757"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648" t="s">
        <v>1960</v>
      </c>
      <c r="X8" s="36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50"/>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65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9">
        <f>C10/4</f>
        <v>0</v>
      </c>
      <c r="D11" s="759" t="s">
        <v>115</v>
      </c>
      <c r="E11" s="759"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3241</v>
      </c>
      <c r="B12" s="3302" t="s">
        <v>3242</v>
      </c>
      <c r="C12" s="3303">
        <v>1.05</v>
      </c>
      <c r="D12" s="3304" t="s">
        <v>3243</v>
      </c>
      <c r="E12" s="3305" t="s">
        <v>3244</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3245</v>
      </c>
      <c r="B13" s="2033" t="s">
        <v>1982</v>
      </c>
      <c r="C13" s="755">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3246</v>
      </c>
      <c r="G14" s="3309" t="s">
        <v>3246</v>
      </c>
      <c r="H14" s="3309" t="s">
        <v>3246</v>
      </c>
      <c r="I14" s="3309" t="s">
        <v>3246</v>
      </c>
      <c r="J14" s="3309" t="s">
        <v>3246</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3247</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3251</v>
      </c>
      <c r="E18" s="3326"/>
      <c r="F18" s="3321" t="s">
        <v>3254</v>
      </c>
      <c r="G18" s="3325">
        <f>ROUND(1-(1/(POWER(1+G24,E18))),4)</f>
        <v>0</v>
      </c>
      <c r="H18" s="3321" t="s">
        <v>3256</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3252</v>
      </c>
      <c r="E19" s="3335"/>
      <c r="F19" s="3336" t="s">
        <v>3255</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55" t="s">
        <v>3257</v>
      </c>
      <c r="B20" s="167" t="s">
        <v>1994</v>
      </c>
      <c r="C20" s="3322">
        <f>ROUND(IF(F21="与级别开发程度一致",0,(G21-E21)/C21),0)</f>
        <v>-31</v>
      </c>
      <c r="D20" s="3338" t="s">
        <v>1998</v>
      </c>
      <c r="E20" s="3339"/>
      <c r="F20" s="3661" t="s">
        <v>1995</v>
      </c>
      <c r="G20" s="3662"/>
      <c r="H20" s="3323" t="s">
        <v>3381</v>
      </c>
      <c r="I20" s="3323" t="s">
        <v>3382</v>
      </c>
      <c r="J20" s="3324" t="s">
        <v>3383</v>
      </c>
      <c r="K20" s="2046" t="s">
        <v>3384</v>
      </c>
      <c r="L20" s="2046" t="s">
        <v>3385</v>
      </c>
      <c r="M20" s="2046" t="s">
        <v>3386</v>
      </c>
      <c r="N20" s="2046" t="s">
        <v>43</v>
      </c>
      <c r="O20" s="2047" t="s">
        <v>43</v>
      </c>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56"/>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3407</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3" t="s">
        <v>2002</v>
      </c>
      <c r="E23" s="761">
        <v>44197</v>
      </c>
      <c r="F23" s="2053" t="s">
        <v>2003</v>
      </c>
      <c r="G23" s="762">
        <f>'数据-取费表'!B2</f>
        <v>44993</v>
      </c>
      <c r="H23" s="3340" t="s">
        <v>3259</v>
      </c>
      <c r="I23" s="3341" t="str">
        <f>IF(H23="季度增幅（自定义）",SUMIF(N25:N28,E2,O25:O28),"")</f>
        <v/>
      </c>
      <c r="J23" s="3443" t="s">
        <v>3258</v>
      </c>
      <c r="K23" s="1124"/>
      <c r="L23" s="2054" t="s">
        <v>2004</v>
      </c>
      <c r="M23" s="1327">
        <f>ROUND(SUMIF(地价!B2:G2,E2,地价!B16:G16),0)</f>
        <v>350</v>
      </c>
      <c r="N23" s="2055" t="s">
        <v>2005</v>
      </c>
      <c r="O23" s="763">
        <f>ROUNDDOWN(DATEDIF(E23,G23,"M")/3,0)</f>
        <v>8</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0.73019999999999996</v>
      </c>
      <c r="D24" s="2059" t="s">
        <v>2007</v>
      </c>
      <c r="E24" s="1334">
        <f>存贷款利率!E22/100</f>
        <v>4.3499999999999997E-2</v>
      </c>
      <c r="F24" s="2059" t="s">
        <v>1999</v>
      </c>
      <c r="G24" s="768">
        <f>SUMIF(M30:Q30,E2,M33:Q33)</f>
        <v>5.5E-2</v>
      </c>
      <c r="H24" s="2059" t="s">
        <v>2008</v>
      </c>
      <c r="I24" s="769">
        <f>SUMIF('数据-取费表'!C6:C15,E2,'数据-取费表'!F6:F15)/COUNTIF('数据-取费表'!C6:C15,E2)</f>
        <v>21.28</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3338</v>
      </c>
      <c r="C25" s="3452">
        <f>ROUND(0.993-0.0112*G3,4)</f>
        <v>0.87139999999999995</v>
      </c>
      <c r="D25" s="2066"/>
      <c r="E25" s="2066"/>
      <c r="F25" s="2066"/>
      <c r="G25" s="2066"/>
      <c r="H25" s="2066"/>
      <c r="I25" s="2066"/>
      <c r="J25" s="2067"/>
      <c r="K25" s="1124" t="s">
        <v>3410</v>
      </c>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3260</v>
      </c>
      <c r="D26" s="1351" t="str">
        <f>IF(E26=G26,F26,IF(G3&lt;10,ROUND(F26+(H26-F26)*(G3-E26)/(G26-E26),4),"——"))</f>
        <v>——</v>
      </c>
      <c r="E26" s="752">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2">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2" t="s">
        <v>3261</v>
      </c>
      <c r="J26" s="771">
        <f>IF(G3&gt;=10,D115,"——")</f>
        <v>0</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1.0448999999999999</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183</v>
      </c>
      <c r="D30" s="2082"/>
      <c r="E30" s="2045"/>
      <c r="F30" s="2083"/>
      <c r="G30" s="2045"/>
      <c r="H30" s="2045"/>
      <c r="I30" s="2045"/>
      <c r="J30" s="2084"/>
      <c r="K30" s="1118"/>
      <c r="L30" s="3348" t="s">
        <v>1936</v>
      </c>
      <c r="M30" s="3349" t="s">
        <v>1990</v>
      </c>
      <c r="N30" s="3349" t="s">
        <v>1991</v>
      </c>
      <c r="O30" s="3349" t="s">
        <v>1992</v>
      </c>
      <c r="P30" s="3349" t="s">
        <v>1993</v>
      </c>
      <c r="Q30" s="3352"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24392</v>
      </c>
      <c r="D33" s="2097">
        <f>'数据-汇总表'!F27</f>
        <v>74.91</v>
      </c>
      <c r="E33" s="772">
        <f>ROUND(C33*D33/10000,0)</f>
        <v>183</v>
      </c>
      <c r="F33" s="3343" t="s">
        <v>3263</v>
      </c>
      <c r="G33" s="2098"/>
      <c r="H33" s="2098"/>
      <c r="I33" s="2098"/>
      <c r="J33" s="2099"/>
      <c r="K33" s="1118"/>
      <c r="L33" s="3346" t="s">
        <v>3266</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6098</v>
      </c>
      <c r="D34" s="2102"/>
      <c r="E34" s="772">
        <f>ROUND(IF(B25="楼层修正",SUM(V2:V16)*M40,C34*D34/10000),0)</f>
        <v>0</v>
      </c>
      <c r="F34" s="2103" t="s">
        <v>2032</v>
      </c>
      <c r="G34" s="2104"/>
      <c r="H34" s="2104"/>
      <c r="I34" s="2104"/>
      <c r="J34" s="2105"/>
      <c r="K34" s="1118"/>
      <c r="L34" s="3346" t="s">
        <v>3267</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59"/>
      <c r="B37" s="2112" t="s">
        <v>2036</v>
      </c>
      <c r="C37" s="175">
        <f>ROUND(D5*C22*C23*C24*C28*F37,0)</f>
        <v>18660</v>
      </c>
      <c r="D37" s="2097"/>
      <c r="E37" s="171">
        <f>ROUND(C37*D37/10000,0)</f>
        <v>0</v>
      </c>
      <c r="F37" s="171">
        <f>SUMIF(修正!A57:A68,G2,修正!B57:B68)</f>
        <v>0.7</v>
      </c>
      <c r="G37" s="171">
        <f>ROUND(IF(E2="工业",C37*$M$42,C37*$M$41),0)</f>
        <v>4665</v>
      </c>
      <c r="H37" s="171">
        <f>D37</f>
        <v>0</v>
      </c>
      <c r="I37" s="171">
        <f>ROUND(G37*H37/10000,0)</f>
        <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0"/>
      <c r="B38" s="2040" t="s">
        <v>2037</v>
      </c>
      <c r="C38" s="175">
        <f>ROUND(D5*C22*C23*C24*C28*F38,0)</f>
        <v>10663</v>
      </c>
      <c r="D38" s="2097"/>
      <c r="E38" s="171">
        <f t="shared" ref="E38:E42" si="4">ROUND(C38*D38/10000,0)</f>
        <v>0</v>
      </c>
      <c r="F38" s="171">
        <f>SUMIF(修正!A57:A68,G2,修正!C57:C68)</f>
        <v>0.4</v>
      </c>
      <c r="G38" s="171">
        <f>ROUND(IF(E2="工业",C38*$M$42,C38*$M$41),0)</f>
        <v>2666</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60"/>
      <c r="B39" s="2040" t="s">
        <v>3262</v>
      </c>
      <c r="C39" s="175">
        <f>ROUND(D5*C22*C23*C24*C28*F39,0)</f>
        <v>7997</v>
      </c>
      <c r="D39" s="2097"/>
      <c r="E39" s="171">
        <f t="shared" si="4"/>
        <v>0</v>
      </c>
      <c r="F39" s="171">
        <f>SUMIF(修正!A57:A68,G2,修正!D57:D68)</f>
        <v>0.3</v>
      </c>
      <c r="G39" s="171">
        <f>ROUND(IF(E2="工业",C39*$M$42,C39*$M$41),0)</f>
        <v>1999</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7997</v>
      </c>
      <c r="D40" s="2097"/>
      <c r="E40" s="171">
        <f t="shared" si="4"/>
        <v>0</v>
      </c>
      <c r="F40" s="175">
        <f>SUMIF(修正!A57:A68,G2,修正!E57:E68)</f>
        <v>0.3</v>
      </c>
      <c r="G40" s="171">
        <f>ROUND(IF(E2="工业",C40*$M$42,C40*$M$41),0)</f>
        <v>1999</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7997</v>
      </c>
      <c r="D41" s="2097"/>
      <c r="E41" s="171">
        <f t="shared" si="4"/>
        <v>0</v>
      </c>
      <c r="F41" s="175">
        <f>SUMIF(修正!A57:A68,G2,修正!F57:F68)</f>
        <v>0.3</v>
      </c>
      <c r="G41" s="171">
        <f>ROUND(IF(E2="工业",C41*$M$42,C41*$M$41),0)</f>
        <v>1999</v>
      </c>
      <c r="H41" s="171">
        <f t="shared" si="5"/>
        <v>0</v>
      </c>
      <c r="I41" s="171">
        <f t="shared" si="6"/>
        <v>0</v>
      </c>
      <c r="J41" s="2113"/>
      <c r="L41" s="3357"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5331</v>
      </c>
      <c r="D42" s="2102"/>
      <c r="E42" s="187">
        <f t="shared" si="4"/>
        <v>0</v>
      </c>
      <c r="F42" s="767">
        <f>SUMIF(修正!A57:A68,G2,修正!G57:G68)</f>
        <v>0.2</v>
      </c>
      <c r="G42" s="187">
        <f>ROUND(IF(E2="工业",C42*$M$42,C42*$M$41),0)</f>
        <v>1333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0.73019999999999996</v>
      </c>
      <c r="D44" s="171" t="s">
        <v>1999</v>
      </c>
      <c r="E44" s="2152">
        <f>G24</f>
        <v>5.5E-2</v>
      </c>
      <c r="F44" s="171" t="s">
        <v>2008</v>
      </c>
      <c r="G44" s="183">
        <f>'数据-取费表'!F6</f>
        <v>21.28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hidden="1">
      <c r="A50" s="2129" t="s">
        <v>2052</v>
      </c>
      <c r="B50" s="2132" t="str">
        <f>估价对象房地状况!C4</f>
        <v>较好</v>
      </c>
      <c r="C50" s="2043"/>
      <c r="D50" s="1064">
        <f t="shared" ref="D50:D58" si="7">SUMIF($J$49:$N$49,C50,J50:N50)</f>
        <v>0</v>
      </c>
      <c r="E50" s="744">
        <f>ROUND(SUM(D50:D58),4)</f>
        <v>0</v>
      </c>
      <c r="F50" s="1813"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9" t="s">
        <v>2053</v>
      </c>
      <c r="B51" s="2133" t="str">
        <f>估价对象房地状况!C18</f>
        <v>较好</v>
      </c>
      <c r="C51" s="2043"/>
      <c r="D51" s="1064">
        <f t="shared" si="7"/>
        <v>0</v>
      </c>
      <c r="E51" s="745"/>
      <c r="F51" s="1813"/>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3272</v>
      </c>
      <c r="B52" s="2133">
        <f>估价对象房地状况!C19</f>
        <v>0</v>
      </c>
      <c r="C52" s="2043"/>
      <c r="D52" s="1064">
        <f t="shared" si="7"/>
        <v>0</v>
      </c>
      <c r="E52" s="745"/>
      <c r="F52" s="1813"/>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5"/>
      <c r="F53" s="1813"/>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5"/>
      <c r="F54" s="1813"/>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5"/>
      <c r="F55" s="1813"/>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6" t="s">
        <v>2059</v>
      </c>
      <c r="B56" s="1325" t="str">
        <f>估价对象房地状况!C21</f>
        <v>较好</v>
      </c>
      <c r="C56" s="2043"/>
      <c r="D56" s="1064">
        <f t="shared" si="7"/>
        <v>0</v>
      </c>
      <c r="E56" s="745"/>
      <c r="F56" s="1813"/>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6" t="s">
        <v>2060</v>
      </c>
      <c r="B57" s="2133" t="str">
        <f>估价对象房地状况!C22</f>
        <v>七通</v>
      </c>
      <c r="C57" s="2043"/>
      <c r="D57" s="1064">
        <f t="shared" si="7"/>
        <v>0</v>
      </c>
      <c r="E57" s="745"/>
      <c r="F57" s="1813"/>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7" t="s">
        <v>2061</v>
      </c>
      <c r="B58" s="2138" t="str">
        <f>估价对象房地状况!C20</f>
        <v>较好</v>
      </c>
      <c r="C58" s="2043"/>
      <c r="D58" s="1064">
        <f t="shared" si="7"/>
        <v>0</v>
      </c>
      <c r="E58" s="746"/>
      <c r="F58" s="1813"/>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1.0448999999999999</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t="str">
        <f>估价对象房地状况!C17</f>
        <v>较好</v>
      </c>
      <c r="C61" s="2043" t="s">
        <v>3399</v>
      </c>
      <c r="D61" s="1064">
        <f t="shared" ref="D61:D69" si="12">SUMIF($J$60:$N$60,C61,J61:N61)</f>
        <v>1.0800000000000001E-2</v>
      </c>
      <c r="E61" s="744">
        <f>ROUND(SUM(D61:D69),4)</f>
        <v>4.4900000000000002E-2</v>
      </c>
      <c r="F61" s="1813">
        <f>IF(E2="办公",SUMIF(L1:L12,G2,N1:N12),"——")</f>
        <v>8.6999999999999994E-2</v>
      </c>
      <c r="G61" s="1062">
        <v>1.0800000000000001E-2</v>
      </c>
      <c r="H61" s="1065">
        <f t="shared" ref="H61:H69" si="13">IFERROR(ROUNDDOWN($F$61*I61/2,4),"——")</f>
        <v>1.0800000000000001E-2</v>
      </c>
      <c r="I61" s="3364">
        <v>0.25</v>
      </c>
      <c r="J61" s="1063">
        <f t="shared" ref="J61:J69" si="14">K61+$G61</f>
        <v>2.1600000000000001E-2</v>
      </c>
      <c r="K61" s="1063">
        <f t="shared" ref="K61:K69" si="15">$L61+$G61</f>
        <v>1.0800000000000001E-2</v>
      </c>
      <c r="L61" s="1063">
        <v>0</v>
      </c>
      <c r="M61" s="1063">
        <f t="shared" ref="M61:N69" si="16">L61-$G61</f>
        <v>-1.0800000000000001E-2</v>
      </c>
      <c r="N61" s="1063">
        <f t="shared" si="16"/>
        <v>-2.1600000000000001E-2</v>
      </c>
      <c r="AA61" s="1119"/>
      <c r="AB61" s="1119"/>
      <c r="AC61" s="1119"/>
      <c r="AD61" s="1119"/>
      <c r="AE61" s="1119"/>
      <c r="AF61" s="1119"/>
      <c r="AG61" s="1119"/>
      <c r="AH61" s="1119"/>
      <c r="AI61" s="1119"/>
      <c r="AJ61" s="1119"/>
      <c r="AK61" s="1119"/>
    </row>
    <row r="62" spans="1:37" s="1118" customFormat="1" ht="14.25">
      <c r="A62" s="2129" t="s">
        <v>2053</v>
      </c>
      <c r="B62" s="2133" t="str">
        <f>估价对象房地状况!C18</f>
        <v>较好</v>
      </c>
      <c r="C62" s="2043" t="s">
        <v>3399</v>
      </c>
      <c r="D62" s="1064">
        <f t="shared" si="12"/>
        <v>1.1299999999999999E-2</v>
      </c>
      <c r="E62" s="745"/>
      <c r="F62" s="1813"/>
      <c r="G62" s="1062">
        <v>1.1299999999999999E-2</v>
      </c>
      <c r="H62" s="1065">
        <f t="shared" si="13"/>
        <v>1.1299999999999999E-2</v>
      </c>
      <c r="I62" s="3364">
        <v>0.26</v>
      </c>
      <c r="J62" s="1063">
        <f t="shared" si="14"/>
        <v>2.2599999999999999E-2</v>
      </c>
      <c r="K62" s="1063">
        <f t="shared" si="15"/>
        <v>1.1299999999999999E-2</v>
      </c>
      <c r="L62" s="1063">
        <v>0</v>
      </c>
      <c r="M62" s="1063">
        <f t="shared" si="16"/>
        <v>-1.1299999999999999E-2</v>
      </c>
      <c r="N62" s="1063">
        <f t="shared" si="16"/>
        <v>-2.2599999999999999E-2</v>
      </c>
      <c r="AA62" s="1119"/>
      <c r="AB62" s="1119"/>
      <c r="AC62" s="1119"/>
      <c r="AD62" s="1119"/>
      <c r="AE62" s="1119"/>
      <c r="AF62" s="1119"/>
      <c r="AG62" s="1119"/>
      <c r="AH62" s="1119"/>
      <c r="AI62" s="1119"/>
      <c r="AJ62" s="1119"/>
      <c r="AK62" s="1119"/>
    </row>
    <row r="63" spans="1:37" s="1118" customFormat="1" ht="36">
      <c r="A63" s="3366" t="s">
        <v>3272</v>
      </c>
      <c r="B63" s="2133">
        <f>估价对象房地状况!C19</f>
        <v>0</v>
      </c>
      <c r="C63" s="2043" t="s">
        <v>3399</v>
      </c>
      <c r="D63" s="1064">
        <f t="shared" si="12"/>
        <v>4.7000000000000002E-3</v>
      </c>
      <c r="E63" s="745"/>
      <c r="F63" s="1813"/>
      <c r="G63" s="1062">
        <v>4.7000000000000002E-3</v>
      </c>
      <c r="H63" s="1065">
        <f t="shared" si="13"/>
        <v>4.7000000000000002E-3</v>
      </c>
      <c r="I63" s="3364">
        <v>0.11</v>
      </c>
      <c r="J63" s="1063">
        <f t="shared" si="14"/>
        <v>9.4000000000000004E-3</v>
      </c>
      <c r="K63" s="1063">
        <f t="shared" si="15"/>
        <v>4.7000000000000002E-3</v>
      </c>
      <c r="L63" s="1063">
        <v>0</v>
      </c>
      <c r="M63" s="1063">
        <f t="shared" si="16"/>
        <v>-4.7000000000000002E-3</v>
      </c>
      <c r="N63" s="1063">
        <f t="shared" si="16"/>
        <v>-9.4000000000000004E-3</v>
      </c>
      <c r="AA63" s="1119"/>
      <c r="AB63" s="1119"/>
      <c r="AC63" s="1119"/>
      <c r="AD63" s="1119"/>
      <c r="AE63" s="1119"/>
      <c r="AF63" s="1119"/>
      <c r="AG63" s="1119"/>
      <c r="AH63" s="1119"/>
      <c r="AI63" s="1119"/>
      <c r="AJ63" s="1119"/>
      <c r="AK63" s="1119"/>
    </row>
    <row r="64" spans="1:37" s="1118" customFormat="1" ht="36.75">
      <c r="A64" s="2129" t="s">
        <v>2054</v>
      </c>
      <c r="B64" s="2134" t="s">
        <v>2055</v>
      </c>
      <c r="C64" s="2043" t="s">
        <v>3399</v>
      </c>
      <c r="D64" s="1064">
        <f t="shared" si="12"/>
        <v>2.0999999999999999E-3</v>
      </c>
      <c r="E64" s="745"/>
      <c r="F64" s="1813"/>
      <c r="G64" s="1062">
        <v>2.0999999999999999E-3</v>
      </c>
      <c r="H64" s="1065">
        <f t="shared" si="13"/>
        <v>2.0999999999999999E-3</v>
      </c>
      <c r="I64" s="3364">
        <v>0.05</v>
      </c>
      <c r="J64" s="1063">
        <f t="shared" si="14"/>
        <v>4.1999999999999997E-3</v>
      </c>
      <c r="K64" s="1063">
        <f t="shared" si="15"/>
        <v>2.0999999999999999E-3</v>
      </c>
      <c r="L64" s="1063">
        <v>0</v>
      </c>
      <c r="M64" s="1063">
        <f t="shared" si="16"/>
        <v>-2.0999999999999999E-3</v>
      </c>
      <c r="N64" s="1063">
        <f t="shared" si="16"/>
        <v>-4.1999999999999997E-3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3408</v>
      </c>
      <c r="D65" s="1064">
        <f t="shared" si="12"/>
        <v>0</v>
      </c>
      <c r="E65" s="745"/>
      <c r="F65" s="1813"/>
      <c r="G65" s="1062">
        <v>2.0999999999999999E-3</v>
      </c>
      <c r="H65" s="1065">
        <f t="shared" si="13"/>
        <v>2.0999999999999999E-3</v>
      </c>
      <c r="I65" s="3364">
        <v>0.05</v>
      </c>
      <c r="J65" s="1063">
        <f t="shared" si="14"/>
        <v>4.1999999999999997E-3</v>
      </c>
      <c r="K65" s="1063">
        <f t="shared" si="15"/>
        <v>2.0999999999999999E-3</v>
      </c>
      <c r="L65" s="1063">
        <v>0</v>
      </c>
      <c r="M65" s="1063">
        <f t="shared" si="16"/>
        <v>-2.0999999999999999E-3</v>
      </c>
      <c r="N65" s="1063">
        <f t="shared" si="16"/>
        <v>-4.1999999999999997E-3</v>
      </c>
      <c r="AA65" s="1119"/>
      <c r="AB65" s="1119"/>
      <c r="AC65" s="1119"/>
      <c r="AD65" s="1119"/>
      <c r="AE65" s="1119"/>
      <c r="AF65" s="1119"/>
      <c r="AG65" s="1119"/>
      <c r="AH65" s="1119"/>
      <c r="AI65" s="1119"/>
      <c r="AJ65" s="1119"/>
      <c r="AK65" s="1119"/>
    </row>
    <row r="66" spans="1:37" s="1118" customFormat="1" ht="24">
      <c r="A66" s="2129" t="s">
        <v>2057</v>
      </c>
      <c r="B66" s="2135" t="s">
        <v>2058</v>
      </c>
      <c r="C66" s="2043" t="s">
        <v>3399</v>
      </c>
      <c r="D66" s="1064">
        <f t="shared" si="12"/>
        <v>2.5999999999999999E-3</v>
      </c>
      <c r="E66" s="745"/>
      <c r="F66" s="1813"/>
      <c r="G66" s="1062">
        <v>2.5999999999999999E-3</v>
      </c>
      <c r="H66" s="1065">
        <f t="shared" si="13"/>
        <v>2.5999999999999999E-3</v>
      </c>
      <c r="I66" s="3364">
        <v>0.06</v>
      </c>
      <c r="J66" s="1063">
        <f t="shared" si="14"/>
        <v>5.1999999999999998E-3</v>
      </c>
      <c r="K66" s="1063">
        <f t="shared" si="15"/>
        <v>2.5999999999999999E-3</v>
      </c>
      <c r="L66" s="1063">
        <v>0</v>
      </c>
      <c r="M66" s="1063">
        <f t="shared" si="16"/>
        <v>-2.5999999999999999E-3</v>
      </c>
      <c r="N66" s="1063">
        <f t="shared" si="16"/>
        <v>-5.1999999999999998E-3</v>
      </c>
      <c r="AA66" s="1119"/>
      <c r="AB66" s="1119"/>
      <c r="AC66" s="1119"/>
      <c r="AD66" s="1119"/>
      <c r="AE66" s="1119"/>
      <c r="AF66" s="1119"/>
      <c r="AG66" s="1119"/>
      <c r="AH66" s="1119"/>
      <c r="AI66" s="1119"/>
      <c r="AJ66" s="1119"/>
      <c r="AK66" s="1119"/>
    </row>
    <row r="67" spans="1:37" s="1118" customFormat="1" ht="24">
      <c r="A67" s="2129" t="s">
        <v>2059</v>
      </c>
      <c r="B67" s="1325" t="str">
        <f>估价对象房地状况!C21</f>
        <v>较好</v>
      </c>
      <c r="C67" s="2043" t="s">
        <v>3399</v>
      </c>
      <c r="D67" s="1064">
        <f t="shared" si="12"/>
        <v>2.5999999999999999E-3</v>
      </c>
      <c r="E67" s="745"/>
      <c r="F67" s="1813"/>
      <c r="G67" s="1062">
        <v>2.5999999999999999E-3</v>
      </c>
      <c r="H67" s="1065">
        <f t="shared" si="13"/>
        <v>2.5999999999999999E-3</v>
      </c>
      <c r="I67" s="3364">
        <v>0.06</v>
      </c>
      <c r="J67" s="1063">
        <f t="shared" si="14"/>
        <v>5.1999999999999998E-3</v>
      </c>
      <c r="K67" s="1063">
        <f t="shared" si="15"/>
        <v>2.5999999999999999E-3</v>
      </c>
      <c r="L67" s="1063">
        <v>0</v>
      </c>
      <c r="M67" s="1063">
        <f t="shared" si="16"/>
        <v>-2.5999999999999999E-3</v>
      </c>
      <c r="N67" s="1063">
        <f t="shared" si="16"/>
        <v>-5.1999999999999998E-3</v>
      </c>
      <c r="AA67" s="1119"/>
      <c r="AB67" s="1119"/>
      <c r="AC67" s="1119"/>
      <c r="AD67" s="1119"/>
      <c r="AE67" s="1119"/>
      <c r="AF67" s="1119"/>
      <c r="AG67" s="1119"/>
      <c r="AH67" s="1119"/>
      <c r="AI67" s="1119"/>
      <c r="AJ67" s="1119"/>
      <c r="AK67" s="1119"/>
    </row>
    <row r="68" spans="1:37" s="1118" customFormat="1" ht="24">
      <c r="A68" s="2129" t="s">
        <v>2060</v>
      </c>
      <c r="B68" s="1325" t="str">
        <f>估价对象房地状况!C22</f>
        <v>七通</v>
      </c>
      <c r="C68" s="2043" t="s">
        <v>3409</v>
      </c>
      <c r="D68" s="1064">
        <f t="shared" si="12"/>
        <v>7.7999999999999996E-3</v>
      </c>
      <c r="E68" s="745"/>
      <c r="F68" s="1813"/>
      <c r="G68" s="1062">
        <v>3.8999999999999998E-3</v>
      </c>
      <c r="H68" s="1065">
        <f t="shared" si="13"/>
        <v>3.8999999999999998E-3</v>
      </c>
      <c r="I68" s="3364">
        <v>0.09</v>
      </c>
      <c r="J68" s="1063">
        <f t="shared" si="14"/>
        <v>7.7999999999999996E-3</v>
      </c>
      <c r="K68" s="1063">
        <f t="shared" si="15"/>
        <v>3.8999999999999998E-3</v>
      </c>
      <c r="L68" s="1063">
        <v>0</v>
      </c>
      <c r="M68" s="1063">
        <f t="shared" si="16"/>
        <v>-3.8999999999999998E-3</v>
      </c>
      <c r="N68" s="1063">
        <f t="shared" si="16"/>
        <v>-7.7999999999999996E-3</v>
      </c>
      <c r="AA68" s="1119"/>
      <c r="AB68" s="1119"/>
      <c r="AC68" s="1119"/>
      <c r="AD68" s="1119"/>
      <c r="AE68" s="1119"/>
      <c r="AF68" s="1119"/>
      <c r="AG68" s="1119"/>
      <c r="AH68" s="1119"/>
      <c r="AI68" s="1119"/>
      <c r="AJ68" s="1119"/>
      <c r="AK68" s="1119"/>
    </row>
    <row r="69" spans="1:37" s="1118" customFormat="1" ht="24.75" thickBot="1">
      <c r="A69" s="2137" t="s">
        <v>2061</v>
      </c>
      <c r="B69" s="2139" t="str">
        <f>估价对象房地状况!C20</f>
        <v>较好</v>
      </c>
      <c r="C69" s="2043" t="s">
        <v>3399</v>
      </c>
      <c r="D69" s="1064">
        <f t="shared" si="12"/>
        <v>3.0000000000000001E-3</v>
      </c>
      <c r="E69" s="746"/>
      <c r="F69" s="1813"/>
      <c r="G69" s="1062">
        <v>3.0000000000000001E-3</v>
      </c>
      <c r="H69" s="1065">
        <f t="shared" si="13"/>
        <v>3.0000000000000001E-3</v>
      </c>
      <c r="I69" s="3365">
        <v>7.0000000000000007E-2</v>
      </c>
      <c r="J69" s="1063">
        <f t="shared" si="14"/>
        <v>6.0000000000000001E-3</v>
      </c>
      <c r="K69" s="1063">
        <f t="shared" si="15"/>
        <v>3.0000000000000001E-3</v>
      </c>
      <c r="L69" s="1063">
        <v>0</v>
      </c>
      <c r="M69" s="1063">
        <f t="shared" si="16"/>
        <v>-3.0000000000000001E-3</v>
      </c>
      <c r="N69" s="1063">
        <f t="shared" si="16"/>
        <v>-6.0000000000000001E-3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t="str">
        <f>估价对象房地状况!C15</f>
        <v>较好</v>
      </c>
      <c r="C72" s="2043"/>
      <c r="D72" s="1064">
        <f t="shared" ref="D72:D80" si="17">SUMIF($J$71:$N$71,C72,J72:N72)</f>
        <v>0</v>
      </c>
      <c r="E72" s="744">
        <f>ROUND(SUM(D72:D80),4)</f>
        <v>0</v>
      </c>
      <c r="F72" s="1813"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t="str">
        <f>估价对象房地状况!C18</f>
        <v>较好</v>
      </c>
      <c r="C73" s="2043"/>
      <c r="D73" s="1064">
        <f t="shared" si="17"/>
        <v>0</v>
      </c>
      <c r="E73" s="747"/>
      <c r="F73" s="1813"/>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6" t="s">
        <v>3272</v>
      </c>
      <c r="B74" s="2133">
        <f>估价对象房地状况!C19</f>
        <v>0</v>
      </c>
      <c r="C74" s="2043"/>
      <c r="D74" s="1064">
        <f t="shared" si="17"/>
        <v>0</v>
      </c>
      <c r="E74" s="747"/>
      <c r="F74" s="1813"/>
      <c r="G74" s="1062"/>
      <c r="H74" s="1065" t="str">
        <f t="shared" si="18"/>
        <v>——</v>
      </c>
      <c r="I74" s="3364">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4">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t="str">
        <f>估价对象房地状况!C21</f>
        <v>较好</v>
      </c>
      <c r="C76" s="2043"/>
      <c r="D76" s="1064">
        <f t="shared" si="17"/>
        <v>0</v>
      </c>
      <c r="E76" s="747"/>
      <c r="F76" s="1813"/>
      <c r="G76" s="1062"/>
      <c r="H76" s="1065" t="str">
        <f t="shared" si="18"/>
        <v>——</v>
      </c>
      <c r="I76" s="3364">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t="str">
        <f>估价对象房地状况!C22</f>
        <v>七通</v>
      </c>
      <c r="C77" s="2043"/>
      <c r="D77" s="1064">
        <f t="shared" si="17"/>
        <v>0</v>
      </c>
      <c r="E77" s="747"/>
      <c r="F77" s="1813"/>
      <c r="G77" s="1062"/>
      <c r="H77" s="1065" t="str">
        <f t="shared" si="18"/>
        <v>——</v>
      </c>
      <c r="I77" s="3364">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4">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t="str">
        <f>估价对象房地状况!C20</f>
        <v>较好</v>
      </c>
      <c r="C79" s="2043"/>
      <c r="D79" s="1064">
        <f t="shared" si="17"/>
        <v>0</v>
      </c>
      <c r="E79" s="747"/>
      <c r="F79" s="1813"/>
      <c r="G79" s="1062"/>
      <c r="H79" s="1065" t="str">
        <f t="shared" si="18"/>
        <v>——</v>
      </c>
      <c r="I79" s="3364">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5">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4">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4">
        <v>0.3</v>
      </c>
      <c r="J84" s="1063">
        <f t="shared" si="24"/>
        <v>0</v>
      </c>
      <c r="K84" s="1063">
        <f t="shared" si="25"/>
        <v>0</v>
      </c>
      <c r="L84" s="1063">
        <v>0</v>
      </c>
      <c r="M84" s="1063">
        <f t="shared" si="26"/>
        <v>0</v>
      </c>
      <c r="N84" s="1063">
        <f t="shared" si="26"/>
        <v>0</v>
      </c>
      <c r="Z84" s="1997"/>
      <c r="AA84" s="2052"/>
      <c r="AG84" s="1120"/>
      <c r="AK84" s="2052"/>
    </row>
    <row r="85" spans="1:37" ht="36">
      <c r="A85" s="3366" t="s">
        <v>3273</v>
      </c>
      <c r="B85" s="2133">
        <f>估价对象房地状况!G17</f>
        <v>0</v>
      </c>
      <c r="C85" s="2043"/>
      <c r="D85" s="1064">
        <f t="shared" si="22"/>
        <v>0</v>
      </c>
      <c r="E85" s="747"/>
      <c r="F85" s="1813"/>
      <c r="G85" s="1062"/>
      <c r="H85" s="1065" t="str">
        <f t="shared" si="23"/>
        <v>——</v>
      </c>
      <c r="I85" s="3364">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4">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4">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4">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4">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5">
        <v>0.05</v>
      </c>
      <c r="J90" s="1063">
        <f t="shared" si="24"/>
        <v>0</v>
      </c>
      <c r="K90" s="1063">
        <f t="shared" si="25"/>
        <v>0</v>
      </c>
      <c r="L90" s="1063">
        <v>0</v>
      </c>
      <c r="M90" s="1063">
        <f t="shared" si="26"/>
        <v>0</v>
      </c>
      <c r="N90" s="1063">
        <f t="shared" si="26"/>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3276</v>
      </c>
      <c r="B94" s="3367" t="str">
        <f>估价对象房地状况!C18</f>
        <v>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4">
      <c r="A99" s="3376" t="s">
        <v>3280</v>
      </c>
      <c r="B99" s="3367" t="str">
        <f>估价对象房地状况!C21</f>
        <v>较好</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4">
      <c r="A100" s="3376" t="s">
        <v>3281</v>
      </c>
      <c r="B100" s="3367" t="str">
        <f>估价对象房地状况!C22</f>
        <v>七通</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3282</v>
      </c>
      <c r="B101" s="3384" t="str">
        <f>估价对象房地状况!C20</f>
        <v>较好</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7" t="s">
        <v>3297</v>
      </c>
      <c r="B103" s="3657"/>
      <c r="C103" s="3657"/>
      <c r="D103" s="3657"/>
      <c r="E103" s="3657"/>
      <c r="F103" s="3657"/>
      <c r="G103" s="3657"/>
      <c r="H103" s="3657"/>
      <c r="I103" s="3657"/>
      <c r="J103" s="3657"/>
      <c r="K103" s="3387"/>
      <c r="L103" s="3387"/>
      <c r="M103" s="3387"/>
      <c r="N103" s="3387"/>
    </row>
    <row r="104" spans="1:14">
      <c r="A104" s="3658" t="s">
        <v>3298</v>
      </c>
      <c r="B104" s="3658" t="s">
        <v>3299</v>
      </c>
      <c r="C104" s="3388" t="s">
        <v>3300</v>
      </c>
      <c r="D104" s="3389"/>
      <c r="E104" s="3389"/>
      <c r="F104" s="3389"/>
      <c r="G104" s="3389"/>
      <c r="H104" s="3389"/>
      <c r="I104" s="3389"/>
      <c r="J104" s="3390"/>
      <c r="K104" s="3391"/>
      <c r="L104" s="3391"/>
      <c r="M104" s="3391"/>
      <c r="N104" s="3391"/>
    </row>
    <row r="105" spans="1:14">
      <c r="A105" s="3658"/>
      <c r="B105" s="3658"/>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644"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4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4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4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4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45"/>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7" t="s">
        <v>3314</v>
      </c>
      <c r="B113" s="3647"/>
      <c r="C113" s="3647"/>
      <c r="D113" s="3647"/>
      <c r="E113" s="3647"/>
      <c r="F113" s="3647"/>
      <c r="G113" s="3647"/>
      <c r="H113" s="3647"/>
      <c r="I113" s="3647"/>
      <c r="J113" s="364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10.86</v>
      </c>
      <c r="C116" s="3397" t="s">
        <v>3316</v>
      </c>
      <c r="D116" s="3398">
        <f>SUMPRODUCT((A118:A122=F116)*(B117:M117=H116)*B118:M122)</f>
        <v>0.87139999999999995</v>
      </c>
      <c r="E116" s="1999" t="s">
        <v>3317</v>
      </c>
      <c r="F116" s="3399" t="str">
        <f>E2</f>
        <v>办公</v>
      </c>
      <c r="G116" s="1999" t="s">
        <v>3318</v>
      </c>
      <c r="H116" s="3399" t="str">
        <f>G2</f>
        <v>一级</v>
      </c>
      <c r="I116" s="1999"/>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0.87729999999999997</v>
      </c>
      <c r="C118" s="3385">
        <f>B118</f>
        <v>0.87729999999999997</v>
      </c>
      <c r="D118" s="3385">
        <f>ROUND(0.949-0.014*B116,4)</f>
        <v>0.79700000000000004</v>
      </c>
      <c r="E118" s="3385">
        <f>D118</f>
        <v>0.79700000000000004</v>
      </c>
      <c r="F118" s="3385">
        <f>E118</f>
        <v>0.79700000000000004</v>
      </c>
      <c r="G118" s="3385">
        <f>F118</f>
        <v>0.79700000000000004</v>
      </c>
      <c r="H118" s="3385">
        <f>G118</f>
        <v>0.79700000000000004</v>
      </c>
      <c r="I118" s="3385">
        <f>ROUND(0.8486-0.018*B116,4)</f>
        <v>0.65310000000000001</v>
      </c>
      <c r="J118" s="3385">
        <f t="shared" ref="J118:M122" si="35">I118</f>
        <v>0.65310000000000001</v>
      </c>
      <c r="K118" s="3385">
        <f t="shared" si="35"/>
        <v>0.65310000000000001</v>
      </c>
      <c r="L118" s="3385">
        <f t="shared" si="35"/>
        <v>0.65310000000000001</v>
      </c>
      <c r="M118" s="3408">
        <f t="shared" si="35"/>
        <v>0.65310000000000001</v>
      </c>
      <c r="N118" s="3395"/>
    </row>
    <row r="119" spans="1:14">
      <c r="A119" s="3407" t="s">
        <v>3332</v>
      </c>
      <c r="B119" s="3385">
        <f>ROUND(0.993-0.0112*B116,4)</f>
        <v>0.87139999999999995</v>
      </c>
      <c r="C119" s="3385">
        <f>B119</f>
        <v>0.87139999999999995</v>
      </c>
      <c r="D119" s="3385">
        <f>ROUND(0.9415-0.0142*B116,4)</f>
        <v>0.7873</v>
      </c>
      <c r="E119" s="3385">
        <f t="shared" ref="E119:H120" si="36">D119</f>
        <v>0.7873</v>
      </c>
      <c r="F119" s="3385">
        <f t="shared" si="36"/>
        <v>0.7873</v>
      </c>
      <c r="G119" s="3385">
        <f t="shared" si="36"/>
        <v>0.7873</v>
      </c>
      <c r="H119" s="3385">
        <f t="shared" si="36"/>
        <v>0.7873</v>
      </c>
      <c r="I119" s="3385">
        <f>ROUND(0.838-0.0182*B116,4)</f>
        <v>0.64029999999999998</v>
      </c>
      <c r="J119" s="3385">
        <f t="shared" si="35"/>
        <v>0.64029999999999998</v>
      </c>
      <c r="K119" s="3385">
        <f t="shared" si="35"/>
        <v>0.64029999999999998</v>
      </c>
      <c r="L119" s="3385">
        <f t="shared" si="35"/>
        <v>0.64029999999999998</v>
      </c>
      <c r="M119" s="3408">
        <f t="shared" si="35"/>
        <v>0.64029999999999998</v>
      </c>
      <c r="N119" s="3395"/>
    </row>
    <row r="120" spans="1:14">
      <c r="A120" s="3407" t="s">
        <v>3333</v>
      </c>
      <c r="B120" s="3385">
        <f>ROUND(0.9448-0.0115*B116,4)</f>
        <v>0.81989999999999996</v>
      </c>
      <c r="C120" s="3385">
        <f>B120</f>
        <v>0.81989999999999996</v>
      </c>
      <c r="D120" s="3385">
        <f>ROUND(0.937-0.0145*B116,4)</f>
        <v>0.77949999999999997</v>
      </c>
      <c r="E120" s="3385">
        <f t="shared" si="36"/>
        <v>0.77949999999999997</v>
      </c>
      <c r="F120" s="3385">
        <f t="shared" si="36"/>
        <v>0.77949999999999997</v>
      </c>
      <c r="G120" s="3385">
        <f t="shared" si="36"/>
        <v>0.77949999999999997</v>
      </c>
      <c r="H120" s="3385">
        <f t="shared" si="36"/>
        <v>0.77949999999999997</v>
      </c>
      <c r="I120" s="3385">
        <f>ROUND(0.7965-0.0185*B116,4)</f>
        <v>0.59560000000000002</v>
      </c>
      <c r="J120" s="3385">
        <f t="shared" si="35"/>
        <v>0.59560000000000002</v>
      </c>
      <c r="K120" s="3385">
        <f t="shared" si="35"/>
        <v>0.59560000000000002</v>
      </c>
      <c r="L120" s="3385">
        <f t="shared" si="35"/>
        <v>0.59560000000000002</v>
      </c>
      <c r="M120" s="3408">
        <f t="shared" si="35"/>
        <v>0.59560000000000002</v>
      </c>
      <c r="N120" s="3395"/>
    </row>
    <row r="121" spans="1:14" ht="13.5" thickBot="1">
      <c r="A121" s="3409" t="s">
        <v>3334</v>
      </c>
      <c r="B121" s="3410">
        <f>ROUND(0.7836-0.012*B116,4)</f>
        <v>0.65329999999999999</v>
      </c>
      <c r="C121" s="3410">
        <f>B121</f>
        <v>0.65329999999999999</v>
      </c>
      <c r="D121" s="3410">
        <f>ROUND(0.753-0.015*B116,4)</f>
        <v>0.59009999999999996</v>
      </c>
      <c r="E121" s="3410">
        <f>D121</f>
        <v>0.59009999999999996</v>
      </c>
      <c r="F121" s="3410">
        <f>E121</f>
        <v>0.59009999999999996</v>
      </c>
      <c r="G121" s="3410">
        <f>ROUND(0.6612-0.018*B116,4)</f>
        <v>0.4657</v>
      </c>
      <c r="H121" s="3410">
        <f>G121</f>
        <v>0.4657</v>
      </c>
      <c r="I121" s="3410">
        <f>ROUND(0.5905-0.019*B116,4)</f>
        <v>0.38419999999999999</v>
      </c>
      <c r="J121" s="3410">
        <f t="shared" si="35"/>
        <v>0.38419999999999999</v>
      </c>
      <c r="K121" s="3410">
        <f t="shared" si="35"/>
        <v>0.38419999999999999</v>
      </c>
      <c r="L121" s="3410">
        <f t="shared" si="35"/>
        <v>0.38419999999999999</v>
      </c>
      <c r="M121" s="3411">
        <f t="shared" si="35"/>
        <v>0.38419999999999999</v>
      </c>
      <c r="N121" s="3395"/>
    </row>
    <row r="122" spans="1:14">
      <c r="A122" s="3412" t="s">
        <v>2611</v>
      </c>
      <c r="B122" s="3385">
        <f>ROUND(0.9404-0.0106*B116,4)</f>
        <v>0.82530000000000003</v>
      </c>
      <c r="C122" s="3385">
        <f>B122</f>
        <v>0.82530000000000003</v>
      </c>
      <c r="D122" s="3385">
        <f>ROUND(0.8955-0.0135*B116,4)</f>
        <v>0.74890000000000001</v>
      </c>
      <c r="E122" s="3385">
        <f t="shared" ref="E122:H122" si="37">D122</f>
        <v>0.74890000000000001</v>
      </c>
      <c r="F122" s="3385">
        <f t="shared" si="37"/>
        <v>0.74890000000000001</v>
      </c>
      <c r="G122" s="3385">
        <f t="shared" si="37"/>
        <v>0.74890000000000001</v>
      </c>
      <c r="H122" s="3385">
        <f t="shared" si="37"/>
        <v>0.74890000000000001</v>
      </c>
      <c r="I122" s="3385">
        <f>ROUND(0.7632-0.0166*B116,4)</f>
        <v>0.58289999999999997</v>
      </c>
      <c r="J122" s="3385">
        <f t="shared" si="35"/>
        <v>0.58289999999999997</v>
      </c>
      <c r="K122" s="3385">
        <f t="shared" si="35"/>
        <v>0.58289999999999997</v>
      </c>
      <c r="L122" s="3385">
        <f t="shared" si="35"/>
        <v>0.58289999999999997</v>
      </c>
      <c r="M122" s="3408">
        <f t="shared" si="35"/>
        <v>0.58289999999999997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70" zoomScaleNormal="70" zoomScaleSheetLayoutView="70" workbookViewId="0">
      <selection activeCell="J41" sqref="J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21.28</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142.51929999999999</v>
      </c>
      <c r="C2" s="1386" t="s">
        <v>879</v>
      </c>
      <c r="D2" s="1470">
        <f ca="1">C40+J29+L46</f>
        <v>1425193</v>
      </c>
      <c r="E2" s="1387" t="s">
        <v>880</v>
      </c>
      <c r="F2" s="1388"/>
      <c r="G2" s="2703"/>
      <c r="H2" s="2692"/>
      <c r="I2" s="2692"/>
      <c r="J2" s="2692"/>
      <c r="K2" s="2693"/>
      <c r="L2" s="2692"/>
      <c r="M2" s="2692"/>
    </row>
    <row r="3" spans="1:37" ht="18" customHeight="1" thickBot="1">
      <c r="A3" s="1389" t="s">
        <v>881</v>
      </c>
      <c r="B3" s="1390">
        <f ca="1">IF(ISERROR(D2/F43),0,ROUND(D2/F43,0))</f>
        <v>19025</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117034</v>
      </c>
      <c r="D5" s="1363" t="s">
        <v>889</v>
      </c>
      <c r="E5" s="1070"/>
      <c r="F5" s="1071"/>
      <c r="G5" s="1383"/>
      <c r="H5" s="299">
        <v>1</v>
      </c>
      <c r="I5" s="300" t="s">
        <v>888</v>
      </c>
      <c r="J5" s="1069">
        <f ca="1">J6+J10+J12</f>
        <v>0</v>
      </c>
      <c r="K5" s="1363" t="s">
        <v>889</v>
      </c>
      <c r="L5" s="1070"/>
      <c r="M5" s="1071"/>
    </row>
    <row r="6" spans="1:37" ht="18" customHeight="1">
      <c r="A6" s="1068" t="s">
        <v>398</v>
      </c>
      <c r="B6" s="3641" t="s">
        <v>694</v>
      </c>
      <c r="C6" s="1073">
        <f ca="1">ROUND(F6*F8*F7*(1-F9),0)</f>
        <v>116888</v>
      </c>
      <c r="D6" s="155" t="s">
        <v>2106</v>
      </c>
      <c r="E6" s="302" t="s">
        <v>696</v>
      </c>
      <c r="F6" s="303">
        <f ca="1">INDIRECT("'数据-取费表'!u"&amp;$G$1)</f>
        <v>4.5</v>
      </c>
      <c r="G6" s="1383"/>
      <c r="H6" s="1068" t="s">
        <v>398</v>
      </c>
      <c r="I6" s="3641" t="s">
        <v>694</v>
      </c>
      <c r="J6" s="301">
        <f ca="1">ROUND(M6*M8*M7*(1-M9),0)</f>
        <v>0</v>
      </c>
      <c r="K6" s="1375" t="s">
        <v>2107</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74.91</v>
      </c>
      <c r="G7" s="1383"/>
      <c r="H7" s="304"/>
      <c r="I7" s="3642"/>
      <c r="J7" s="306"/>
      <c r="K7" s="307"/>
      <c r="L7" s="302" t="s">
        <v>697</v>
      </c>
      <c r="M7" s="303">
        <f ca="1">F7</f>
        <v>74.91</v>
      </c>
    </row>
    <row r="8" spans="1:37" ht="18" customHeight="1">
      <c r="A8" s="304"/>
      <c r="B8" s="3642"/>
      <c r="C8" s="306"/>
      <c r="D8" s="307"/>
      <c r="E8" s="302" t="s">
        <v>698</v>
      </c>
      <c r="F8" s="303">
        <f ca="1">INDIRECT("'数据-取费表'!ai"&amp;$G$1)</f>
        <v>365</v>
      </c>
      <c r="G8" s="1383"/>
      <c r="H8" s="304"/>
      <c r="I8" s="3642"/>
      <c r="J8" s="306"/>
      <c r="K8" s="307"/>
      <c r="L8" s="302" t="s">
        <v>698</v>
      </c>
      <c r="M8" s="303">
        <f ca="1">INDIRECT("'数据-取费表'!ai"&amp;$G$1)</f>
        <v>365</v>
      </c>
    </row>
    <row r="9" spans="1:37" ht="18" customHeight="1">
      <c r="A9" s="304"/>
      <c r="B9" s="3643"/>
      <c r="C9" s="306"/>
      <c r="D9" s="307"/>
      <c r="E9" s="302" t="s">
        <v>699</v>
      </c>
      <c r="F9" s="312">
        <f ca="1">INDIRECT("'数据-取费表'!w"&amp;$G$1)</f>
        <v>0.05</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146</v>
      </c>
      <c r="D10" s="1365" t="s">
        <v>2116</v>
      </c>
      <c r="E10" s="313" t="s">
        <v>701</v>
      </c>
      <c r="F10" s="1115" t="s">
        <v>3413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295535</v>
      </c>
      <c r="D13" s="1080" t="s">
        <v>705</v>
      </c>
      <c r="E13" s="1080" t="s">
        <v>706</v>
      </c>
      <c r="F13" s="1081">
        <f ca="1">INDIRECT("'数据-取费表'!y"&amp;$G$1)</f>
        <v>0.68400000000000005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299640</v>
      </c>
      <c r="D14" s="1344" t="s">
        <v>708</v>
      </c>
      <c r="E14" s="1341"/>
      <c r="F14" s="319"/>
      <c r="G14" s="1383"/>
      <c r="H14" s="981" t="s">
        <v>398</v>
      </c>
      <c r="I14" s="302" t="s">
        <v>709</v>
      </c>
      <c r="J14" s="21">
        <f ca="1">C29</f>
        <v>432068</v>
      </c>
      <c r="K14" s="12"/>
      <c r="L14" s="806"/>
      <c r="M14" s="807"/>
    </row>
    <row r="15" spans="1:37" s="1396" customFormat="1" ht="18" customHeight="1" thickBot="1">
      <c r="A15" s="981" t="s">
        <v>399</v>
      </c>
      <c r="B15" s="302" t="s">
        <v>710</v>
      </c>
      <c r="C15" s="21">
        <f ca="1">ROUND(C14*F15,0)</f>
        <v>8989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6688</v>
      </c>
      <c r="K16" s="1086" t="s">
        <v>715</v>
      </c>
      <c r="L16" s="1087"/>
      <c r="M16" s="1071"/>
    </row>
    <row r="17" spans="1:37" s="1396" customFormat="1" ht="18" customHeight="1">
      <c r="A17" s="981" t="s">
        <v>681</v>
      </c>
      <c r="B17" s="302" t="s">
        <v>716</v>
      </c>
      <c r="C17" s="21">
        <f ca="1">ROUND(F17*(F43+INDIRECT("'数据-取费表'!S"&amp;$G$1)),0)</f>
        <v>14982</v>
      </c>
      <c r="D17" s="302" t="s">
        <v>717</v>
      </c>
      <c r="E17" s="302" t="s">
        <v>718</v>
      </c>
      <c r="F17" s="23">
        <f>'数据-取费表'!B35</f>
        <v>200</v>
      </c>
      <c r="G17" s="1395"/>
      <c r="H17" s="981" t="s">
        <v>398</v>
      </c>
      <c r="I17" s="302" t="s">
        <v>719</v>
      </c>
      <c r="J17" s="2315">
        <f ca="1">ROUND(IF(AND(项目基本情况!B11="自然人",项目基本情况!B10="北京市"),J6*M17/(1+'数据-取费表'!C42),J18+J19+J20),0)</f>
        <v>207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4495</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328106</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6562</v>
      </c>
      <c r="D20" s="323" t="s">
        <v>729</v>
      </c>
      <c r="E20" s="302" t="s">
        <v>712</v>
      </c>
      <c r="F20" s="322">
        <f>'数据-取费表'!B37</f>
        <v>0.02</v>
      </c>
      <c r="G20" s="1395"/>
      <c r="H20" s="981" t="s">
        <v>680</v>
      </c>
      <c r="I20" s="155" t="s">
        <v>730</v>
      </c>
      <c r="J20" s="22">
        <f ca="1">ROUND(M20*M21,0)</f>
        <v>207</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6.9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6481</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13888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-6688</v>
      </c>
      <c r="K25" s="1094" t="s">
        <v>753</v>
      </c>
      <c r="L25" s="1095"/>
      <c r="M25" s="1096"/>
    </row>
    <row r="26" spans="1:37" ht="18" customHeight="1">
      <c r="A26" s="981" t="s">
        <v>397</v>
      </c>
      <c r="B26" s="302" t="s">
        <v>754</v>
      </c>
      <c r="C26" s="21">
        <f ca="1">ROUND((C19+C20)*F26,0)</f>
        <v>50200</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432068</v>
      </c>
      <c r="D29" s="1091"/>
      <c r="E29" s="1089"/>
      <c r="F29" s="1092"/>
      <c r="G29" s="1395"/>
      <c r="H29" s="334" t="s">
        <v>396</v>
      </c>
      <c r="I29" s="335" t="s">
        <v>768</v>
      </c>
      <c r="J29" s="336">
        <f ca="1">ROUND(J26/(1+F40)^F41,0)</f>
        <v>0</v>
      </c>
      <c r="K29" s="337" t="s">
        <v>769</v>
      </c>
      <c r="L29" s="338"/>
      <c r="M29" s="339">
        <f ca="1">INDIRECT("'数据-取费表'!k"&amp;$G$1)</f>
        <v>74.91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27894</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ROUND(IF(AND(项目基本情况!B11="自然人",项目基本情况!B10="北京市"),C6*F31/(1+'数据-取费表'!C42),C32+C33+C34),0)</f>
        <v>19800</v>
      </c>
      <c r="D31" s="1344" t="s">
        <v>720</v>
      </c>
      <c r="E31" s="1343" t="s">
        <v>770</v>
      </c>
      <c r="F31" s="2314" t="str">
        <f>IF(项目基本情况!B11="企业","——",IF(M47="住宅",IF(F6*F7*F8/12/(1+'数据-取费表'!F30)&gt;100000,4%,2.5%),IF(F6*F7*F8/12/(1+'数据-取费表'!F30)&gt;100000,12%,7%)))</f>
        <v>——</v>
      </c>
      <c r="G31" s="1383"/>
      <c r="H31" s="2805" t="s">
        <v>2306</v>
      </c>
      <c r="I31" s="1397"/>
      <c r="J31" s="1398"/>
      <c r="K31" s="2472"/>
      <c r="L31" s="2695"/>
      <c r="M31" s="2696"/>
    </row>
    <row r="32" spans="1:37" ht="18" customHeight="1">
      <c r="A32" s="981" t="s">
        <v>397</v>
      </c>
      <c r="B32" s="302" t="s">
        <v>723</v>
      </c>
      <c r="C32" s="21">
        <f ca="1">IF(项目基本情况!B11="自然人","——",ROUND(C6*F32/(1+'数据-取费表'!C42),0))</f>
        <v>6234</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13359</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207</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6.9</v>
      </c>
      <c r="G35" s="1383"/>
      <c r="H35" s="2694"/>
      <c r="I35" s="1397"/>
      <c r="J35" s="1398"/>
      <c r="K35" s="2698"/>
      <c r="L35" s="2697"/>
      <c r="M35" s="2697"/>
    </row>
    <row r="36" spans="1:18" ht="18" customHeight="1">
      <c r="A36" s="1101" t="s">
        <v>402</v>
      </c>
      <c r="B36" s="302" t="s">
        <v>738</v>
      </c>
      <c r="C36" s="21">
        <f ca="1">ROUND(C29*F36,0)</f>
        <v>6481</v>
      </c>
      <c r="D36" s="1343" t="s">
        <v>771</v>
      </c>
      <c r="E36" s="302" t="s">
        <v>712</v>
      </c>
      <c r="F36" s="328">
        <f ca="1">INDIRECT("'数据-取费表'!Ak"&amp;$G$1)</f>
        <v>1.4999999999999999E-2</v>
      </c>
      <c r="G36" s="1383"/>
      <c r="H36" s="2697"/>
      <c r="I36" s="1397"/>
      <c r="J36" s="1398"/>
      <c r="K36" s="2541"/>
      <c r="L36" s="2697"/>
      <c r="M36" s="2697"/>
    </row>
    <row r="37" spans="1:18" ht="18" customHeight="1">
      <c r="A37" s="981" t="s">
        <v>437</v>
      </c>
      <c r="B37" s="302" t="s">
        <v>742</v>
      </c>
      <c r="C37" s="21">
        <f ca="1">ROUND(C13*F37,0)</f>
        <v>443</v>
      </c>
      <c r="D37" s="1343" t="s">
        <v>743</v>
      </c>
      <c r="E37" s="302" t="s">
        <v>744</v>
      </c>
      <c r="F37" s="330">
        <f ca="1">INDIRECT("'数据-取费表'!Al"&amp;$G$1)</f>
        <v>1.5E-3</v>
      </c>
      <c r="G37" s="1383"/>
      <c r="H37" s="2697"/>
      <c r="I37" s="1397"/>
      <c r="J37" s="1398"/>
      <c r="K37" s="2541"/>
      <c r="L37" s="2697"/>
      <c r="M37" s="2697"/>
    </row>
    <row r="38" spans="1:18" ht="18" customHeight="1" thickBot="1">
      <c r="A38" s="1088" t="s">
        <v>684</v>
      </c>
      <c r="B38" s="1089" t="s">
        <v>728</v>
      </c>
      <c r="C38" s="1090">
        <f ca="1">ROUND(C5*F38,0)</f>
        <v>1170</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89140</v>
      </c>
      <c r="D39" s="1094" t="s">
        <v>773</v>
      </c>
      <c r="E39" s="1095"/>
      <c r="F39" s="1096"/>
      <c r="G39" s="1383"/>
      <c r="H39" s="2697"/>
      <c r="I39" s="1397"/>
      <c r="J39" s="1398"/>
      <c r="K39" s="2701"/>
      <c r="L39" s="2697"/>
      <c r="M39" s="2697"/>
    </row>
    <row r="40" spans="1:18" ht="18" customHeight="1">
      <c r="A40" s="299" t="s">
        <v>395</v>
      </c>
      <c r="B40" s="300" t="s">
        <v>774</v>
      </c>
      <c r="C40" s="301">
        <f ca="1">ROUND(C39*(1-((1+F42)/(1+F40))^F41)/(F40-F42),0)</f>
        <v>1425193</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21.28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19025</v>
      </c>
      <c r="D43" s="337" t="s">
        <v>777</v>
      </c>
      <c r="E43" s="338" t="s">
        <v>778</v>
      </c>
      <c r="F43" s="339">
        <f ca="1">INDIRECT("'数据-取费表'!k"&amp;$G$1)</f>
        <v>74.91</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-151.33539999999999</v>
      </c>
      <c r="D45" s="3429" t="s">
        <v>3356</v>
      </c>
      <c r="E45" s="1399"/>
      <c r="F45" s="1399"/>
      <c r="O45" s="1402" t="s">
        <v>808</v>
      </c>
      <c r="P45" s="1460"/>
      <c r="Q45" s="1460"/>
      <c r="R45" s="1460"/>
    </row>
    <row r="46" spans="1:18" s="1383" customFormat="1" ht="13.5" thickBot="1">
      <c r="A46" s="1403" t="s">
        <v>809</v>
      </c>
      <c r="C46" s="1404">
        <f ca="1">ROUND(C45,0)</f>
        <v>-151</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t="s">
        <v>3414</v>
      </c>
      <c r="K47" s="1415" t="s">
        <v>816</v>
      </c>
      <c r="L47" s="1416">
        <f ca="1">INDIRECT("'数据-取费表'!d"&amp;$G$1)</f>
        <v>50</v>
      </c>
      <c r="M47" s="1379" t="str">
        <f>IF(ISNUMBER(FIND("住宅",C1)),"住宅","非住宅")</f>
        <v>非住宅</v>
      </c>
      <c r="O47" s="1417" t="s">
        <v>403</v>
      </c>
      <c r="P47" s="1418" t="s">
        <v>817</v>
      </c>
      <c r="Q47" s="1419">
        <f ca="1">C40+J29</f>
        <v>1425193</v>
      </c>
      <c r="R47" s="1419" t="s">
        <v>818</v>
      </c>
    </row>
    <row r="48" spans="1:18" s="1383" customFormat="1" ht="28.5" thickBot="1">
      <c r="A48" s="1109" t="s">
        <v>438</v>
      </c>
      <c r="B48" s="300" t="s">
        <v>692</v>
      </c>
      <c r="C48" s="1358">
        <f ca="1">C49+C53+C55</f>
        <v>0</v>
      </c>
      <c r="D48" s="1111"/>
      <c r="E48" s="1112"/>
      <c r="F48" s="961"/>
      <c r="G48" s="722"/>
      <c r="H48" s="723"/>
      <c r="I48" s="1420" t="s">
        <v>819</v>
      </c>
      <c r="J48" s="1421" t="s">
        <v>3415</v>
      </c>
      <c r="K48" s="1422" t="s">
        <v>820</v>
      </c>
      <c r="L48" s="1423">
        <f ca="1">INDIRECT("'数据-取费表'!f"&amp;$G$1)</f>
        <v>21.28</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432068</v>
      </c>
      <c r="R49" s="1419" t="s">
        <v>818</v>
      </c>
    </row>
    <row r="50" spans="1:18" s="1383" customFormat="1" ht="13.5" thickBot="1">
      <c r="A50" s="975"/>
      <c r="B50" s="978"/>
      <c r="C50" s="979"/>
      <c r="D50" s="952"/>
      <c r="E50" s="1055" t="s">
        <v>697</v>
      </c>
      <c r="F50" s="1056">
        <f ca="1">F7</f>
        <v>74.91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60</v>
      </c>
      <c r="K51" s="1433" t="s">
        <v>830</v>
      </c>
      <c r="L51" s="1434">
        <f ca="1">ROUND(-PV(INDIRECT("'数据-取费表'!h"&amp;$G$1),J51,(C39-C13*C76),0),0)</f>
        <v>1295758</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21.28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21.28</v>
      </c>
      <c r="K53" s="3639" t="s">
        <v>837</v>
      </c>
      <c r="L53" s="3640"/>
      <c r="O53" s="1417" t="s">
        <v>409</v>
      </c>
      <c r="P53" s="1418" t="s">
        <v>838</v>
      </c>
      <c r="Q53" s="1419">
        <f ca="1">Q47+Q48</f>
        <v>1425193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295535</v>
      </c>
      <c r="D56" s="1446"/>
      <c r="E56" s="1447"/>
      <c r="F56" s="1439"/>
      <c r="I56" s="1448" t="s">
        <v>842</v>
      </c>
      <c r="J56" s="1449" t="s">
        <v>3388</v>
      </c>
      <c r="K56" s="1420" t="s">
        <v>843</v>
      </c>
      <c r="L56" s="1423" t="str">
        <f ca="1">IF(L48&lt;J51,"——",L48-J51)</f>
        <v>——</v>
      </c>
      <c r="O56" s="1417" t="s">
        <v>403</v>
      </c>
      <c r="P56" s="1418" t="s">
        <v>817</v>
      </c>
      <c r="Q56" s="1419">
        <f ca="1">C40+J29</f>
        <v>1425193</v>
      </c>
      <c r="R56" s="1419" t="s">
        <v>818</v>
      </c>
    </row>
    <row r="57" spans="1:18" s="1383" customFormat="1" ht="24.75" thickBot="1">
      <c r="A57" s="1450"/>
      <c r="B57" s="949" t="s">
        <v>767</v>
      </c>
      <c r="C57" s="238">
        <f ca="1">C29</f>
        <v>432068</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7131</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207</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207</v>
      </c>
      <c r="D62" s="964" t="s">
        <v>786</v>
      </c>
      <c r="E62" s="949" t="s">
        <v>787</v>
      </c>
      <c r="F62" s="325">
        <f t="shared" si="0"/>
        <v>30</v>
      </c>
      <c r="I62" s="1461" t="s">
        <v>858</v>
      </c>
      <c r="J62" s="1462" t="s">
        <v>859</v>
      </c>
      <c r="K62" s="1462" t="s">
        <v>860</v>
      </c>
      <c r="L62" s="1462" t="s">
        <v>861</v>
      </c>
      <c r="M62" s="1463" t="s">
        <v>862</v>
      </c>
      <c r="O62" s="1417" t="s">
        <v>409</v>
      </c>
      <c r="P62" s="1418" t="s">
        <v>863</v>
      </c>
      <c r="Q62" s="1419">
        <f ca="1">Q56+Q57</f>
        <v>1425193</v>
      </c>
      <c r="R62" s="1419" t="s">
        <v>410</v>
      </c>
    </row>
    <row r="63" spans="1:18" s="1383" customFormat="1" ht="13.5" thickBot="1">
      <c r="A63" s="326"/>
      <c r="B63" s="955"/>
      <c r="C63" s="26"/>
      <c r="D63" s="965"/>
      <c r="E63" s="949" t="s">
        <v>788</v>
      </c>
      <c r="F63" s="303">
        <f t="shared" ca="1" si="0"/>
        <v>6.9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6481</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443</v>
      </c>
      <c r="D65" s="963" t="s">
        <v>743</v>
      </c>
      <c r="E65" s="949" t="s">
        <v>744</v>
      </c>
      <c r="F65" s="330">
        <f t="shared" ca="1" si="0"/>
        <v>1.5E-3</v>
      </c>
      <c r="I65" s="1461" t="s">
        <v>867</v>
      </c>
      <c r="J65" s="1462">
        <v>40</v>
      </c>
      <c r="K65" s="1462">
        <v>30</v>
      </c>
      <c r="L65" s="1462">
        <v>50</v>
      </c>
      <c r="M65" s="1464">
        <v>0.02</v>
      </c>
      <c r="O65" s="1417" t="s">
        <v>403</v>
      </c>
      <c r="P65" s="1418" t="s">
        <v>868</v>
      </c>
      <c r="Q65" s="1419">
        <f ca="1">C40+J29</f>
        <v>1425193</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-7131</v>
      </c>
      <c r="D67" s="962" t="s">
        <v>753</v>
      </c>
      <c r="E67" s="967"/>
      <c r="F67" s="968"/>
      <c r="O67" s="1427" t="s">
        <v>405</v>
      </c>
      <c r="P67" s="1418" t="s">
        <v>850</v>
      </c>
      <c r="Q67" s="1465">
        <f ca="1">L51</f>
        <v>1295758</v>
      </c>
      <c r="R67" s="1419" t="s">
        <v>870</v>
      </c>
    </row>
    <row r="68" spans="1:18" s="1383" customFormat="1" ht="16.5" thickBot="1">
      <c r="A68" s="946" t="s">
        <v>395</v>
      </c>
      <c r="B68" s="947" t="s">
        <v>774</v>
      </c>
      <c r="C68" s="301">
        <f ca="1">ROUND(C67*(1-((1+F70)/(1+F68))^F69)/(F68-F70),0)</f>
        <v>-88161</v>
      </c>
      <c r="D68" s="964" t="s">
        <v>758</v>
      </c>
      <c r="E68" s="949" t="s">
        <v>759</v>
      </c>
      <c r="F68" s="312">
        <f ca="1">F40</f>
        <v>5.5E-2</v>
      </c>
      <c r="O68" s="1427" t="s">
        <v>406</v>
      </c>
      <c r="P68" s="1466" t="s">
        <v>871</v>
      </c>
      <c r="Q68" s="1419">
        <f ca="1">ROUND(Q69-Q70*Q71,0)</f>
        <v>68453</v>
      </c>
      <c r="R68" s="1419" t="s">
        <v>414</v>
      </c>
    </row>
    <row r="69" spans="1:18" s="1383" customFormat="1" ht="13.5" thickBot="1">
      <c r="A69" s="950"/>
      <c r="B69" s="951"/>
      <c r="C69" s="306"/>
      <c r="D69" s="969" t="s">
        <v>762</v>
      </c>
      <c r="E69" s="949" t="s">
        <v>763</v>
      </c>
      <c r="F69" s="333">
        <f ca="1">F41</f>
        <v>21.28</v>
      </c>
      <c r="O69" s="1427" t="s">
        <v>411</v>
      </c>
      <c r="P69" s="1466" t="s">
        <v>872</v>
      </c>
      <c r="Q69" s="1419">
        <f ca="1">C39</f>
        <v>89140</v>
      </c>
      <c r="R69" s="1419" t="s">
        <v>818</v>
      </c>
    </row>
    <row r="70" spans="1:18" s="1383" customFormat="1" ht="13.5" thickBot="1">
      <c r="A70" s="953"/>
      <c r="B70" s="954"/>
      <c r="C70" s="310"/>
      <c r="D70" s="965"/>
      <c r="E70" s="949" t="s">
        <v>766</v>
      </c>
      <c r="F70" s="1053"/>
      <c r="O70" s="1427" t="s">
        <v>412</v>
      </c>
      <c r="P70" s="1466" t="s">
        <v>873</v>
      </c>
      <c r="Q70" s="1419">
        <f ca="1">C13</f>
        <v>295535</v>
      </c>
      <c r="R70" s="1419" t="s">
        <v>818</v>
      </c>
    </row>
    <row r="71" spans="1:18" s="1383" customFormat="1" ht="13.5" thickBot="1">
      <c r="A71" s="970" t="s">
        <v>396</v>
      </c>
      <c r="B71" s="971" t="s">
        <v>776</v>
      </c>
      <c r="C71" s="336">
        <f ca="1">ROUND(C68/F71,0)</f>
        <v>-1177</v>
      </c>
      <c r="D71" s="972" t="s">
        <v>777</v>
      </c>
      <c r="E71" s="973" t="s">
        <v>778</v>
      </c>
      <c r="F71" s="339">
        <f ca="1">F43</f>
        <v>74.91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20687</v>
      </c>
      <c r="D75" s="1383"/>
      <c r="E75" s="1383"/>
      <c r="F75" s="1383"/>
      <c r="K75" s="1401"/>
      <c r="L75" s="1383"/>
      <c r="O75" s="1417" t="s">
        <v>409</v>
      </c>
      <c r="P75" s="1418" t="s">
        <v>838</v>
      </c>
      <c r="Q75" s="1419">
        <f ca="1">Q65+Q66</f>
        <v>1425193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0.79300000000000004</v>
      </c>
    </row>
    <row r="83" spans="2:3">
      <c r="B83" s="273" t="s">
        <v>803</v>
      </c>
      <c r="C83" s="274">
        <f ca="1">ROUND(C13/C40,3)</f>
        <v>0.20699999999999999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3362</v>
      </c>
      <c r="E2" s="3441"/>
      <c r="F2" s="2843"/>
      <c r="G2" s="2844"/>
      <c r="H2" s="2845"/>
      <c r="I2" s="2846"/>
      <c r="J2" s="3663" t="s">
        <v>2316</v>
      </c>
      <c r="K2" s="3664"/>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65" t="s">
        <v>2326</v>
      </c>
      <c r="K3" s="3666"/>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65" t="s">
        <v>2328</v>
      </c>
      <c r="K4" s="3666"/>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67" t="s">
        <v>2332</v>
      </c>
      <c r="B6" s="3668"/>
      <c r="C6" s="3669"/>
      <c r="D6" s="2867"/>
      <c r="E6" s="2868"/>
      <c r="F6" s="2869"/>
      <c r="G6" s="2870"/>
      <c r="H6" s="2845"/>
      <c r="I6" s="2846"/>
      <c r="J6" s="3670">
        <v>1</v>
      </c>
      <c r="K6" s="3671"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70"/>
      <c r="K7" s="3672"/>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74" t="s">
        <v>2346</v>
      </c>
      <c r="C8" s="3675"/>
      <c r="D8" s="2886" t="s">
        <v>2347</v>
      </c>
      <c r="E8" s="2887" t="s">
        <v>2348</v>
      </c>
      <c r="F8" s="2888" t="s">
        <v>2349</v>
      </c>
      <c r="G8" s="2889"/>
      <c r="H8" s="2845"/>
      <c r="I8" s="2846"/>
      <c r="J8" s="3670"/>
      <c r="K8" s="3672"/>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74" t="s">
        <v>2352</v>
      </c>
      <c r="C9" s="3675"/>
      <c r="D9" s="2886">
        <f>ROUND(D6*E9,0)</f>
        <v>0</v>
      </c>
      <c r="E9" s="2890"/>
      <c r="F9" s="2891" t="s">
        <v>2353</v>
      </c>
      <c r="G9" s="2870"/>
      <c r="H9" s="2845"/>
      <c r="I9" s="2846"/>
      <c r="J9" s="3670"/>
      <c r="K9" s="3672"/>
      <c r="L9" s="2880" t="s">
        <v>2354</v>
      </c>
      <c r="M9" s="2881"/>
      <c r="N9" s="2857"/>
      <c r="O9" s="2882"/>
      <c r="P9" s="2882"/>
      <c r="Q9" s="2883">
        <v>365</v>
      </c>
      <c r="R9" s="2884">
        <f t="shared" si="0"/>
        <v>0</v>
      </c>
      <c r="S9" s="2838"/>
      <c r="T9" s="2838"/>
      <c r="U9" s="2838"/>
      <c r="V9" s="2846"/>
    </row>
    <row r="10" spans="1:22" s="2850" customFormat="1" ht="13.15" customHeight="1">
      <c r="A10" s="2885">
        <v>2</v>
      </c>
      <c r="B10" s="3674" t="s">
        <v>2355</v>
      </c>
      <c r="C10" s="3675"/>
      <c r="D10" s="2886">
        <f>ROUND(D6*E10,0)</f>
        <v>0</v>
      </c>
      <c r="E10" s="2890"/>
      <c r="F10" s="2891" t="s">
        <v>2356</v>
      </c>
      <c r="G10" s="2870"/>
      <c r="H10" s="2845"/>
      <c r="I10" s="2846"/>
      <c r="J10" s="3670"/>
      <c r="K10" s="3672"/>
      <c r="L10" s="2880" t="s">
        <v>2357</v>
      </c>
      <c r="M10" s="2881"/>
      <c r="N10" s="2857"/>
      <c r="O10" s="2882"/>
      <c r="P10" s="2882"/>
      <c r="Q10" s="2883">
        <v>365</v>
      </c>
      <c r="R10" s="2884">
        <f t="shared" si="0"/>
        <v>0</v>
      </c>
      <c r="S10" s="2838"/>
      <c r="T10" s="2838"/>
      <c r="U10" s="2838"/>
      <c r="V10" s="2846"/>
    </row>
    <row r="11" spans="1:22" s="2850" customFormat="1" ht="13.15" customHeight="1">
      <c r="A11" s="2885">
        <v>3</v>
      </c>
      <c r="B11" s="3674" t="s">
        <v>2358</v>
      </c>
      <c r="C11" s="3675"/>
      <c r="D11" s="2886">
        <f>D12+D14+D15+D16</f>
        <v>0</v>
      </c>
      <c r="E11" s="2892" t="e">
        <f>D11/D6</f>
        <v>#DIV/0!</v>
      </c>
      <c r="F11" s="2888"/>
      <c r="G11" s="2889"/>
      <c r="H11" s="2845"/>
      <c r="I11" s="2846"/>
      <c r="J11" s="3670"/>
      <c r="K11" s="3672"/>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76" t="s">
        <v>2361</v>
      </c>
      <c r="C12" s="3677"/>
      <c r="D12" s="2894">
        <f>ROUND(D13*1.2%*(1-30%),0)</f>
        <v>0</v>
      </c>
      <c r="E12" s="2895">
        <v>1.2E-2</v>
      </c>
      <c r="F12" s="2888" t="s">
        <v>2362</v>
      </c>
      <c r="G12" s="2889"/>
      <c r="H12" s="2845"/>
      <c r="I12" s="2846"/>
      <c r="J12" s="3670"/>
      <c r="K12" s="3672"/>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70"/>
      <c r="K13" s="3672"/>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76" t="s">
        <v>2367</v>
      </c>
      <c r="C14" s="3677"/>
      <c r="D14" s="2894">
        <f>ROUND(E14*B5/10000,0)</f>
        <v>0</v>
      </c>
      <c r="E14" s="2883"/>
      <c r="F14" s="2888" t="s">
        <v>2368</v>
      </c>
      <c r="G14" s="2889"/>
      <c r="H14" s="2845"/>
      <c r="I14" s="2846"/>
      <c r="J14" s="3670"/>
      <c r="K14" s="3673"/>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76" t="s">
        <v>2371</v>
      </c>
      <c r="C15" s="3677"/>
      <c r="D15" s="2894">
        <f>ROUND(D6*E15,0)</f>
        <v>0</v>
      </c>
      <c r="E15" s="2895">
        <v>5.5E-2</v>
      </c>
      <c r="F15" s="2888" t="s">
        <v>2372</v>
      </c>
      <c r="G15" s="2870"/>
      <c r="H15" s="2845"/>
      <c r="I15" s="2846"/>
      <c r="J15" s="3670">
        <v>2</v>
      </c>
      <c r="K15" s="3671"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76" t="s">
        <v>2380</v>
      </c>
      <c r="C16" s="3677"/>
      <c r="D16" s="2905">
        <f>D6*E16</f>
        <v>0</v>
      </c>
      <c r="E16" s="2906"/>
      <c r="F16" s="2891" t="s">
        <v>2381</v>
      </c>
      <c r="G16" s="2870"/>
      <c r="H16" s="2845"/>
      <c r="I16" s="2846"/>
      <c r="J16" s="3670"/>
      <c r="K16" s="3672"/>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78" t="s">
        <v>2383</v>
      </c>
      <c r="C17" s="3679"/>
      <c r="D17" s="2908">
        <f>ROUND(D6*E17,0)</f>
        <v>0</v>
      </c>
      <c r="E17" s="2909"/>
      <c r="F17" s="2910" t="s">
        <v>2384</v>
      </c>
      <c r="G17" s="2870"/>
      <c r="H17" s="2845"/>
      <c r="I17" s="2846"/>
      <c r="J17" s="3670"/>
      <c r="K17" s="3672"/>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70"/>
      <c r="K18" s="3672"/>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70"/>
      <c r="K19" s="3673"/>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0">
        <v>3</v>
      </c>
      <c r="K20" s="3671"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70"/>
      <c r="K21" s="3672"/>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70"/>
      <c r="K22" s="3672"/>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70"/>
      <c r="K23" s="3672"/>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70"/>
      <c r="K24" s="3673"/>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80">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8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63" t="s">
        <v>2316</v>
      </c>
      <c r="K32" s="3664"/>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65" t="s">
        <v>2326</v>
      </c>
      <c r="K33" s="3666"/>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65" t="s">
        <v>2328</v>
      </c>
      <c r="K34" s="366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70">
        <v>1</v>
      </c>
      <c r="K36" s="3671"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70"/>
      <c r="K37" s="3672"/>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0"/>
      <c r="K38" s="3672"/>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70"/>
      <c r="K39" s="3672"/>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70"/>
      <c r="K40" s="3673"/>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0">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8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142.51929999999999</v>
      </c>
      <c r="C2" s="1871" t="s">
        <v>1651</v>
      </c>
      <c r="D2" s="1872" t="s">
        <v>1652</v>
      </c>
      <c r="E2" s="2604">
        <f>SUM(E6:E13)</f>
        <v>74.91</v>
      </c>
      <c r="F2" s="2704"/>
      <c r="G2" s="1488"/>
      <c r="H2" s="1488"/>
      <c r="I2" s="1488"/>
      <c r="J2" s="1488"/>
      <c r="K2" s="1488"/>
      <c r="L2" s="1488"/>
      <c r="M2" s="1488"/>
      <c r="N2" s="1488"/>
      <c r="O2" s="1488"/>
      <c r="P2" s="1488"/>
      <c r="Q2" s="1488"/>
      <c r="R2" s="1488"/>
      <c r="S2" s="1488"/>
    </row>
    <row r="3" spans="1:22" ht="15.75">
      <c r="A3" s="1869" t="s">
        <v>686</v>
      </c>
      <c r="B3" s="2598">
        <f ca="1">ROUND(B2*10000/E2,0)</f>
        <v>19025</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682" t="s">
        <v>1654</v>
      </c>
      <c r="C5" s="3683"/>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142.51929999999999</v>
      </c>
      <c r="C6" s="1871" t="s">
        <v>1651</v>
      </c>
      <c r="D6" s="2706"/>
      <c r="E6" s="2603">
        <f>IF(OR(A6=0,F6="否"),0,'数据-取费表'!K6+'数据-取费表'!S6)</f>
        <v>74.91</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74.91</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02" t="s">
        <v>1667</v>
      </c>
      <c r="D4" s="3703"/>
      <c r="E4" s="3704" t="s">
        <v>1668</v>
      </c>
      <c r="F4" s="3705"/>
      <c r="G4" s="3702" t="s">
        <v>1669</v>
      </c>
      <c r="H4" s="3703"/>
      <c r="I4" s="3702" t="s">
        <v>1670</v>
      </c>
      <c r="J4" s="3703"/>
      <c r="K4" s="1888" t="s">
        <v>1671</v>
      </c>
      <c r="L4" s="2712"/>
      <c r="M4" s="2713"/>
      <c r="N4" s="2713"/>
      <c r="O4" s="2713"/>
      <c r="P4" s="3706" t="s">
        <v>1672</v>
      </c>
      <c r="Q4" s="3707"/>
      <c r="R4" s="3689" t="s">
        <v>1668</v>
      </c>
      <c r="S4" s="3690"/>
      <c r="T4" s="3689" t="s">
        <v>1669</v>
      </c>
      <c r="U4" s="3690"/>
      <c r="V4" s="3714" t="s">
        <v>1670</v>
      </c>
      <c r="W4" s="3714"/>
      <c r="X4" s="1354"/>
      <c r="Y4" s="3689" t="s">
        <v>1672</v>
      </c>
      <c r="Z4" s="3690"/>
      <c r="AA4" s="3684" t="s">
        <v>1668</v>
      </c>
      <c r="AB4" s="3684" t="s">
        <v>1669</v>
      </c>
      <c r="AC4" s="3684" t="s">
        <v>1670</v>
      </c>
    </row>
    <row r="5" spans="1:29" ht="15">
      <c r="A5" s="358"/>
      <c r="B5" s="359"/>
      <c r="C5" s="3695" t="s">
        <v>1673</v>
      </c>
      <c r="D5" s="3696"/>
      <c r="E5" s="3693" t="s">
        <v>1674</v>
      </c>
      <c r="F5" s="3694"/>
      <c r="G5" s="3695" t="s">
        <v>1675</v>
      </c>
      <c r="H5" s="3696"/>
      <c r="I5" s="3695" t="s">
        <v>1676</v>
      </c>
      <c r="J5" s="3696"/>
      <c r="K5" s="1889"/>
      <c r="L5" s="2712"/>
      <c r="M5" s="2713"/>
      <c r="N5" s="2713"/>
      <c r="O5" s="2713"/>
      <c r="P5" s="3708"/>
      <c r="Q5" s="3709"/>
      <c r="R5" s="3691"/>
      <c r="S5" s="3692"/>
      <c r="T5" s="3691"/>
      <c r="U5" s="3692"/>
      <c r="V5" s="3714"/>
      <c r="W5" s="3714"/>
      <c r="X5" s="1354"/>
      <c r="Y5" s="3691"/>
      <c r="Z5" s="3692"/>
      <c r="AA5" s="3685"/>
      <c r="AB5" s="3685"/>
      <c r="AC5" s="3685"/>
    </row>
    <row r="6" spans="1:29" ht="15.75" thickBot="1">
      <c r="A6" s="360"/>
      <c r="B6" s="361"/>
      <c r="C6" s="3697" t="s">
        <v>1677</v>
      </c>
      <c r="D6" s="3698"/>
      <c r="E6" s="3699" t="s">
        <v>1677</v>
      </c>
      <c r="F6" s="3700"/>
      <c r="G6" s="3697" t="s">
        <v>1677</v>
      </c>
      <c r="H6" s="3698"/>
      <c r="I6" s="3697" t="s">
        <v>1677</v>
      </c>
      <c r="J6" s="3698"/>
      <c r="K6" s="1889" t="s">
        <v>1678</v>
      </c>
      <c r="L6" s="2712"/>
      <c r="M6" s="2713"/>
      <c r="N6" s="2713"/>
      <c r="O6" s="27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87" t="s">
        <v>1680</v>
      </c>
      <c r="Q7" s="3715"/>
      <c r="R7" s="701" t="s">
        <v>20</v>
      </c>
      <c r="S7" s="702">
        <f t="shared" ref="S7:S15" si="0">F7</f>
        <v>0</v>
      </c>
      <c r="T7" s="701" t="s">
        <v>20</v>
      </c>
      <c r="U7" s="702">
        <f t="shared" ref="U7:U15" si="1">H7</f>
        <v>0</v>
      </c>
      <c r="V7" s="701" t="s">
        <v>20</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87" t="s">
        <v>1683</v>
      </c>
      <c r="Q8" s="3688"/>
      <c r="R8" s="701" t="s">
        <v>20</v>
      </c>
      <c r="S8" s="702">
        <f t="shared" si="0"/>
        <v>100</v>
      </c>
      <c r="T8" s="701" t="s">
        <v>20</v>
      </c>
      <c r="U8" s="702">
        <f t="shared" si="1"/>
        <v>100</v>
      </c>
      <c r="V8" s="701" t="s">
        <v>20</v>
      </c>
      <c r="W8" s="702">
        <f t="shared" si="2"/>
        <v>100</v>
      </c>
      <c r="X8" s="703"/>
      <c r="Y8" s="3687"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01"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701"/>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01"/>
      <c r="Q11" s="1342"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01"/>
      <c r="Q12" s="1342">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01"/>
      <c r="Q13" s="1342">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01"/>
      <c r="Q14" s="1342">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1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8" t="s">
        <v>1691</v>
      </c>
      <c r="Q15" s="1351" t="str">
        <f t="shared" si="6"/>
        <v>居住社区成熟度</v>
      </c>
      <c r="R15" s="705" t="s">
        <v>18</v>
      </c>
      <c r="S15" s="706">
        <f t="shared" si="0"/>
        <v>100</v>
      </c>
      <c r="T15" s="705" t="s">
        <v>18</v>
      </c>
      <c r="U15" s="706">
        <f t="shared" si="1"/>
        <v>100</v>
      </c>
      <c r="V15" s="705" t="s">
        <v>18</v>
      </c>
      <c r="W15" s="706">
        <f t="shared" si="2"/>
        <v>100</v>
      </c>
      <c r="X15" s="1354"/>
      <c r="Y15" s="372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29"/>
      <c r="Q16" s="1351"/>
      <c r="R16" s="705"/>
      <c r="S16" s="706"/>
      <c r="T16" s="705"/>
      <c r="U16" s="706"/>
      <c r="V16" s="705"/>
      <c r="W16" s="706"/>
      <c r="X16" s="1354"/>
      <c r="Y16" s="3722"/>
      <c r="Z16" s="1355"/>
      <c r="AA16" s="1352">
        <v>1</v>
      </c>
      <c r="AB16" s="1352">
        <v>1</v>
      </c>
      <c r="AC16" s="1352">
        <v>1</v>
      </c>
    </row>
    <row r="17" spans="1:29" ht="15">
      <c r="A17" s="379"/>
      <c r="B17" s="402" t="s">
        <v>1259</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9"/>
      <c r="Q17" s="1351" t="str">
        <f>B17</f>
        <v>交通便捷度</v>
      </c>
      <c r="R17" s="705" t="s">
        <v>18</v>
      </c>
      <c r="S17" s="706">
        <f>F17</f>
        <v>100</v>
      </c>
      <c r="T17" s="705" t="s">
        <v>18</v>
      </c>
      <c r="U17" s="706">
        <f>H17</f>
        <v>100</v>
      </c>
      <c r="V17" s="705" t="s">
        <v>18</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29"/>
      <c r="Q18" s="1351"/>
      <c r="R18" s="705"/>
      <c r="S18" s="706"/>
      <c r="T18" s="705"/>
      <c r="U18" s="706"/>
      <c r="V18" s="705"/>
      <c r="W18" s="706"/>
      <c r="X18" s="1354"/>
      <c r="Y18" s="3722"/>
      <c r="Z18" s="1355"/>
      <c r="AA18" s="1352">
        <v>1</v>
      </c>
      <c r="AB18" s="1352">
        <v>1</v>
      </c>
      <c r="AC18" s="1352">
        <v>1</v>
      </c>
    </row>
    <row r="19" spans="1:29" ht="15">
      <c r="A19" s="379"/>
      <c r="B19" s="402" t="s">
        <v>1258</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9"/>
      <c r="Q19" s="1351" t="str">
        <f>B19</f>
        <v>公共配套设施</v>
      </c>
      <c r="R19" s="705" t="s">
        <v>18</v>
      </c>
      <c r="S19" s="706">
        <f>F19</f>
        <v>100</v>
      </c>
      <c r="T19" s="705" t="s">
        <v>18</v>
      </c>
      <c r="U19" s="706">
        <f>H19</f>
        <v>100</v>
      </c>
      <c r="V19" s="705" t="s">
        <v>18</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29"/>
      <c r="Q20" s="1351"/>
      <c r="R20" s="705"/>
      <c r="S20" s="706"/>
      <c r="T20" s="705"/>
      <c r="U20" s="706"/>
      <c r="V20" s="705"/>
      <c r="W20" s="706"/>
      <c r="X20" s="1354"/>
      <c r="Y20" s="3722"/>
      <c r="Z20" s="1355"/>
      <c r="AA20" s="1352">
        <v>1</v>
      </c>
      <c r="AB20" s="1352">
        <v>1</v>
      </c>
      <c r="AC20" s="1352">
        <v>1</v>
      </c>
    </row>
    <row r="21" spans="1:29" ht="15">
      <c r="A21" s="379"/>
      <c r="B21" s="1130"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29"/>
      <c r="Q22" s="1351"/>
      <c r="R22" s="705"/>
      <c r="S22" s="706"/>
      <c r="T22" s="705"/>
      <c r="U22" s="706"/>
      <c r="V22" s="705"/>
      <c r="W22" s="706"/>
      <c r="X22" s="1354"/>
      <c r="Y22" s="3722"/>
      <c r="Z22" s="1355"/>
      <c r="AA22" s="1352">
        <v>1</v>
      </c>
      <c r="AB22" s="1352">
        <v>1</v>
      </c>
      <c r="AC22" s="1352">
        <v>1</v>
      </c>
    </row>
    <row r="23" spans="1:29" ht="15">
      <c r="A23" s="379"/>
      <c r="B23" s="402" t="s">
        <v>1261</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9"/>
      <c r="Q23" s="1351" t="str">
        <f>B23</f>
        <v>自然及人文环境</v>
      </c>
      <c r="R23" s="705" t="s">
        <v>18</v>
      </c>
      <c r="S23" s="706">
        <f>F23</f>
        <v>100</v>
      </c>
      <c r="T23" s="705" t="s">
        <v>18</v>
      </c>
      <c r="U23" s="706">
        <f>H23</f>
        <v>100</v>
      </c>
      <c r="V23" s="705" t="s">
        <v>18</v>
      </c>
      <c r="W23" s="706">
        <f>J23</f>
        <v>100</v>
      </c>
      <c r="X23" s="1354"/>
      <c r="Y23" s="372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29"/>
      <c r="Q24" s="1351"/>
      <c r="R24" s="705"/>
      <c r="S24" s="706"/>
      <c r="T24" s="705"/>
      <c r="U24" s="706"/>
      <c r="V24" s="705"/>
      <c r="W24" s="706"/>
      <c r="X24" s="1354"/>
      <c r="Y24" s="372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2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29"/>
      <c r="Q26" s="1351" t="str">
        <f t="shared" si="11"/>
        <v>朝向</v>
      </c>
      <c r="R26" s="705" t="s">
        <v>18</v>
      </c>
      <c r="S26" s="706">
        <f t="shared" si="12"/>
        <v>100</v>
      </c>
      <c r="T26" s="705" t="s">
        <v>18</v>
      </c>
      <c r="U26" s="706">
        <f t="shared" si="13"/>
        <v>100</v>
      </c>
      <c r="V26" s="705" t="s">
        <v>18</v>
      </c>
      <c r="W26" s="706">
        <f t="shared" si="14"/>
        <v>100</v>
      </c>
      <c r="X26" s="1354"/>
      <c r="Y26" s="372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29"/>
      <c r="Q27" s="1342">
        <f t="shared" si="11"/>
        <v>111</v>
      </c>
      <c r="R27" s="701" t="s">
        <v>18</v>
      </c>
      <c r="S27" s="702">
        <f t="shared" si="12"/>
        <v>100</v>
      </c>
      <c r="T27" s="701" t="s">
        <v>18</v>
      </c>
      <c r="U27" s="702">
        <f t="shared" si="13"/>
        <v>100</v>
      </c>
      <c r="V27" s="701" t="s">
        <v>18</v>
      </c>
      <c r="W27" s="702">
        <f t="shared" si="14"/>
        <v>100</v>
      </c>
      <c r="X27" s="703"/>
      <c r="Y27" s="372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29"/>
      <c r="Q28" s="1351">
        <f t="shared" si="11"/>
        <v>111</v>
      </c>
      <c r="R28" s="705" t="s">
        <v>18</v>
      </c>
      <c r="S28" s="706">
        <f t="shared" si="12"/>
        <v>100</v>
      </c>
      <c r="T28" s="705" t="s">
        <v>18</v>
      </c>
      <c r="U28" s="706">
        <f t="shared" si="13"/>
        <v>100</v>
      </c>
      <c r="V28" s="705" t="s">
        <v>18</v>
      </c>
      <c r="W28" s="706">
        <f t="shared" si="14"/>
        <v>100</v>
      </c>
      <c r="X28" s="1354"/>
      <c r="Y28" s="372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29"/>
      <c r="Q29" s="1351">
        <f t="shared" si="11"/>
        <v>111</v>
      </c>
      <c r="R29" s="705" t="s">
        <v>18</v>
      </c>
      <c r="S29" s="706">
        <f t="shared" si="12"/>
        <v>100</v>
      </c>
      <c r="T29" s="705" t="s">
        <v>18</v>
      </c>
      <c r="U29" s="706">
        <f t="shared" si="13"/>
        <v>100</v>
      </c>
      <c r="V29" s="705" t="s">
        <v>18</v>
      </c>
      <c r="W29" s="706">
        <f t="shared" si="14"/>
        <v>100</v>
      </c>
      <c r="X29" s="1354"/>
      <c r="Y29" s="372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29"/>
      <c r="Q30" s="1351">
        <f t="shared" si="11"/>
        <v>111</v>
      </c>
      <c r="R30" s="705" t="s">
        <v>18</v>
      </c>
      <c r="S30" s="706">
        <f t="shared" si="12"/>
        <v>100</v>
      </c>
      <c r="T30" s="705" t="s">
        <v>18</v>
      </c>
      <c r="U30" s="706">
        <f t="shared" si="13"/>
        <v>100</v>
      </c>
      <c r="V30" s="705" t="s">
        <v>18</v>
      </c>
      <c r="W30" s="706">
        <f t="shared" si="14"/>
        <v>100</v>
      </c>
      <c r="X30" s="1354"/>
      <c r="Y30" s="372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29"/>
      <c r="Q31" s="1351">
        <f t="shared" si="11"/>
        <v>111</v>
      </c>
      <c r="R31" s="705" t="s">
        <v>18</v>
      </c>
      <c r="S31" s="706">
        <f t="shared" si="12"/>
        <v>100</v>
      </c>
      <c r="T31" s="705" t="s">
        <v>18</v>
      </c>
      <c r="U31" s="706">
        <f t="shared" si="13"/>
        <v>100</v>
      </c>
      <c r="V31" s="705" t="s">
        <v>18</v>
      </c>
      <c r="W31" s="706">
        <f t="shared" si="14"/>
        <v>100</v>
      </c>
      <c r="X31" s="1354"/>
      <c r="Y31" s="372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23" t="s">
        <v>1696</v>
      </c>
      <c r="Q32" s="1351" t="str">
        <f t="shared" si="11"/>
        <v>建筑类型</v>
      </c>
      <c r="R32" s="705" t="s">
        <v>18</v>
      </c>
      <c r="S32" s="706">
        <f t="shared" si="12"/>
        <v>100</v>
      </c>
      <c r="T32" s="705" t="s">
        <v>18</v>
      </c>
      <c r="U32" s="706">
        <f t="shared" si="13"/>
        <v>100</v>
      </c>
      <c r="V32" s="705" t="s">
        <v>18</v>
      </c>
      <c r="W32" s="706">
        <f t="shared" si="14"/>
        <v>100</v>
      </c>
      <c r="X32" s="1354"/>
      <c r="Y32" s="372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24"/>
      <c r="Q34" s="1351" t="str">
        <f t="shared" si="11"/>
        <v>建筑结构</v>
      </c>
      <c r="R34" s="705" t="s">
        <v>18</v>
      </c>
      <c r="S34" s="706">
        <f t="shared" si="12"/>
        <v>100</v>
      </c>
      <c r="T34" s="705" t="s">
        <v>18</v>
      </c>
      <c r="U34" s="706">
        <f t="shared" si="13"/>
        <v>100</v>
      </c>
      <c r="V34" s="705" t="s">
        <v>18</v>
      </c>
      <c r="W34" s="706">
        <f t="shared" si="14"/>
        <v>100</v>
      </c>
      <c r="X34" s="1354"/>
      <c r="Y34" s="372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24"/>
      <c r="Q35" s="1351" t="str">
        <f t="shared" si="11"/>
        <v>建筑品质</v>
      </c>
      <c r="R35" s="705" t="s">
        <v>18</v>
      </c>
      <c r="S35" s="706">
        <f t="shared" si="12"/>
        <v>100</v>
      </c>
      <c r="T35" s="705" t="s">
        <v>18</v>
      </c>
      <c r="U35" s="706">
        <f t="shared" si="13"/>
        <v>100</v>
      </c>
      <c r="V35" s="705" t="s">
        <v>18</v>
      </c>
      <c r="W35" s="706">
        <f t="shared" si="14"/>
        <v>100</v>
      </c>
      <c r="X35" s="1354"/>
      <c r="Y35" s="372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24"/>
      <c r="Q36" s="1351" t="str">
        <f t="shared" si="11"/>
        <v>公共部分装修</v>
      </c>
      <c r="R36" s="705" t="s">
        <v>18</v>
      </c>
      <c r="S36" s="706">
        <f t="shared" si="12"/>
        <v>100</v>
      </c>
      <c r="T36" s="705" t="s">
        <v>18</v>
      </c>
      <c r="U36" s="706">
        <f t="shared" si="13"/>
        <v>100</v>
      </c>
      <c r="V36" s="705" t="s">
        <v>18</v>
      </c>
      <c r="W36" s="706">
        <f t="shared" si="14"/>
        <v>100</v>
      </c>
      <c r="X36" s="1354"/>
      <c r="Y36" s="372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4"/>
      <c r="Q37" s="1342"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24" t="s">
        <v>1696</v>
      </c>
      <c r="Q38" s="1351" t="str">
        <f t="shared" si="11"/>
        <v>物业管理</v>
      </c>
      <c r="R38" s="705" t="s">
        <v>18</v>
      </c>
      <c r="S38" s="706">
        <f t="shared" si="12"/>
        <v>100</v>
      </c>
      <c r="T38" s="705" t="s">
        <v>18</v>
      </c>
      <c r="U38" s="706">
        <f t="shared" si="13"/>
        <v>100</v>
      </c>
      <c r="V38" s="705" t="s">
        <v>18</v>
      </c>
      <c r="W38" s="706">
        <f t="shared" si="14"/>
        <v>100</v>
      </c>
      <c r="X38" s="1354"/>
      <c r="Y38" s="372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24"/>
      <c r="Q39" s="1351" t="str">
        <f t="shared" si="11"/>
        <v>市政基础设施</v>
      </c>
      <c r="R39" s="705" t="s">
        <v>18</v>
      </c>
      <c r="S39" s="706">
        <f t="shared" si="12"/>
        <v>100</v>
      </c>
      <c r="T39" s="705" t="s">
        <v>18</v>
      </c>
      <c r="U39" s="706">
        <f t="shared" si="13"/>
        <v>100</v>
      </c>
      <c r="V39" s="705" t="s">
        <v>18</v>
      </c>
      <c r="W39" s="706">
        <f t="shared" si="14"/>
        <v>100</v>
      </c>
      <c r="X39" s="1354"/>
      <c r="Y39" s="372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24"/>
      <c r="Q40" s="1351" t="str">
        <f t="shared" si="11"/>
        <v>房型</v>
      </c>
      <c r="R40" s="705" t="s">
        <v>18</v>
      </c>
      <c r="S40" s="706">
        <f t="shared" si="12"/>
        <v>100</v>
      </c>
      <c r="T40" s="705" t="s">
        <v>18</v>
      </c>
      <c r="U40" s="706">
        <f t="shared" si="13"/>
        <v>100</v>
      </c>
      <c r="V40" s="705" t="s">
        <v>18</v>
      </c>
      <c r="W40" s="706">
        <f t="shared" si="14"/>
        <v>100</v>
      </c>
      <c r="X40" s="1354"/>
      <c r="Y40" s="372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24"/>
      <c r="Q42" s="1351" t="str">
        <f t="shared" si="11"/>
        <v>内部装修</v>
      </c>
      <c r="R42" s="705" t="s">
        <v>18</v>
      </c>
      <c r="S42" s="706">
        <f t="shared" si="12"/>
        <v>100</v>
      </c>
      <c r="T42" s="705" t="s">
        <v>18</v>
      </c>
      <c r="U42" s="706">
        <f t="shared" si="13"/>
        <v>100</v>
      </c>
      <c r="V42" s="705" t="s">
        <v>18</v>
      </c>
      <c r="W42" s="706">
        <f t="shared" si="14"/>
        <v>100</v>
      </c>
      <c r="X42" s="1354"/>
      <c r="Y42" s="372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24"/>
      <c r="Q43" s="1351" t="str">
        <f t="shared" si="11"/>
        <v>内部装修维护情况</v>
      </c>
      <c r="R43" s="705" t="s">
        <v>18</v>
      </c>
      <c r="S43" s="706">
        <f t="shared" si="12"/>
        <v>100</v>
      </c>
      <c r="T43" s="705" t="s">
        <v>18</v>
      </c>
      <c r="U43" s="706">
        <f t="shared" si="13"/>
        <v>100</v>
      </c>
      <c r="V43" s="705" t="s">
        <v>18</v>
      </c>
      <c r="W43" s="706">
        <f t="shared" si="14"/>
        <v>100</v>
      </c>
      <c r="X43" s="1354"/>
      <c r="Y43" s="372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24"/>
      <c r="Q44" s="1342">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24"/>
      <c r="Q45" s="1351">
        <f t="shared" si="11"/>
        <v>111</v>
      </c>
      <c r="R45" s="705" t="s">
        <v>18</v>
      </c>
      <c r="S45" s="706">
        <f t="shared" si="12"/>
        <v>100</v>
      </c>
      <c r="T45" s="705" t="s">
        <v>18</v>
      </c>
      <c r="U45" s="706">
        <f t="shared" si="13"/>
        <v>100</v>
      </c>
      <c r="V45" s="705" t="s">
        <v>18</v>
      </c>
      <c r="W45" s="706">
        <f t="shared" si="14"/>
        <v>100</v>
      </c>
      <c r="X45" s="1354"/>
      <c r="Y45" s="372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25"/>
      <c r="Q46" s="1351">
        <f t="shared" si="11"/>
        <v>111</v>
      </c>
      <c r="R46" s="705" t="s">
        <v>17</v>
      </c>
      <c r="S46" s="706">
        <f t="shared" si="12"/>
        <v>100</v>
      </c>
      <c r="T46" s="705" t="s">
        <v>17</v>
      </c>
      <c r="U46" s="706">
        <f t="shared" si="13"/>
        <v>100</v>
      </c>
      <c r="V46" s="705" t="s">
        <v>17</v>
      </c>
      <c r="W46" s="706">
        <f t="shared" si="14"/>
        <v>100</v>
      </c>
      <c r="X46" s="1354"/>
      <c r="Y46" s="372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1"/>
      <c r="M49" s="2722"/>
      <c r="N49" s="2722"/>
      <c r="O49" s="2722"/>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0"/>
      <c r="L57" s="941"/>
      <c r="M57" s="939"/>
      <c r="N57" s="939"/>
      <c r="O57" s="939"/>
      <c r="P57" s="1917"/>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74.91</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714"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714"/>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4"/>
      <c r="Y6" s="3712"/>
      <c r="Z6" s="3713"/>
      <c r="AA6" s="3686"/>
      <c r="AB6" s="3714"/>
      <c r="AC6" s="3686"/>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01"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01"/>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01"/>
      <c r="Q11" s="1342"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01"/>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01"/>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01"/>
      <c r="Q14" s="1342">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15">
      <c r="A15" s="391" t="s">
        <v>1690</v>
      </c>
      <c r="B15" s="61" t="s">
        <v>1777</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28" t="s">
        <v>1691</v>
      </c>
      <c r="Q15" s="1351" t="str">
        <f t="shared" si="6"/>
        <v>商业繁华度</v>
      </c>
      <c r="R15" s="705" t="s">
        <v>14</v>
      </c>
      <c r="S15" s="706">
        <f t="shared" si="0"/>
        <v>100</v>
      </c>
      <c r="T15" s="705" t="s">
        <v>14</v>
      </c>
      <c r="U15" s="706">
        <f t="shared" si="1"/>
        <v>100</v>
      </c>
      <c r="V15" s="705" t="s">
        <v>14</v>
      </c>
      <c r="W15" s="706">
        <f t="shared" si="2"/>
        <v>100</v>
      </c>
      <c r="X15" s="1354"/>
      <c r="Y15" s="372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29"/>
      <c r="Q16" s="1351"/>
      <c r="R16" s="705"/>
      <c r="S16" s="706"/>
      <c r="T16" s="705"/>
      <c r="U16" s="706"/>
      <c r="V16" s="705"/>
      <c r="W16" s="706"/>
      <c r="X16" s="1354"/>
      <c r="Y16" s="3722"/>
      <c r="Z16" s="1355"/>
      <c r="AA16" s="1352">
        <v>1</v>
      </c>
      <c r="AB16" s="1352">
        <v>1</v>
      </c>
      <c r="AC16" s="1352">
        <v>1</v>
      </c>
    </row>
    <row r="17" spans="1:29" ht="15">
      <c r="A17" s="379"/>
      <c r="B17" s="402" t="s">
        <v>1259</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729"/>
      <c r="Q18" s="1351"/>
      <c r="R18" s="705"/>
      <c r="S18" s="706"/>
      <c r="T18" s="705"/>
      <c r="U18" s="706"/>
      <c r="V18" s="705"/>
      <c r="W18" s="706"/>
      <c r="X18" s="1354"/>
      <c r="Y18" s="3722"/>
      <c r="Z18" s="1355"/>
      <c r="AA18" s="1352">
        <v>1</v>
      </c>
      <c r="AB18" s="1352">
        <v>1</v>
      </c>
      <c r="AC18" s="1352">
        <v>1</v>
      </c>
    </row>
    <row r="19" spans="1:29" ht="15">
      <c r="A19" s="379"/>
      <c r="B19" s="402" t="s">
        <v>1778</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729"/>
      <c r="Q20" s="1351"/>
      <c r="R20" s="705"/>
      <c r="S20" s="706"/>
      <c r="T20" s="705"/>
      <c r="U20" s="706"/>
      <c r="V20" s="705"/>
      <c r="W20" s="706"/>
      <c r="X20" s="1354"/>
      <c r="Y20" s="3722"/>
      <c r="Z20" s="1355"/>
      <c r="AA20" s="1352">
        <v>1</v>
      </c>
      <c r="AB20" s="1352">
        <v>1</v>
      </c>
      <c r="AC20" s="1352">
        <v>1</v>
      </c>
    </row>
    <row r="21" spans="1:29" ht="15">
      <c r="A21" s="379"/>
      <c r="B21" s="1130"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9"/>
      <c r="M22" s="2713"/>
      <c r="N22" s="2713"/>
      <c r="O22" s="2713"/>
      <c r="P22" s="3729"/>
      <c r="Q22" s="1351"/>
      <c r="R22" s="705"/>
      <c r="S22" s="706"/>
      <c r="T22" s="705"/>
      <c r="U22" s="706"/>
      <c r="V22" s="705"/>
      <c r="W22" s="706"/>
      <c r="X22" s="1354"/>
      <c r="Y22" s="3722"/>
      <c r="Z22" s="1355"/>
      <c r="AA22" s="1352">
        <v>1</v>
      </c>
      <c r="AB22" s="1352">
        <v>1</v>
      </c>
      <c r="AC22" s="1352">
        <v>1</v>
      </c>
    </row>
    <row r="23" spans="1:29" ht="15">
      <c r="A23" s="379"/>
      <c r="B23" s="402" t="s">
        <v>1261</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9"/>
      <c r="Q23" s="1351" t="str">
        <f>B23</f>
        <v>自然及人文环境</v>
      </c>
      <c r="R23" s="705" t="s">
        <v>14</v>
      </c>
      <c r="S23" s="706">
        <f>F23</f>
        <v>100</v>
      </c>
      <c r="T23" s="705" t="s">
        <v>14</v>
      </c>
      <c r="U23" s="706">
        <f>H23</f>
        <v>100</v>
      </c>
      <c r="V23" s="705" t="s">
        <v>14</v>
      </c>
      <c r="W23" s="706">
        <f>J23</f>
        <v>100</v>
      </c>
      <c r="X23" s="1354"/>
      <c r="Y23" s="372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729"/>
      <c r="Q24" s="1351"/>
      <c r="R24" s="705"/>
      <c r="S24" s="706"/>
      <c r="T24" s="705"/>
      <c r="U24" s="706"/>
      <c r="V24" s="705"/>
      <c r="W24" s="706"/>
      <c r="X24" s="1354"/>
      <c r="Y24" s="372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29"/>
      <c r="Q25" s="1351" t="str">
        <f t="shared" ref="Q25:Q46" si="11">B25</f>
        <v>临街状况</v>
      </c>
      <c r="R25" s="705" t="s">
        <v>14</v>
      </c>
      <c r="S25" s="706">
        <f>F25</f>
        <v>100</v>
      </c>
      <c r="T25" s="705" t="s">
        <v>14</v>
      </c>
      <c r="U25" s="706">
        <f>H25</f>
        <v>100</v>
      </c>
      <c r="V25" s="705" t="s">
        <v>14</v>
      </c>
      <c r="W25" s="706">
        <f>J25</f>
        <v>100</v>
      </c>
      <c r="X25" s="1354"/>
      <c r="Y25" s="372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9"/>
      <c r="Q26" s="1351" t="str">
        <f t="shared" si="11"/>
        <v>平面位置/可视性</v>
      </c>
      <c r="R26" s="705" t="s">
        <v>14</v>
      </c>
      <c r="S26" s="706">
        <f>F26</f>
        <v>100</v>
      </c>
      <c r="T26" s="705" t="s">
        <v>14</v>
      </c>
      <c r="U26" s="706">
        <f>H26</f>
        <v>100</v>
      </c>
      <c r="V26" s="705" t="s">
        <v>14</v>
      </c>
      <c r="W26" s="706">
        <f>J26</f>
        <v>100</v>
      </c>
      <c r="X26" s="1354"/>
      <c r="Y26" s="372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29"/>
      <c r="Q27" s="1342" t="str">
        <f t="shared" si="11"/>
        <v>人流量</v>
      </c>
      <c r="R27" s="701" t="s">
        <v>14</v>
      </c>
      <c r="S27" s="702">
        <f>F27</f>
        <v>100</v>
      </c>
      <c r="T27" s="701" t="s">
        <v>14</v>
      </c>
      <c r="U27" s="702">
        <f>H27</f>
        <v>100</v>
      </c>
      <c r="V27" s="701" t="s">
        <v>14</v>
      </c>
      <c r="W27" s="702">
        <f>J27</f>
        <v>100</v>
      </c>
      <c r="X27" s="703"/>
      <c r="Y27" s="372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2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9"/>
      <c r="Q29" s="1351">
        <f t="shared" si="11"/>
        <v>111</v>
      </c>
      <c r="R29" s="705" t="s">
        <v>14</v>
      </c>
      <c r="S29" s="706">
        <f t="shared" si="12"/>
        <v>100</v>
      </c>
      <c r="T29" s="705" t="s">
        <v>14</v>
      </c>
      <c r="U29" s="706">
        <f t="shared" si="13"/>
        <v>100</v>
      </c>
      <c r="V29" s="705" t="s">
        <v>14</v>
      </c>
      <c r="W29" s="706">
        <f t="shared" si="14"/>
        <v>100</v>
      </c>
      <c r="X29" s="1354"/>
      <c r="Y29" s="372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9"/>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9"/>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23" t="s">
        <v>1696</v>
      </c>
      <c r="Q32" s="1351" t="str">
        <f t="shared" si="11"/>
        <v>商业类型</v>
      </c>
      <c r="R32" s="705" t="s">
        <v>14</v>
      </c>
      <c r="S32" s="706">
        <f t="shared" si="12"/>
        <v>100</v>
      </c>
      <c r="T32" s="705" t="s">
        <v>14</v>
      </c>
      <c r="U32" s="706">
        <f t="shared" si="13"/>
        <v>100</v>
      </c>
      <c r="V32" s="705" t="s">
        <v>14</v>
      </c>
      <c r="W32" s="706">
        <f t="shared" si="14"/>
        <v>100</v>
      </c>
      <c r="X32" s="1354"/>
      <c r="Y32" s="372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24"/>
      <c r="Q34" s="1351" t="str">
        <f t="shared" si="11"/>
        <v>建筑结构</v>
      </c>
      <c r="R34" s="705" t="s">
        <v>14</v>
      </c>
      <c r="S34" s="706">
        <f t="shared" si="12"/>
        <v>100</v>
      </c>
      <c r="T34" s="705" t="s">
        <v>14</v>
      </c>
      <c r="U34" s="706">
        <f t="shared" si="13"/>
        <v>100</v>
      </c>
      <c r="V34" s="705" t="s">
        <v>14</v>
      </c>
      <c r="W34" s="706">
        <f t="shared" si="14"/>
        <v>100</v>
      </c>
      <c r="X34" s="1354"/>
      <c r="Y34" s="372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24"/>
      <c r="Q35" s="1351" t="str">
        <f t="shared" si="11"/>
        <v>公共部分装修</v>
      </c>
      <c r="R35" s="705" t="s">
        <v>14</v>
      </c>
      <c r="S35" s="706">
        <f t="shared" si="12"/>
        <v>100</v>
      </c>
      <c r="T35" s="705" t="s">
        <v>14</v>
      </c>
      <c r="U35" s="706">
        <f t="shared" si="13"/>
        <v>100</v>
      </c>
      <c r="V35" s="705" t="s">
        <v>14</v>
      </c>
      <c r="W35" s="706">
        <f t="shared" si="14"/>
        <v>100</v>
      </c>
      <c r="X35" s="1354"/>
      <c r="Y35" s="372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4"/>
      <c r="Q36" s="1351" t="str">
        <f t="shared" si="11"/>
        <v>成新度</v>
      </c>
      <c r="R36" s="705" t="s">
        <v>14</v>
      </c>
      <c r="S36" s="706" t="e">
        <f t="shared" si="12"/>
        <v>#N/A</v>
      </c>
      <c r="T36" s="705" t="s">
        <v>14</v>
      </c>
      <c r="U36" s="706" t="e">
        <f t="shared" si="13"/>
        <v>#N/A</v>
      </c>
      <c r="V36" s="705" t="s">
        <v>14</v>
      </c>
      <c r="W36" s="706" t="e">
        <f t="shared" si="14"/>
        <v>#N/A</v>
      </c>
      <c r="X36" s="1354"/>
      <c r="Y36" s="372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24"/>
      <c r="Q37" s="1342"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24" t="s">
        <v>1696</v>
      </c>
      <c r="Q38" s="1351" t="str">
        <f t="shared" si="11"/>
        <v>业态</v>
      </c>
      <c r="R38" s="705" t="s">
        <v>14</v>
      </c>
      <c r="S38" s="706">
        <f t="shared" si="12"/>
        <v>100</v>
      </c>
      <c r="T38" s="705" t="s">
        <v>14</v>
      </c>
      <c r="U38" s="706">
        <f t="shared" si="13"/>
        <v>100</v>
      </c>
      <c r="V38" s="705" t="s">
        <v>14</v>
      </c>
      <c r="W38" s="706">
        <f t="shared" si="14"/>
        <v>100</v>
      </c>
      <c r="X38" s="1354"/>
      <c r="Y38" s="372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24"/>
      <c r="Q39" s="1351" t="str">
        <f t="shared" si="11"/>
        <v>层高</v>
      </c>
      <c r="R39" s="705" t="s">
        <v>14</v>
      </c>
      <c r="S39" s="706">
        <f t="shared" si="12"/>
        <v>100</v>
      </c>
      <c r="T39" s="705" t="s">
        <v>14</v>
      </c>
      <c r="U39" s="706">
        <f t="shared" si="13"/>
        <v>100</v>
      </c>
      <c r="V39" s="705" t="s">
        <v>14</v>
      </c>
      <c r="W39" s="706">
        <f t="shared" si="14"/>
        <v>100</v>
      </c>
      <c r="X39" s="1354"/>
      <c r="Y39" s="372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4"/>
      <c r="Q40" s="1351" t="str">
        <f t="shared" si="11"/>
        <v>单套建筑面积</v>
      </c>
      <c r="R40" s="705" t="s">
        <v>14</v>
      </c>
      <c r="S40" s="706">
        <f t="shared" si="12"/>
        <v>100</v>
      </c>
      <c r="T40" s="705" t="s">
        <v>14</v>
      </c>
      <c r="U40" s="706">
        <f t="shared" si="13"/>
        <v>100</v>
      </c>
      <c r="V40" s="705" t="s">
        <v>14</v>
      </c>
      <c r="W40" s="706">
        <f t="shared" si="14"/>
        <v>100</v>
      </c>
      <c r="X40" s="1354"/>
      <c r="Y40" s="372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24"/>
      <c r="Q42" s="1351" t="str">
        <f t="shared" si="11"/>
        <v>内部装修</v>
      </c>
      <c r="R42" s="705" t="s">
        <v>14</v>
      </c>
      <c r="S42" s="706">
        <f t="shared" si="12"/>
        <v>100</v>
      </c>
      <c r="T42" s="705" t="s">
        <v>14</v>
      </c>
      <c r="U42" s="706">
        <f t="shared" si="13"/>
        <v>100</v>
      </c>
      <c r="V42" s="705" t="s">
        <v>14</v>
      </c>
      <c r="W42" s="706">
        <f t="shared" si="14"/>
        <v>100</v>
      </c>
      <c r="X42" s="1354"/>
      <c r="Y42" s="372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24"/>
      <c r="Q43" s="1351" t="str">
        <f t="shared" si="11"/>
        <v>内部装修维护情况</v>
      </c>
      <c r="R43" s="705" t="s">
        <v>14</v>
      </c>
      <c r="S43" s="706">
        <f t="shared" si="12"/>
        <v>100</v>
      </c>
      <c r="T43" s="705" t="s">
        <v>14</v>
      </c>
      <c r="U43" s="706">
        <f t="shared" si="13"/>
        <v>100</v>
      </c>
      <c r="V43" s="705" t="s">
        <v>14</v>
      </c>
      <c r="W43" s="706">
        <f t="shared" si="14"/>
        <v>100</v>
      </c>
      <c r="X43" s="1354"/>
      <c r="Y43" s="372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4"/>
      <c r="Q44" s="1342">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4"/>
      <c r="Q45" s="1351">
        <f t="shared" si="11"/>
        <v>111</v>
      </c>
      <c r="R45" s="705" t="s">
        <v>14</v>
      </c>
      <c r="S45" s="706">
        <f t="shared" si="12"/>
        <v>100</v>
      </c>
      <c r="T45" s="705" t="s">
        <v>14</v>
      </c>
      <c r="U45" s="706">
        <f t="shared" si="13"/>
        <v>100</v>
      </c>
      <c r="V45" s="705" t="s">
        <v>14</v>
      </c>
      <c r="W45" s="706">
        <f t="shared" si="14"/>
        <v>100</v>
      </c>
      <c r="X45" s="1354"/>
      <c r="Y45" s="372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5"/>
      <c r="Q46" s="1351">
        <f t="shared" si="11"/>
        <v>111</v>
      </c>
      <c r="R46" s="705" t="s">
        <v>14</v>
      </c>
      <c r="S46" s="706">
        <f t="shared" si="12"/>
        <v>100</v>
      </c>
      <c r="T46" s="705" t="s">
        <v>14</v>
      </c>
      <c r="U46" s="706">
        <f t="shared" si="13"/>
        <v>100</v>
      </c>
      <c r="V46" s="705" t="s">
        <v>14</v>
      </c>
      <c r="W46" s="706">
        <f t="shared" si="14"/>
        <v>100</v>
      </c>
      <c r="X46" s="1354"/>
      <c r="Y46" s="372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1"/>
      <c r="M47" s="2722"/>
      <c r="N47" s="2713"/>
      <c r="O47" s="2722"/>
      <c r="P47" s="3719" t="str">
        <f>A47</f>
        <v>成交单价（元/平方米）</v>
      </c>
      <c r="Q47" s="3719"/>
      <c r="R47" s="3714">
        <f>E47</f>
        <v>0</v>
      </c>
      <c r="S47" s="3714"/>
      <c r="T47" s="3714">
        <f>G47</f>
        <v>0</v>
      </c>
      <c r="U47" s="3714"/>
      <c r="V47" s="3714">
        <f>I47</f>
        <v>0</v>
      </c>
      <c r="W47" s="3714"/>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1"/>
      <c r="M48" s="2722"/>
      <c r="N48" s="2713"/>
      <c r="O48" s="2722"/>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1"/>
      <c r="M49" s="2722"/>
      <c r="N49" s="2713"/>
      <c r="O49" s="2722"/>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74.91</v>
      </c>
      <c r="E3" s="1953"/>
      <c r="F3" s="908"/>
      <c r="G3" s="907"/>
      <c r="H3" s="907"/>
      <c r="I3" s="907"/>
      <c r="J3" s="907"/>
      <c r="K3" s="909"/>
      <c r="L3" s="2731"/>
      <c r="M3" s="2732"/>
      <c r="N3" s="2732"/>
      <c r="O3" s="2732"/>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36" t="s">
        <v>1775</v>
      </c>
      <c r="Q4" s="3737"/>
      <c r="R4" s="3731" t="s">
        <v>1771</v>
      </c>
      <c r="S4" s="3732"/>
      <c r="T4" s="3731" t="s">
        <v>1772</v>
      </c>
      <c r="U4" s="3732"/>
      <c r="V4" s="3740" t="s">
        <v>1773</v>
      </c>
      <c r="W4" s="3740"/>
      <c r="X4" s="1957"/>
      <c r="Y4" s="3731" t="s">
        <v>1775</v>
      </c>
      <c r="Z4" s="3732"/>
      <c r="AA4" s="3730" t="s">
        <v>1771</v>
      </c>
      <c r="AB4" s="3730" t="s">
        <v>1772</v>
      </c>
      <c r="AC4" s="3733" t="s">
        <v>1773</v>
      </c>
    </row>
    <row r="5" spans="1:29" ht="15">
      <c r="A5" s="358"/>
      <c r="B5" s="359"/>
      <c r="C5" s="3695" t="s">
        <v>1673</v>
      </c>
      <c r="D5" s="3696"/>
      <c r="E5" s="3693" t="s">
        <v>1674</v>
      </c>
      <c r="F5" s="3694"/>
      <c r="G5" s="3695" t="s">
        <v>1675</v>
      </c>
      <c r="H5" s="3696"/>
      <c r="I5" s="3695" t="s">
        <v>1676</v>
      </c>
      <c r="J5" s="3696"/>
      <c r="K5" s="559"/>
      <c r="L5" s="2712"/>
      <c r="M5" s="2713"/>
      <c r="N5" s="2713"/>
      <c r="O5" s="2713"/>
      <c r="P5" s="3738"/>
      <c r="Q5" s="3709"/>
      <c r="R5" s="3691"/>
      <c r="S5" s="3692"/>
      <c r="T5" s="3691"/>
      <c r="U5" s="3692"/>
      <c r="V5" s="3714"/>
      <c r="W5" s="3714"/>
      <c r="X5" s="1354"/>
      <c r="Y5" s="3691"/>
      <c r="Z5" s="3692"/>
      <c r="AA5" s="3685"/>
      <c r="AB5" s="3685"/>
      <c r="AC5" s="3734"/>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39"/>
      <c r="Q6" s="3711"/>
      <c r="R6" s="3691"/>
      <c r="S6" s="3692"/>
      <c r="T6" s="3712"/>
      <c r="U6" s="3713"/>
      <c r="V6" s="3714"/>
      <c r="W6" s="3714"/>
      <c r="X6" s="1354"/>
      <c r="Y6" s="3712"/>
      <c r="Z6" s="3713"/>
      <c r="AA6" s="3686"/>
      <c r="AB6" s="3686"/>
      <c r="AC6" s="3735"/>
    </row>
    <row r="7" spans="1:29" s="108" customFormat="1" ht="15.75" thickBot="1">
      <c r="A7" s="362" t="s">
        <v>1679</v>
      </c>
      <c r="B7" s="363"/>
      <c r="C7" s="364">
        <f>'数据-取费表'!B2</f>
        <v>44993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1"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1" t="s">
        <v>1683</v>
      </c>
      <c r="Q8" s="3688"/>
      <c r="R8" s="701" t="s">
        <v>14</v>
      </c>
      <c r="S8" s="702">
        <f t="shared" si="0"/>
        <v>100</v>
      </c>
      <c r="T8" s="701" t="s">
        <v>14</v>
      </c>
      <c r="U8" s="702">
        <f t="shared" si="1"/>
        <v>100</v>
      </c>
      <c r="V8" s="701" t="s">
        <v>14</v>
      </c>
      <c r="W8" s="702">
        <f t="shared" si="2"/>
        <v>100</v>
      </c>
      <c r="X8" s="703"/>
      <c r="Y8" s="3687" t="s">
        <v>1683</v>
      </c>
      <c r="Z8" s="368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01"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01"/>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01"/>
      <c r="Q11" s="1342"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01"/>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01"/>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01"/>
      <c r="Q14" s="1342">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8">
        <f t="shared" si="5"/>
        <v>1</v>
      </c>
    </row>
    <row r="15" spans="1:29" ht="15">
      <c r="A15" s="391" t="s">
        <v>1690</v>
      </c>
      <c r="B15" s="577" t="s">
        <v>1811</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28" t="s">
        <v>1691</v>
      </c>
      <c r="Q15" s="1351" t="str">
        <f t="shared" si="6"/>
        <v>办公集聚程度</v>
      </c>
      <c r="R15" s="705" t="s">
        <v>14</v>
      </c>
      <c r="S15" s="706">
        <f t="shared" si="0"/>
        <v>100</v>
      </c>
      <c r="T15" s="705" t="s">
        <v>14</v>
      </c>
      <c r="U15" s="706">
        <f t="shared" si="1"/>
        <v>100</v>
      </c>
      <c r="V15" s="705" t="s">
        <v>14</v>
      </c>
      <c r="W15" s="706">
        <f t="shared" si="2"/>
        <v>100</v>
      </c>
      <c r="X15" s="1354"/>
      <c r="Y15" s="372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729"/>
      <c r="Q16" s="1351"/>
      <c r="R16" s="705"/>
      <c r="S16" s="706"/>
      <c r="T16" s="705"/>
      <c r="U16" s="706"/>
      <c r="V16" s="705"/>
      <c r="W16" s="706"/>
      <c r="X16" s="1354"/>
      <c r="Y16" s="3722"/>
      <c r="Z16" s="1355"/>
      <c r="AA16" s="1352">
        <v>1</v>
      </c>
      <c r="AB16" s="1352">
        <v>1</v>
      </c>
      <c r="AC16" s="1961">
        <v>1</v>
      </c>
    </row>
    <row r="17" spans="1:29" ht="15">
      <c r="A17" s="379"/>
      <c r="B17" s="579" t="s">
        <v>1259</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729"/>
      <c r="Q18" s="1351"/>
      <c r="R18" s="705"/>
      <c r="S18" s="706"/>
      <c r="T18" s="705"/>
      <c r="U18" s="706"/>
      <c r="V18" s="705"/>
      <c r="W18" s="706"/>
      <c r="X18" s="1354"/>
      <c r="Y18" s="3722"/>
      <c r="Z18" s="1355"/>
      <c r="AA18" s="1352">
        <v>1</v>
      </c>
      <c r="AB18" s="1352">
        <v>1</v>
      </c>
      <c r="AC18" s="1961">
        <v>1</v>
      </c>
    </row>
    <row r="19" spans="1:29" ht="15">
      <c r="A19" s="379"/>
      <c r="B19" s="579" t="s">
        <v>1812</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729"/>
      <c r="Q20" s="1351"/>
      <c r="R20" s="705"/>
      <c r="S20" s="706"/>
      <c r="T20" s="705"/>
      <c r="U20" s="706"/>
      <c r="V20" s="705"/>
      <c r="W20" s="706"/>
      <c r="X20" s="1354"/>
      <c r="Y20" s="3722"/>
      <c r="Z20" s="1355"/>
      <c r="AA20" s="1352">
        <v>1</v>
      </c>
      <c r="AB20" s="1352">
        <v>1</v>
      </c>
      <c r="AC20" s="1961">
        <v>1</v>
      </c>
    </row>
    <row r="21" spans="1:29" ht="15">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729"/>
      <c r="Q22" s="1351"/>
      <c r="R22" s="705"/>
      <c r="S22" s="706"/>
      <c r="T22" s="705"/>
      <c r="U22" s="706"/>
      <c r="V22" s="705"/>
      <c r="W22" s="706"/>
      <c r="X22" s="1354"/>
      <c r="Y22" s="3722"/>
      <c r="Z22" s="1355"/>
      <c r="AA22" s="1352">
        <v>1</v>
      </c>
      <c r="AB22" s="1352">
        <v>1</v>
      </c>
      <c r="AC22" s="1961">
        <v>1</v>
      </c>
    </row>
    <row r="23" spans="1:29" ht="15">
      <c r="A23" s="379"/>
      <c r="B23" s="579" t="s">
        <v>1814</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9"/>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729"/>
      <c r="Q24" s="1351"/>
      <c r="R24" s="705"/>
      <c r="S24" s="706"/>
      <c r="T24" s="705"/>
      <c r="U24" s="706"/>
      <c r="V24" s="705"/>
      <c r="W24" s="706"/>
      <c r="X24" s="1354"/>
      <c r="Y24" s="372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29"/>
      <c r="Q25" s="1351" t="str">
        <f>B25</f>
        <v>毗邻道路的类型与等级</v>
      </c>
      <c r="R25" s="705" t="s">
        <v>14</v>
      </c>
      <c r="S25" s="706">
        <f>F25</f>
        <v>100</v>
      </c>
      <c r="T25" s="705" t="s">
        <v>14</v>
      </c>
      <c r="U25" s="706">
        <f>H25</f>
        <v>100</v>
      </c>
      <c r="V25" s="705" t="s">
        <v>14</v>
      </c>
      <c r="W25" s="706">
        <f>J25</f>
        <v>100</v>
      </c>
      <c r="X25" s="1354"/>
      <c r="Y25" s="372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29"/>
      <c r="Q26" s="1351"/>
      <c r="R26" s="705"/>
      <c r="S26" s="706"/>
      <c r="T26" s="705"/>
      <c r="U26" s="706"/>
      <c r="V26" s="705"/>
      <c r="W26" s="706"/>
      <c r="X26" s="1354"/>
      <c r="Y26" s="372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9"/>
      <c r="Q27" s="1351" t="str">
        <f t="shared" ref="Q27:Q47" si="11">B27</f>
        <v>楼层</v>
      </c>
      <c r="R27" s="705" t="s">
        <v>14</v>
      </c>
      <c r="S27" s="706">
        <f>F27</f>
        <v>100</v>
      </c>
      <c r="T27" s="705" t="s">
        <v>14</v>
      </c>
      <c r="U27" s="706">
        <f>H27</f>
        <v>100</v>
      </c>
      <c r="V27" s="705" t="s">
        <v>14</v>
      </c>
      <c r="W27" s="706">
        <f>J27</f>
        <v>100</v>
      </c>
      <c r="X27" s="1354"/>
      <c r="Y27" s="372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29"/>
      <c r="Q28" s="1342" t="str">
        <f t="shared" si="11"/>
        <v>朝向</v>
      </c>
      <c r="R28" s="701" t="s">
        <v>14</v>
      </c>
      <c r="S28" s="702">
        <f>F28</f>
        <v>100</v>
      </c>
      <c r="T28" s="701" t="s">
        <v>14</v>
      </c>
      <c r="U28" s="702">
        <f>H28</f>
        <v>100</v>
      </c>
      <c r="V28" s="701" t="s">
        <v>14</v>
      </c>
      <c r="W28" s="702">
        <f>J28</f>
        <v>100</v>
      </c>
      <c r="X28" s="703"/>
      <c r="Y28" s="372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29"/>
      <c r="Q29" s="1351">
        <f t="shared" si="11"/>
        <v>111</v>
      </c>
      <c r="R29" s="705" t="s">
        <v>14</v>
      </c>
      <c r="S29" s="706">
        <f t="shared" ref="S29:S47" si="12">F29</f>
        <v>100</v>
      </c>
      <c r="T29" s="705" t="s">
        <v>14</v>
      </c>
      <c r="U29" s="706">
        <f t="shared" ref="U29:U47" si="13">H29</f>
        <v>100</v>
      </c>
      <c r="V29" s="705" t="s">
        <v>14</v>
      </c>
      <c r="W29" s="706">
        <f t="shared" ref="W29:W47" si="14">J29</f>
        <v>100</v>
      </c>
      <c r="X29" s="1354"/>
      <c r="Y29" s="372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29"/>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29"/>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29"/>
      <c r="Q32" s="1351">
        <f t="shared" si="11"/>
        <v>111</v>
      </c>
      <c r="R32" s="705" t="s">
        <v>14</v>
      </c>
      <c r="S32" s="706">
        <f t="shared" si="12"/>
        <v>100</v>
      </c>
      <c r="T32" s="705" t="s">
        <v>14</v>
      </c>
      <c r="U32" s="706">
        <f t="shared" si="13"/>
        <v>100</v>
      </c>
      <c r="V32" s="705" t="s">
        <v>14</v>
      </c>
      <c r="W32" s="706">
        <f t="shared" si="14"/>
        <v>100</v>
      </c>
      <c r="X32" s="1354"/>
      <c r="Y32" s="372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23" t="s">
        <v>1696</v>
      </c>
      <c r="Q33" s="1351" t="str">
        <f t="shared" si="11"/>
        <v>建筑类型</v>
      </c>
      <c r="R33" s="705" t="s">
        <v>14</v>
      </c>
      <c r="S33" s="706">
        <f t="shared" si="12"/>
        <v>100</v>
      </c>
      <c r="T33" s="705" t="s">
        <v>14</v>
      </c>
      <c r="U33" s="706">
        <f t="shared" si="13"/>
        <v>100</v>
      </c>
      <c r="V33" s="705" t="s">
        <v>14</v>
      </c>
      <c r="W33" s="706">
        <f t="shared" si="14"/>
        <v>100</v>
      </c>
      <c r="X33" s="1354"/>
      <c r="Y33" s="372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4"/>
      <c r="Q35" s="1351" t="str">
        <f t="shared" si="11"/>
        <v>建筑结构</v>
      </c>
      <c r="R35" s="705" t="s">
        <v>14</v>
      </c>
      <c r="S35" s="706">
        <f t="shared" si="12"/>
        <v>100</v>
      </c>
      <c r="T35" s="705" t="s">
        <v>14</v>
      </c>
      <c r="U35" s="706">
        <f t="shared" si="13"/>
        <v>100</v>
      </c>
      <c r="V35" s="705" t="s">
        <v>14</v>
      </c>
      <c r="W35" s="706">
        <f t="shared" si="14"/>
        <v>100</v>
      </c>
      <c r="X35" s="1354"/>
      <c r="Y35" s="372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4"/>
      <c r="Q36" s="1351" t="str">
        <f t="shared" si="11"/>
        <v>公共部分装修</v>
      </c>
      <c r="R36" s="705" t="s">
        <v>14</v>
      </c>
      <c r="S36" s="706">
        <f t="shared" si="12"/>
        <v>100</v>
      </c>
      <c r="T36" s="705" t="s">
        <v>14</v>
      </c>
      <c r="U36" s="706">
        <f t="shared" si="13"/>
        <v>100</v>
      </c>
      <c r="V36" s="705" t="s">
        <v>14</v>
      </c>
      <c r="W36" s="706">
        <f t="shared" si="14"/>
        <v>100</v>
      </c>
      <c r="X36" s="1354"/>
      <c r="Y36" s="372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4"/>
      <c r="Q37" s="1351" t="str">
        <f t="shared" si="11"/>
        <v>成新度</v>
      </c>
      <c r="R37" s="705" t="s">
        <v>14</v>
      </c>
      <c r="S37" s="706" t="e">
        <f t="shared" si="12"/>
        <v>#N/A</v>
      </c>
      <c r="T37" s="705" t="s">
        <v>14</v>
      </c>
      <c r="U37" s="706" t="e">
        <f t="shared" si="13"/>
        <v>#N/A</v>
      </c>
      <c r="V37" s="705" t="s">
        <v>14</v>
      </c>
      <c r="W37" s="706" t="e">
        <f t="shared" si="14"/>
        <v>#N/A</v>
      </c>
      <c r="X37" s="1354"/>
      <c r="Y37" s="372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4"/>
      <c r="Q38" s="1342"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4" t="s">
        <v>1696</v>
      </c>
      <c r="Q39" s="1351" t="str">
        <f t="shared" si="11"/>
        <v>物业管理</v>
      </c>
      <c r="R39" s="705" t="s">
        <v>14</v>
      </c>
      <c r="S39" s="706">
        <f t="shared" si="12"/>
        <v>100</v>
      </c>
      <c r="T39" s="705" t="s">
        <v>14</v>
      </c>
      <c r="U39" s="706">
        <f t="shared" si="13"/>
        <v>100</v>
      </c>
      <c r="V39" s="705" t="s">
        <v>14</v>
      </c>
      <c r="W39" s="706">
        <f t="shared" si="14"/>
        <v>100</v>
      </c>
      <c r="X39" s="1354"/>
      <c r="Y39" s="372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4"/>
      <c r="Q40" s="1351" t="str">
        <f t="shared" si="11"/>
        <v>市政基础设施</v>
      </c>
      <c r="R40" s="705" t="s">
        <v>14</v>
      </c>
      <c r="S40" s="706">
        <f t="shared" si="12"/>
        <v>100</v>
      </c>
      <c r="T40" s="705" t="s">
        <v>14</v>
      </c>
      <c r="U40" s="706">
        <f t="shared" si="13"/>
        <v>100</v>
      </c>
      <c r="V40" s="705" t="s">
        <v>14</v>
      </c>
      <c r="W40" s="706">
        <f t="shared" si="14"/>
        <v>100</v>
      </c>
      <c r="X40" s="1354"/>
      <c r="Y40" s="372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4"/>
      <c r="Q41" s="1351" t="str">
        <f t="shared" si="11"/>
        <v>层高</v>
      </c>
      <c r="R41" s="705" t="s">
        <v>14</v>
      </c>
      <c r="S41" s="706">
        <f t="shared" si="12"/>
        <v>100</v>
      </c>
      <c r="T41" s="705" t="s">
        <v>14</v>
      </c>
      <c r="U41" s="706">
        <f t="shared" si="13"/>
        <v>100</v>
      </c>
      <c r="V41" s="705" t="s">
        <v>14</v>
      </c>
      <c r="W41" s="706">
        <f t="shared" si="14"/>
        <v>100</v>
      </c>
      <c r="X41" s="1354"/>
      <c r="Y41" s="372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4"/>
      <c r="Q43" s="1351" t="str">
        <f t="shared" si="11"/>
        <v>内部装修</v>
      </c>
      <c r="R43" s="705" t="s">
        <v>14</v>
      </c>
      <c r="S43" s="706">
        <f t="shared" si="12"/>
        <v>100</v>
      </c>
      <c r="T43" s="705" t="s">
        <v>14</v>
      </c>
      <c r="U43" s="706">
        <f t="shared" si="13"/>
        <v>100</v>
      </c>
      <c r="V43" s="705" t="s">
        <v>14</v>
      </c>
      <c r="W43" s="706">
        <f t="shared" si="14"/>
        <v>100</v>
      </c>
      <c r="X43" s="1354"/>
      <c r="Y43" s="372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24"/>
      <c r="Q44" s="1351" t="str">
        <f t="shared" si="11"/>
        <v>内部装修维护情况</v>
      </c>
      <c r="R44" s="705" t="s">
        <v>14</v>
      </c>
      <c r="S44" s="706">
        <f t="shared" si="12"/>
        <v>100</v>
      </c>
      <c r="T44" s="705" t="s">
        <v>14</v>
      </c>
      <c r="U44" s="706">
        <f t="shared" si="13"/>
        <v>100</v>
      </c>
      <c r="V44" s="705" t="s">
        <v>14</v>
      </c>
      <c r="W44" s="706">
        <f t="shared" si="14"/>
        <v>100</v>
      </c>
      <c r="X44" s="1354"/>
      <c r="Y44" s="372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4"/>
      <c r="Q45" s="1342">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4"/>
      <c r="Q46" s="1351">
        <f t="shared" si="11"/>
        <v>111</v>
      </c>
      <c r="R46" s="705" t="s">
        <v>14</v>
      </c>
      <c r="S46" s="706">
        <f t="shared" si="12"/>
        <v>100</v>
      </c>
      <c r="T46" s="705" t="s">
        <v>14</v>
      </c>
      <c r="U46" s="706">
        <f t="shared" si="13"/>
        <v>100</v>
      </c>
      <c r="V46" s="705" t="s">
        <v>14</v>
      </c>
      <c r="W46" s="706">
        <f t="shared" si="14"/>
        <v>100</v>
      </c>
      <c r="X46" s="1354"/>
      <c r="Y46" s="372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5"/>
      <c r="Q47" s="1351">
        <f t="shared" si="11"/>
        <v>111</v>
      </c>
      <c r="R47" s="705" t="s">
        <v>14</v>
      </c>
      <c r="S47" s="706">
        <f t="shared" si="12"/>
        <v>100</v>
      </c>
      <c r="T47" s="705" t="s">
        <v>14</v>
      </c>
      <c r="U47" s="706">
        <f t="shared" si="13"/>
        <v>100</v>
      </c>
      <c r="V47" s="705" t="s">
        <v>14</v>
      </c>
      <c r="W47" s="706">
        <f t="shared" si="14"/>
        <v>100</v>
      </c>
      <c r="X47" s="1354"/>
      <c r="Y47" s="372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1"/>
      <c r="M48" s="2713"/>
      <c r="N48" s="2713"/>
      <c r="O48" s="2713"/>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1"/>
      <c r="M49" s="2713"/>
      <c r="N49" s="2713"/>
      <c r="O49" s="2713"/>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1"/>
      <c r="M50" s="2713"/>
      <c r="N50" s="2713"/>
      <c r="O50" s="2713"/>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受贵公司委托，我公司对北京市东城区灯市口大街33号4层427房地产抵押价值进行了预评估。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估价对象为北京市东城区灯市口大街33号4层427房地产，为所有。根据《国有土地使用证》[]，估价对象（分摊）出让国有建设用地使用权面积为6.9平方米，建筑面积为74.91平方米。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427房地产,属开发建设的，该项目尚在开发建设中。根据《国有土地使用证》[]，估价对象（分摊）出让国有建设用地使用权面积为6.9平方米，规划建筑面积为74.91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灯市口大街33号4层427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74.91</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2"/>
      <c r="M4" s="913"/>
      <c r="N4" s="913"/>
      <c r="O4" s="9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912"/>
      <c r="M5" s="913"/>
      <c r="N5" s="913"/>
      <c r="O5" s="913"/>
      <c r="P5" s="3708"/>
      <c r="Q5" s="3709"/>
      <c r="R5" s="3691"/>
      <c r="S5" s="3692"/>
      <c r="T5" s="3691"/>
      <c r="U5" s="3692"/>
      <c r="V5" s="3714"/>
      <c r="W5" s="3714"/>
      <c r="X5" s="1354"/>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912"/>
      <c r="M6" s="913"/>
      <c r="N6" s="913"/>
      <c r="O6" s="9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SUMIF(52:52,YEAR(E7)&amp;"-"&amp;MONTH(E7),53:53)</f>
        <v>0</v>
      </c>
      <c r="G7" s="366"/>
      <c r="H7" s="365">
        <f>SUMIF(52:52,YEAR(G7)&amp;"-"&amp;MONTH(G7),53:53)</f>
        <v>0</v>
      </c>
      <c r="I7" s="366"/>
      <c r="J7" s="365">
        <f>SUMIF(52:52,YEAR(I7)&amp;"-"&amp;MONTH(I7),53:53)</f>
        <v>0</v>
      </c>
      <c r="K7" s="560"/>
      <c r="L7" s="914"/>
      <c r="M7" s="915"/>
      <c r="N7" s="915"/>
      <c r="O7" s="9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7" t="s">
        <v>1683</v>
      </c>
      <c r="Q8" s="3688"/>
      <c r="R8" s="701" t="s">
        <v>14</v>
      </c>
      <c r="S8" s="702">
        <f t="shared" si="0"/>
        <v>100</v>
      </c>
      <c r="T8" s="701" t="s">
        <v>14</v>
      </c>
      <c r="U8" s="702">
        <f t="shared" si="1"/>
        <v>100</v>
      </c>
      <c r="V8" s="701" t="s">
        <v>14</v>
      </c>
      <c r="W8" s="702">
        <f t="shared" si="2"/>
        <v>100</v>
      </c>
      <c r="X8" s="703"/>
      <c r="Y8" s="3687"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9"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19"/>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9"/>
      <c r="Q11" s="1342"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9"/>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9"/>
      <c r="Q14" s="1342">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22"/>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22"/>
      <c r="Q18" s="1351"/>
      <c r="R18" s="705"/>
      <c r="S18" s="706"/>
      <c r="T18" s="705"/>
      <c r="U18" s="706"/>
      <c r="V18" s="705"/>
      <c r="W18" s="706"/>
      <c r="X18" s="1354"/>
      <c r="Y18" s="372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2"/>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22"/>
      <c r="Q20" s="1351"/>
      <c r="R20" s="705"/>
      <c r="S20" s="706"/>
      <c r="T20" s="705"/>
      <c r="U20" s="706"/>
      <c r="V20" s="705"/>
      <c r="W20" s="706"/>
      <c r="X20" s="1354"/>
      <c r="Y20" s="372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2"/>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22"/>
      <c r="Q22" s="1351"/>
      <c r="R22" s="705"/>
      <c r="S22" s="706"/>
      <c r="T22" s="705"/>
      <c r="U22" s="706"/>
      <c r="V22" s="705"/>
      <c r="W22" s="706"/>
      <c r="X22" s="1354"/>
      <c r="Y22" s="372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2"/>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22"/>
      <c r="Q24" s="1351"/>
      <c r="R24" s="705"/>
      <c r="S24" s="706"/>
      <c r="T24" s="705"/>
      <c r="U24" s="706"/>
      <c r="V24" s="705"/>
      <c r="W24" s="706"/>
      <c r="X24" s="1354"/>
      <c r="Y24" s="372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2"/>
      <c r="Q25" s="1351">
        <f>B25</f>
        <v>111</v>
      </c>
      <c r="R25" s="705" t="s">
        <v>14</v>
      </c>
      <c r="S25" s="706">
        <f>F25</f>
        <v>100</v>
      </c>
      <c r="T25" s="705" t="s">
        <v>14</v>
      </c>
      <c r="U25" s="706">
        <f>H25</f>
        <v>100</v>
      </c>
      <c r="V25" s="705" t="s">
        <v>14</v>
      </c>
      <c r="W25" s="706">
        <f>J25</f>
        <v>100</v>
      </c>
      <c r="X25" s="1354"/>
      <c r="Y25" s="372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2"/>
      <c r="Q26" s="1351">
        <f t="shared" ref="Q26:Q40" si="11">B26</f>
        <v>111</v>
      </c>
      <c r="R26" s="705" t="s">
        <v>14</v>
      </c>
      <c r="S26" s="706">
        <f>F26</f>
        <v>100</v>
      </c>
      <c r="T26" s="705" t="s">
        <v>14</v>
      </c>
      <c r="U26" s="706">
        <f>H26</f>
        <v>100</v>
      </c>
      <c r="V26" s="705" t="s">
        <v>14</v>
      </c>
      <c r="W26" s="706">
        <f>J26</f>
        <v>100</v>
      </c>
      <c r="X26" s="1354"/>
      <c r="Y26" s="372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2"/>
      <c r="Q27" s="1342">
        <f t="shared" si="11"/>
        <v>111</v>
      </c>
      <c r="R27" s="701" t="s">
        <v>14</v>
      </c>
      <c r="S27" s="702">
        <f>F27</f>
        <v>100</v>
      </c>
      <c r="T27" s="701" t="s">
        <v>14</v>
      </c>
      <c r="U27" s="702">
        <f>H27</f>
        <v>100</v>
      </c>
      <c r="V27" s="701" t="s">
        <v>14</v>
      </c>
      <c r="W27" s="702">
        <f>J27</f>
        <v>100</v>
      </c>
      <c r="X27" s="703"/>
      <c r="Y27" s="372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2"/>
      <c r="Q28" s="1351">
        <f t="shared" si="11"/>
        <v>111</v>
      </c>
      <c r="R28" s="705" t="s">
        <v>14</v>
      </c>
      <c r="S28" s="706">
        <f t="shared" ref="S28:S40" si="12">F28</f>
        <v>100</v>
      </c>
      <c r="T28" s="705" t="s">
        <v>14</v>
      </c>
      <c r="U28" s="706">
        <f t="shared" ref="U28:U40" si="13">H28</f>
        <v>100</v>
      </c>
      <c r="V28" s="705" t="s">
        <v>14</v>
      </c>
      <c r="W28" s="706">
        <f t="shared" ref="W28:W40" si="14">J28</f>
        <v>100</v>
      </c>
      <c r="X28" s="1354"/>
      <c r="Y28" s="372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5" t="s">
        <v>1696</v>
      </c>
      <c r="Q29" s="1351" t="str">
        <f t="shared" si="11"/>
        <v>建筑类型</v>
      </c>
      <c r="R29" s="705" t="s">
        <v>14</v>
      </c>
      <c r="S29" s="706">
        <f t="shared" si="12"/>
        <v>100</v>
      </c>
      <c r="T29" s="705" t="s">
        <v>14</v>
      </c>
      <c r="U29" s="706">
        <f t="shared" si="13"/>
        <v>100</v>
      </c>
      <c r="V29" s="705" t="s">
        <v>14</v>
      </c>
      <c r="W29" s="706">
        <f t="shared" si="14"/>
        <v>100</v>
      </c>
      <c r="X29" s="1354"/>
      <c r="Y29" s="372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6"/>
      <c r="Q31" s="1351" t="str">
        <f t="shared" si="11"/>
        <v>建筑结构</v>
      </c>
      <c r="R31" s="705" t="s">
        <v>14</v>
      </c>
      <c r="S31" s="706">
        <f t="shared" si="12"/>
        <v>100</v>
      </c>
      <c r="T31" s="705" t="s">
        <v>14</v>
      </c>
      <c r="U31" s="706">
        <f t="shared" si="13"/>
        <v>100</v>
      </c>
      <c r="V31" s="705" t="s">
        <v>14</v>
      </c>
      <c r="W31" s="706">
        <f t="shared" si="14"/>
        <v>100</v>
      </c>
      <c r="X31" s="1354"/>
      <c r="Y31" s="372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6"/>
      <c r="Q32" s="1351" t="str">
        <f t="shared" si="11"/>
        <v>公共部分装修</v>
      </c>
      <c r="R32" s="705" t="s">
        <v>14</v>
      </c>
      <c r="S32" s="706">
        <f t="shared" si="12"/>
        <v>100</v>
      </c>
      <c r="T32" s="705" t="s">
        <v>14</v>
      </c>
      <c r="U32" s="706">
        <f t="shared" si="13"/>
        <v>100</v>
      </c>
      <c r="V32" s="705" t="s">
        <v>14</v>
      </c>
      <c r="W32" s="706">
        <f t="shared" si="14"/>
        <v>100</v>
      </c>
      <c r="X32" s="1354"/>
      <c r="Y32" s="372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6"/>
      <c r="Q33" s="1351" t="str">
        <f t="shared" si="11"/>
        <v>成新度</v>
      </c>
      <c r="R33" s="705" t="s">
        <v>14</v>
      </c>
      <c r="S33" s="706" t="e">
        <f t="shared" si="12"/>
        <v>#N/A</v>
      </c>
      <c r="T33" s="705" t="s">
        <v>14</v>
      </c>
      <c r="U33" s="706" t="e">
        <f t="shared" si="13"/>
        <v>#N/A</v>
      </c>
      <c r="V33" s="705" t="s">
        <v>14</v>
      </c>
      <c r="W33" s="706" t="e">
        <f t="shared" si="14"/>
        <v>#N/A</v>
      </c>
      <c r="X33" s="1354"/>
      <c r="Y33" s="372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6"/>
      <c r="Q34" s="1342"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6" t="s">
        <v>1696</v>
      </c>
      <c r="Q35" s="1351" t="str">
        <f t="shared" si="11"/>
        <v>市政基础设施</v>
      </c>
      <c r="R35" s="705" t="s">
        <v>14</v>
      </c>
      <c r="S35" s="706">
        <f t="shared" si="12"/>
        <v>100</v>
      </c>
      <c r="T35" s="705" t="s">
        <v>14</v>
      </c>
      <c r="U35" s="706">
        <f t="shared" si="13"/>
        <v>100</v>
      </c>
      <c r="V35" s="705" t="s">
        <v>14</v>
      </c>
      <c r="W35" s="706">
        <f t="shared" si="14"/>
        <v>100</v>
      </c>
      <c r="X35" s="1354"/>
      <c r="Y35" s="372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6"/>
      <c r="Q36" s="1351" t="str">
        <f t="shared" si="11"/>
        <v>内部装修</v>
      </c>
      <c r="R36" s="705" t="s">
        <v>14</v>
      </c>
      <c r="S36" s="706">
        <f t="shared" si="12"/>
        <v>100</v>
      </c>
      <c r="T36" s="705" t="s">
        <v>14</v>
      </c>
      <c r="U36" s="706">
        <f t="shared" si="13"/>
        <v>100</v>
      </c>
      <c r="V36" s="705" t="s">
        <v>14</v>
      </c>
      <c r="W36" s="706">
        <f t="shared" si="14"/>
        <v>100</v>
      </c>
      <c r="X36" s="1354"/>
      <c r="Y36" s="372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6"/>
      <c r="Q37" s="1351" t="str">
        <f t="shared" si="11"/>
        <v>内部装修状况</v>
      </c>
      <c r="R37" s="705" t="s">
        <v>14</v>
      </c>
      <c r="S37" s="706">
        <f t="shared" si="12"/>
        <v>100</v>
      </c>
      <c r="T37" s="705" t="s">
        <v>14</v>
      </c>
      <c r="U37" s="706">
        <f t="shared" si="13"/>
        <v>100</v>
      </c>
      <c r="V37" s="705" t="s">
        <v>14</v>
      </c>
      <c r="W37" s="706">
        <f t="shared" si="14"/>
        <v>100</v>
      </c>
      <c r="X37" s="1354"/>
      <c r="Y37" s="372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6"/>
      <c r="Q39" s="1351">
        <f t="shared" si="11"/>
        <v>111</v>
      </c>
      <c r="R39" s="705" t="s">
        <v>14</v>
      </c>
      <c r="S39" s="706">
        <f t="shared" si="12"/>
        <v>100</v>
      </c>
      <c r="T39" s="705" t="s">
        <v>14</v>
      </c>
      <c r="U39" s="706">
        <f t="shared" si="13"/>
        <v>100</v>
      </c>
      <c r="V39" s="705" t="s">
        <v>14</v>
      </c>
      <c r="W39" s="706">
        <f t="shared" si="14"/>
        <v>100</v>
      </c>
      <c r="X39" s="1354"/>
      <c r="Y39" s="372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7"/>
      <c r="Q40" s="1351">
        <f t="shared" si="11"/>
        <v>111</v>
      </c>
      <c r="R40" s="705" t="s">
        <v>14</v>
      </c>
      <c r="S40" s="706">
        <f t="shared" si="12"/>
        <v>100</v>
      </c>
      <c r="T40" s="705" t="s">
        <v>14</v>
      </c>
      <c r="U40" s="706">
        <f t="shared" si="13"/>
        <v>100</v>
      </c>
      <c r="V40" s="705" t="s">
        <v>14</v>
      </c>
      <c r="W40" s="706">
        <f t="shared" si="14"/>
        <v>100</v>
      </c>
      <c r="X40" s="1354"/>
      <c r="Y40" s="372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5"/>
      <c r="M41" s="926"/>
      <c r="N41" s="913"/>
      <c r="O41" s="926"/>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9" t="s">
        <v>1686</v>
      </c>
      <c r="Q9" s="1342"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9"/>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9"/>
      <c r="Q11" s="1342">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9"/>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
      <c r="A14" s="355" t="s">
        <v>1690</v>
      </c>
      <c r="B14" s="577" t="s">
        <v>1833</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22"/>
      <c r="Q15" s="1351"/>
      <c r="R15" s="705"/>
      <c r="S15" s="706"/>
      <c r="T15" s="705"/>
      <c r="U15" s="706"/>
      <c r="V15" s="705"/>
      <c r="W15" s="706"/>
      <c r="X15" s="1354"/>
      <c r="Y15" s="3722"/>
      <c r="Z15" s="1355"/>
      <c r="AA15" s="1352">
        <v>1</v>
      </c>
      <c r="AB15" s="1352">
        <v>1</v>
      </c>
      <c r="AC15" s="1352">
        <v>1</v>
      </c>
    </row>
    <row r="16" spans="1:29" ht="15">
      <c r="A16" s="358"/>
      <c r="B16" s="579" t="s">
        <v>1812</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22"/>
      <c r="Q17" s="1351"/>
      <c r="R17" s="705"/>
      <c r="S17" s="706"/>
      <c r="T17" s="705"/>
      <c r="U17" s="706"/>
      <c r="V17" s="705"/>
      <c r="W17" s="706"/>
      <c r="X17" s="1354"/>
      <c r="Y17" s="3722"/>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22"/>
      <c r="Q19" s="1351"/>
      <c r="R19" s="705"/>
      <c r="S19" s="706"/>
      <c r="T19" s="705"/>
      <c r="U19" s="706"/>
      <c r="V19" s="705"/>
      <c r="W19" s="706"/>
      <c r="X19" s="1354"/>
      <c r="Y19" s="3722"/>
      <c r="Z19" s="1355"/>
      <c r="AA19" s="1352">
        <v>1</v>
      </c>
      <c r="AB19" s="1352">
        <v>1</v>
      </c>
      <c r="AC19" s="1352">
        <v>1</v>
      </c>
    </row>
    <row r="20" spans="1:29" ht="15">
      <c r="A20" s="358"/>
      <c r="B20" s="579" t="s">
        <v>1834</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22"/>
      <c r="Q21" s="1351"/>
      <c r="R21" s="705"/>
      <c r="S21" s="706"/>
      <c r="T21" s="705"/>
      <c r="U21" s="706"/>
      <c r="V21" s="705"/>
      <c r="W21" s="706"/>
      <c r="X21" s="1354"/>
      <c r="Y21" s="372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2"/>
      <c r="Q24" s="1351">
        <f t="shared" ref="Q24:Q36"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6"/>
      <c r="Q28" s="1351" t="str">
        <f t="shared" si="11"/>
        <v>公共部分装修</v>
      </c>
      <c r="R28" s="705" t="s">
        <v>14</v>
      </c>
      <c r="S28" s="706">
        <f t="shared" si="12"/>
        <v>100</v>
      </c>
      <c r="T28" s="705" t="s">
        <v>14</v>
      </c>
      <c r="U28" s="706">
        <f t="shared" si="13"/>
        <v>100</v>
      </c>
      <c r="V28" s="705" t="s">
        <v>14</v>
      </c>
      <c r="W28" s="706">
        <f t="shared" si="14"/>
        <v>100</v>
      </c>
      <c r="X28" s="1354"/>
      <c r="Y28" s="372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6"/>
      <c r="Q29" s="1351" t="str">
        <f t="shared" si="11"/>
        <v>成新率</v>
      </c>
      <c r="R29" s="705" t="s">
        <v>14</v>
      </c>
      <c r="S29" s="706" t="e">
        <f t="shared" si="12"/>
        <v>#N/A</v>
      </c>
      <c r="T29" s="705" t="s">
        <v>14</v>
      </c>
      <c r="U29" s="706" t="e">
        <f t="shared" si="13"/>
        <v>#N/A</v>
      </c>
      <c r="V29" s="705" t="s">
        <v>14</v>
      </c>
      <c r="W29" s="706" t="e">
        <f t="shared" si="14"/>
        <v>#N/A</v>
      </c>
      <c r="X29" s="1354"/>
      <c r="Y29" s="372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6"/>
      <c r="Q30" s="1351" t="str">
        <f t="shared" si="11"/>
        <v>物业等级</v>
      </c>
      <c r="R30" s="705" t="s">
        <v>14</v>
      </c>
      <c r="S30" s="706">
        <f t="shared" si="12"/>
        <v>100</v>
      </c>
      <c r="T30" s="705" t="s">
        <v>14</v>
      </c>
      <c r="U30" s="706">
        <f t="shared" si="13"/>
        <v>100</v>
      </c>
      <c r="V30" s="705" t="s">
        <v>14</v>
      </c>
      <c r="W30" s="706">
        <f t="shared" si="14"/>
        <v>100</v>
      </c>
      <c r="X30" s="1354"/>
      <c r="Y30" s="372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6"/>
      <c r="Q31" s="1342"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6" t="s">
        <v>1696</v>
      </c>
      <c r="Q32" s="1351" t="str">
        <f t="shared" si="11"/>
        <v>车位类型</v>
      </c>
      <c r="R32" s="705" t="s">
        <v>14</v>
      </c>
      <c r="S32" s="706">
        <f t="shared" si="12"/>
        <v>100</v>
      </c>
      <c r="T32" s="705" t="s">
        <v>14</v>
      </c>
      <c r="U32" s="706">
        <f t="shared" si="13"/>
        <v>100</v>
      </c>
      <c r="V32" s="705" t="s">
        <v>14</v>
      </c>
      <c r="W32" s="706">
        <f t="shared" si="14"/>
        <v>100</v>
      </c>
      <c r="X32" s="1354"/>
      <c r="Y32" s="372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6"/>
      <c r="Q33" s="1351" t="str">
        <f t="shared" si="11"/>
        <v>是否直接入户</v>
      </c>
      <c r="R33" s="705" t="s">
        <v>14</v>
      </c>
      <c r="S33" s="706">
        <f t="shared" si="12"/>
        <v>100</v>
      </c>
      <c r="T33" s="705" t="s">
        <v>14</v>
      </c>
      <c r="U33" s="706">
        <f t="shared" si="13"/>
        <v>100</v>
      </c>
      <c r="V33" s="705" t="s">
        <v>14</v>
      </c>
      <c r="W33" s="706">
        <f t="shared" si="14"/>
        <v>100</v>
      </c>
      <c r="X33" s="1354"/>
      <c r="Y33" s="372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6"/>
      <c r="Q36" s="1351">
        <f t="shared" si="11"/>
        <v>111</v>
      </c>
      <c r="R36" s="705" t="s">
        <v>14</v>
      </c>
      <c r="S36" s="706">
        <f t="shared" si="12"/>
        <v>100</v>
      </c>
      <c r="T36" s="705" t="s">
        <v>14</v>
      </c>
      <c r="U36" s="706">
        <f t="shared" si="13"/>
        <v>100</v>
      </c>
      <c r="V36" s="705" t="s">
        <v>14</v>
      </c>
      <c r="W36" s="706">
        <f t="shared" si="14"/>
        <v>100</v>
      </c>
      <c r="X36" s="1354"/>
      <c r="Y36" s="3726"/>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1"/>
      <c r="M37" s="2722"/>
      <c r="N37" s="2713"/>
      <c r="O37" s="2722"/>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1"/>
      <c r="M39" s="2722"/>
      <c r="N39" s="2722"/>
      <c r="O39" s="2722"/>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9" t="s">
        <v>1686</v>
      </c>
      <c r="Q9" s="1342"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9"/>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9"/>
      <c r="Q11" s="1342">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9"/>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
      <c r="A14" s="391" t="s">
        <v>1690</v>
      </c>
      <c r="B14" s="61" t="s">
        <v>1833</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22"/>
      <c r="Q15" s="1351"/>
      <c r="R15" s="705"/>
      <c r="S15" s="706"/>
      <c r="T15" s="705"/>
      <c r="U15" s="706"/>
      <c r="V15" s="705"/>
      <c r="W15" s="706"/>
      <c r="X15" s="1354"/>
      <c r="Y15" s="3722"/>
      <c r="Z15" s="1355"/>
      <c r="AA15" s="1352">
        <v>1</v>
      </c>
      <c r="AB15" s="1352">
        <v>1</v>
      </c>
      <c r="AC15" s="1352">
        <v>1</v>
      </c>
    </row>
    <row r="16" spans="1:29" ht="15">
      <c r="A16" s="379"/>
      <c r="B16" s="402" t="s">
        <v>1812</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22"/>
      <c r="Q17" s="1351"/>
      <c r="R17" s="705"/>
      <c r="S17" s="706"/>
      <c r="T17" s="705"/>
      <c r="U17" s="706"/>
      <c r="V17" s="705"/>
      <c r="W17" s="706"/>
      <c r="X17" s="1354"/>
      <c r="Y17" s="3722"/>
      <c r="Z17" s="1355"/>
      <c r="AA17" s="1352">
        <v>1</v>
      </c>
      <c r="AB17" s="1352">
        <v>1</v>
      </c>
      <c r="AC17" s="1352">
        <v>1</v>
      </c>
    </row>
    <row r="18" spans="1:29" ht="15">
      <c r="A18" s="379"/>
      <c r="B18" s="1130"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22"/>
      <c r="Q19" s="1351"/>
      <c r="R19" s="705"/>
      <c r="S19" s="706"/>
      <c r="T19" s="705"/>
      <c r="U19" s="706"/>
      <c r="V19" s="705"/>
      <c r="W19" s="706"/>
      <c r="X19" s="1354"/>
      <c r="Y19" s="3722"/>
      <c r="Z19" s="1355"/>
      <c r="AA19" s="1352">
        <v>1</v>
      </c>
      <c r="AB19" s="1352">
        <v>1</v>
      </c>
      <c r="AC19" s="1352">
        <v>1</v>
      </c>
    </row>
    <row r="20" spans="1:29" ht="15">
      <c r="A20" s="379"/>
      <c r="B20" s="402" t="s">
        <v>1834</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22"/>
      <c r="Q21" s="1351"/>
      <c r="R21" s="705"/>
      <c r="S21" s="706"/>
      <c r="T21" s="705"/>
      <c r="U21" s="706"/>
      <c r="V21" s="705"/>
      <c r="W21" s="706"/>
      <c r="X21" s="1354"/>
      <c r="Y21" s="372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2"/>
      <c r="Q24" s="1351">
        <f t="shared" ref="Q24:Q34"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4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6"/>
      <c r="Q28" s="1351" t="str">
        <f t="shared" si="11"/>
        <v>物业等级</v>
      </c>
      <c r="R28" s="705" t="s">
        <v>14</v>
      </c>
      <c r="S28" s="706">
        <f t="shared" si="12"/>
        <v>100</v>
      </c>
      <c r="T28" s="705" t="s">
        <v>14</v>
      </c>
      <c r="U28" s="706">
        <f t="shared" si="13"/>
        <v>100</v>
      </c>
      <c r="V28" s="705" t="s">
        <v>14</v>
      </c>
      <c r="W28" s="706">
        <f t="shared" si="14"/>
        <v>100</v>
      </c>
      <c r="X28" s="1354"/>
      <c r="Y28" s="372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6"/>
      <c r="Q29" s="1351" t="str">
        <f t="shared" si="11"/>
        <v>有无电梯</v>
      </c>
      <c r="R29" s="705" t="s">
        <v>14</v>
      </c>
      <c r="S29" s="706">
        <f t="shared" si="12"/>
        <v>100</v>
      </c>
      <c r="T29" s="705" t="s">
        <v>14</v>
      </c>
      <c r="U29" s="706">
        <f t="shared" si="13"/>
        <v>100</v>
      </c>
      <c r="V29" s="705" t="s">
        <v>14</v>
      </c>
      <c r="W29" s="706">
        <f t="shared" si="14"/>
        <v>100</v>
      </c>
      <c r="X29" s="1354"/>
      <c r="Y29" s="372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6"/>
      <c r="Q30" s="1351" t="str">
        <f t="shared" si="11"/>
        <v>建筑面积</v>
      </c>
      <c r="R30" s="705" t="s">
        <v>14</v>
      </c>
      <c r="S30" s="706" t="e">
        <f t="shared" si="12"/>
        <v>#N/A</v>
      </c>
      <c r="T30" s="705" t="s">
        <v>14</v>
      </c>
      <c r="U30" s="706" t="e">
        <f t="shared" si="13"/>
        <v>#N/A</v>
      </c>
      <c r="V30" s="705" t="s">
        <v>14</v>
      </c>
      <c r="W30" s="706" t="e">
        <f t="shared" si="14"/>
        <v>#N/A</v>
      </c>
      <c r="X30" s="1354"/>
      <c r="Y30" s="372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6"/>
      <c r="Q31" s="1342"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6" t="s">
        <v>1696</v>
      </c>
      <c r="Q32" s="1351">
        <f t="shared" si="11"/>
        <v>111</v>
      </c>
      <c r="R32" s="705" t="s">
        <v>14</v>
      </c>
      <c r="S32" s="706">
        <f t="shared" si="12"/>
        <v>100</v>
      </c>
      <c r="T32" s="705" t="s">
        <v>14</v>
      </c>
      <c r="U32" s="706">
        <f t="shared" si="13"/>
        <v>100</v>
      </c>
      <c r="V32" s="705" t="s">
        <v>14</v>
      </c>
      <c r="W32" s="706">
        <f t="shared" si="14"/>
        <v>100</v>
      </c>
      <c r="X32" s="1354"/>
      <c r="Y32" s="372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6"/>
      <c r="Q33" s="1351">
        <f t="shared" si="11"/>
        <v>111</v>
      </c>
      <c r="R33" s="705" t="s">
        <v>14</v>
      </c>
      <c r="S33" s="706">
        <f t="shared" si="12"/>
        <v>100</v>
      </c>
      <c r="T33" s="705" t="s">
        <v>14</v>
      </c>
      <c r="U33" s="706">
        <f t="shared" si="13"/>
        <v>100</v>
      </c>
      <c r="V33" s="705" t="s">
        <v>14</v>
      </c>
      <c r="W33" s="706">
        <f t="shared" si="14"/>
        <v>100</v>
      </c>
      <c r="X33" s="1354"/>
      <c r="Y33" s="372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1"/>
      <c r="M35" s="2722"/>
      <c r="N35" s="2713"/>
      <c r="O35" s="2722"/>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1"/>
      <c r="M37" s="2722"/>
      <c r="N37" s="2722"/>
      <c r="O37" s="2722"/>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30"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685"/>
      <c r="AC5" s="3685"/>
    </row>
    <row r="6" spans="1:30"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4"/>
      <c r="Y6" s="3712"/>
      <c r="Z6" s="3713"/>
      <c r="AA6" s="3686"/>
      <c r="AB6" s="3686"/>
      <c r="AC6" s="3686"/>
    </row>
    <row r="7" spans="1:30" s="108" customFormat="1" ht="15.75" thickBot="1">
      <c r="A7" s="362" t="s">
        <v>1679</v>
      </c>
      <c r="B7" s="363"/>
      <c r="C7" s="364">
        <f>'数据-取费表'!B2</f>
        <v>44993</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87" t="s">
        <v>1683</v>
      </c>
      <c r="Q8" s="3688"/>
      <c r="R8" s="701" t="s">
        <v>14</v>
      </c>
      <c r="S8" s="702">
        <f t="shared" si="0"/>
        <v>0</v>
      </c>
      <c r="T8" s="701" t="s">
        <v>14</v>
      </c>
      <c r="U8" s="702">
        <f t="shared" si="1"/>
        <v>0</v>
      </c>
      <c r="V8" s="701" t="s">
        <v>14</v>
      </c>
      <c r="W8" s="702">
        <f t="shared" si="2"/>
        <v>0</v>
      </c>
      <c r="X8" s="703"/>
      <c r="Y8" s="3687"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19"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6"/>
      <c r="M10" s="2717"/>
      <c r="N10" s="2717"/>
      <c r="O10" s="2770"/>
      <c r="P10" s="3719"/>
      <c r="Q10" s="1342" t="str">
        <f t="shared" si="6"/>
        <v>土地使用年限（年）</v>
      </c>
      <c r="R10" s="701" t="s">
        <v>14</v>
      </c>
      <c r="S10" s="702">
        <f t="shared" si="0"/>
        <v>141</v>
      </c>
      <c r="T10" s="701" t="s">
        <v>14</v>
      </c>
      <c r="U10" s="702">
        <f t="shared" si="1"/>
        <v>141</v>
      </c>
      <c r="V10" s="701" t="s">
        <v>14</v>
      </c>
      <c r="W10" s="702">
        <f t="shared" si="2"/>
        <v>141</v>
      </c>
      <c r="X10" s="703"/>
      <c r="Y10" s="3612"/>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9"/>
      <c r="Q11" s="1342"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9"/>
      <c r="Q12" s="1342"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9"/>
      <c r="Q14" s="1342">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15">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1" t="s">
        <v>1691</v>
      </c>
      <c r="Q15" s="1351" t="str">
        <f t="shared" si="6"/>
        <v>居住社区成熟度</v>
      </c>
      <c r="R15" s="705" t="s">
        <v>14</v>
      </c>
      <c r="S15" s="706">
        <f t="shared" si="0"/>
        <v>100</v>
      </c>
      <c r="T15" s="705" t="s">
        <v>14</v>
      </c>
      <c r="U15" s="706">
        <f t="shared" si="1"/>
        <v>100</v>
      </c>
      <c r="V15" s="705" t="s">
        <v>14</v>
      </c>
      <c r="W15" s="706">
        <f t="shared" si="2"/>
        <v>100</v>
      </c>
      <c r="X15" s="1354"/>
      <c r="Y15" s="372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22"/>
      <c r="Q16" s="1351"/>
      <c r="R16" s="705"/>
      <c r="S16" s="706"/>
      <c r="T16" s="705"/>
      <c r="U16" s="706"/>
      <c r="V16" s="705"/>
      <c r="W16" s="706"/>
      <c r="X16" s="1354"/>
      <c r="Y16" s="3722"/>
      <c r="Z16" s="1355"/>
      <c r="AA16" s="1352">
        <v>1</v>
      </c>
      <c r="AB16" s="1352">
        <v>1</v>
      </c>
      <c r="AC16" s="1352">
        <v>1</v>
      </c>
    </row>
    <row r="17" spans="1:29" ht="15">
      <c r="A17" s="379"/>
      <c r="B17" s="402" t="s">
        <v>1777</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2"/>
      <c r="Q17" s="1351" t="str">
        <f>B17</f>
        <v>商业繁华度</v>
      </c>
      <c r="R17" s="705" t="s">
        <v>14</v>
      </c>
      <c r="S17" s="706">
        <f>F17</f>
        <v>100</v>
      </c>
      <c r="T17" s="705" t="s">
        <v>14</v>
      </c>
      <c r="U17" s="706">
        <f>H17</f>
        <v>100</v>
      </c>
      <c r="V17" s="705" t="s">
        <v>14</v>
      </c>
      <c r="W17" s="706">
        <f>J17</f>
        <v>100</v>
      </c>
      <c r="X17" s="1354"/>
      <c r="Y17" s="372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22"/>
      <c r="Q18" s="1351"/>
      <c r="R18" s="705"/>
      <c r="S18" s="706"/>
      <c r="T18" s="705"/>
      <c r="U18" s="706"/>
      <c r="V18" s="705"/>
      <c r="W18" s="706"/>
      <c r="X18" s="1354"/>
      <c r="Y18" s="3722"/>
      <c r="Z18" s="1355"/>
      <c r="AA18" s="1352">
        <v>1</v>
      </c>
      <c r="AB18" s="1352">
        <v>1</v>
      </c>
      <c r="AC18" s="1352">
        <v>1</v>
      </c>
    </row>
    <row r="19" spans="1:29" ht="15">
      <c r="A19" s="379"/>
      <c r="B19" s="402" t="s">
        <v>1811</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2"/>
      <c r="Q19" s="1351" t="str">
        <f>B19</f>
        <v>办公集聚程度</v>
      </c>
      <c r="R19" s="705" t="s">
        <v>14</v>
      </c>
      <c r="S19" s="706">
        <f>F19</f>
        <v>100</v>
      </c>
      <c r="T19" s="705" t="s">
        <v>14</v>
      </c>
      <c r="U19" s="706">
        <f>H19</f>
        <v>100</v>
      </c>
      <c r="V19" s="705" t="s">
        <v>14</v>
      </c>
      <c r="W19" s="706">
        <f>J19</f>
        <v>100</v>
      </c>
      <c r="X19" s="1354"/>
      <c r="Y19" s="372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22"/>
      <c r="Q20" s="1351"/>
      <c r="R20" s="705"/>
      <c r="S20" s="706"/>
      <c r="T20" s="705"/>
      <c r="U20" s="706"/>
      <c r="V20" s="705"/>
      <c r="W20" s="706"/>
      <c r="X20" s="1354"/>
      <c r="Y20" s="3722"/>
      <c r="Z20" s="1355"/>
      <c r="AA20" s="1352">
        <v>1</v>
      </c>
      <c r="AB20" s="1352">
        <v>1</v>
      </c>
      <c r="AC20" s="1352">
        <v>1</v>
      </c>
    </row>
    <row r="21" spans="1:29" ht="15">
      <c r="A21" s="379"/>
      <c r="B21" s="402" t="s">
        <v>1833</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2"/>
      <c r="Q21" s="1351" t="str">
        <f>B21</f>
        <v>交通便捷度</v>
      </c>
      <c r="R21" s="705" t="s">
        <v>14</v>
      </c>
      <c r="S21" s="706">
        <f>F21</f>
        <v>100</v>
      </c>
      <c r="T21" s="705" t="s">
        <v>14</v>
      </c>
      <c r="U21" s="706">
        <f>H21</f>
        <v>100</v>
      </c>
      <c r="V21" s="705" t="s">
        <v>14</v>
      </c>
      <c r="W21" s="706">
        <f>J21</f>
        <v>100</v>
      </c>
      <c r="X21" s="1354"/>
      <c r="Y21" s="372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22"/>
      <c r="Q22" s="1351"/>
      <c r="R22" s="705"/>
      <c r="S22" s="706"/>
      <c r="T22" s="705"/>
      <c r="U22" s="706"/>
      <c r="V22" s="705"/>
      <c r="W22" s="706"/>
      <c r="X22" s="1354"/>
      <c r="Y22" s="372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2"/>
      <c r="Q23" s="1351" t="str">
        <f t="shared" ref="Q23:Q37" si="8">B23</f>
        <v>区域土地利用方向</v>
      </c>
      <c r="R23" s="705" t="s">
        <v>14</v>
      </c>
      <c r="S23" s="706">
        <f>F23</f>
        <v>100</v>
      </c>
      <c r="T23" s="705" t="s">
        <v>14</v>
      </c>
      <c r="U23" s="706">
        <f>H23</f>
        <v>100</v>
      </c>
      <c r="V23" s="705" t="s">
        <v>14</v>
      </c>
      <c r="W23" s="706">
        <f>J23</f>
        <v>100</v>
      </c>
      <c r="X23" s="1354"/>
      <c r="Y23" s="372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722"/>
      <c r="Q24" s="1351"/>
      <c r="R24" s="705"/>
      <c r="S24" s="706"/>
      <c r="T24" s="705"/>
      <c r="U24" s="706"/>
      <c r="V24" s="705"/>
      <c r="W24" s="706"/>
      <c r="X24" s="1354"/>
      <c r="Y24" s="3722"/>
      <c r="Z24" s="1355"/>
      <c r="AA24" s="1352"/>
      <c r="AB24" s="1352"/>
      <c r="AC24" s="1352"/>
    </row>
    <row r="25" spans="1:29" ht="27">
      <c r="A25" s="358"/>
      <c r="B25" s="1130" t="s">
        <v>1872</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2"/>
      <c r="Q25" s="1351" t="str">
        <f t="shared" si="8"/>
        <v>自然及人文环境状况</v>
      </c>
      <c r="R25" s="705" t="s">
        <v>14</v>
      </c>
      <c r="S25" s="706">
        <f>F25</f>
        <v>100</v>
      </c>
      <c r="T25" s="705" t="s">
        <v>14</v>
      </c>
      <c r="U25" s="706">
        <f>H25</f>
        <v>100</v>
      </c>
      <c r="V25" s="705" t="s">
        <v>14</v>
      </c>
      <c r="W25" s="706">
        <f>J25</f>
        <v>100</v>
      </c>
      <c r="X25" s="1354"/>
      <c r="Y25" s="372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22"/>
      <c r="Q26" s="1351"/>
      <c r="R26" s="705"/>
      <c r="S26" s="706"/>
      <c r="T26" s="705"/>
      <c r="U26" s="706"/>
      <c r="V26" s="705"/>
      <c r="W26" s="706"/>
      <c r="X26" s="1354"/>
      <c r="Y26" s="3722"/>
      <c r="Z26" s="1355"/>
      <c r="AA26" s="1352">
        <v>1</v>
      </c>
      <c r="AB26" s="1352">
        <v>1</v>
      </c>
      <c r="AC26" s="1352">
        <v>1</v>
      </c>
    </row>
    <row r="27" spans="1:29" s="108" customFormat="1" ht="15">
      <c r="A27" s="597"/>
      <c r="B27" s="1130" t="s">
        <v>1778</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2"/>
      <c r="Q27" s="1342" t="str">
        <f t="shared" si="8"/>
        <v>公共配套设施</v>
      </c>
      <c r="R27" s="701" t="s">
        <v>14</v>
      </c>
      <c r="S27" s="702">
        <f>F27</f>
        <v>100</v>
      </c>
      <c r="T27" s="701" t="s">
        <v>14</v>
      </c>
      <c r="U27" s="702">
        <f>H27</f>
        <v>100</v>
      </c>
      <c r="V27" s="701" t="s">
        <v>14</v>
      </c>
      <c r="W27" s="702">
        <f>J27</f>
        <v>100</v>
      </c>
      <c r="X27" s="703"/>
      <c r="Y27" s="372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22"/>
      <c r="Q28" s="1342"/>
      <c r="R28" s="701"/>
      <c r="S28" s="702"/>
      <c r="T28" s="701"/>
      <c r="U28" s="702"/>
      <c r="V28" s="701"/>
      <c r="W28" s="702"/>
      <c r="X28" s="703"/>
      <c r="Y28" s="3722"/>
      <c r="Z28" s="52"/>
      <c r="AA28" s="1352">
        <v>1</v>
      </c>
      <c r="AB28" s="1352">
        <v>1</v>
      </c>
      <c r="AC28" s="1352">
        <v>1</v>
      </c>
    </row>
    <row r="29" spans="1:29" s="108" customFormat="1" ht="15">
      <c r="A29" s="597"/>
      <c r="B29" s="1130"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2"/>
      <c r="Q29" s="1342"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22"/>
      <c r="Q30" s="1342"/>
      <c r="R30" s="701"/>
      <c r="S30" s="702"/>
      <c r="T30" s="701"/>
      <c r="U30" s="702"/>
      <c r="V30" s="701"/>
      <c r="W30" s="702"/>
      <c r="X30" s="703"/>
      <c r="Y30" s="372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2"/>
      <c r="Q32" s="1351" t="str">
        <f t="shared" si="8"/>
        <v>毗邻道路的类型与等级</v>
      </c>
      <c r="R32" s="705" t="s">
        <v>14</v>
      </c>
      <c r="S32" s="706">
        <f t="shared" si="10"/>
        <v>100</v>
      </c>
      <c r="T32" s="705" t="s">
        <v>14</v>
      </c>
      <c r="U32" s="706">
        <f t="shared" si="11"/>
        <v>100</v>
      </c>
      <c r="V32" s="705" t="s">
        <v>14</v>
      </c>
      <c r="W32" s="706">
        <f t="shared" si="12"/>
        <v>100</v>
      </c>
      <c r="X32" s="1354"/>
      <c r="Y32" s="372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22"/>
      <c r="Q33" s="1351"/>
      <c r="R33" s="705"/>
      <c r="S33" s="706"/>
      <c r="T33" s="705"/>
      <c r="U33" s="706"/>
      <c r="V33" s="705"/>
      <c r="W33" s="706"/>
      <c r="X33" s="1354"/>
      <c r="Y33" s="372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2"/>
      <c r="Q34" s="1351" t="str">
        <f t="shared" si="8"/>
        <v>土地级别</v>
      </c>
      <c r="R34" s="705" t="s">
        <v>14</v>
      </c>
      <c r="S34" s="706">
        <f t="shared" si="10"/>
        <v>100</v>
      </c>
      <c r="T34" s="705" t="s">
        <v>14</v>
      </c>
      <c r="U34" s="706">
        <f t="shared" si="11"/>
        <v>100</v>
      </c>
      <c r="V34" s="705" t="s">
        <v>14</v>
      </c>
      <c r="W34" s="706">
        <f t="shared" si="12"/>
        <v>100</v>
      </c>
      <c r="X34" s="1354"/>
      <c r="Y34" s="372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2"/>
      <c r="Q35" s="1351">
        <f t="shared" si="8"/>
        <v>111</v>
      </c>
      <c r="R35" s="705" t="s">
        <v>14</v>
      </c>
      <c r="S35" s="706">
        <f t="shared" si="10"/>
        <v>100</v>
      </c>
      <c r="T35" s="705" t="s">
        <v>14</v>
      </c>
      <c r="U35" s="706">
        <f t="shared" si="11"/>
        <v>100</v>
      </c>
      <c r="V35" s="705" t="s">
        <v>14</v>
      </c>
      <c r="W35" s="706">
        <f t="shared" si="12"/>
        <v>100</v>
      </c>
      <c r="X35" s="1354"/>
      <c r="Y35" s="372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5" t="s">
        <v>1696</v>
      </c>
      <c r="Q36" s="1351">
        <f t="shared" si="8"/>
        <v>111</v>
      </c>
      <c r="R36" s="705" t="s">
        <v>14</v>
      </c>
      <c r="S36" s="706">
        <f t="shared" si="10"/>
        <v>100</v>
      </c>
      <c r="T36" s="705" t="s">
        <v>14</v>
      </c>
      <c r="U36" s="706">
        <f t="shared" si="11"/>
        <v>100</v>
      </c>
      <c r="V36" s="705" t="s">
        <v>14</v>
      </c>
      <c r="W36" s="706">
        <f t="shared" si="12"/>
        <v>100</v>
      </c>
      <c r="X36" s="1354"/>
      <c r="Y36" s="372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6"/>
      <c r="Q37" s="1351">
        <f t="shared" si="8"/>
        <v>111</v>
      </c>
      <c r="R37" s="708" t="s">
        <v>14</v>
      </c>
      <c r="S37" s="709">
        <f t="shared" si="10"/>
        <v>100</v>
      </c>
      <c r="T37" s="708" t="s">
        <v>14</v>
      </c>
      <c r="U37" s="709">
        <f t="shared" si="11"/>
        <v>100</v>
      </c>
      <c r="V37" s="708" t="s">
        <v>14</v>
      </c>
      <c r="W37" s="709">
        <f t="shared" si="12"/>
        <v>100</v>
      </c>
      <c r="X37" s="710"/>
      <c r="Y37" s="372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6"/>
      <c r="Q38" s="1351" t="str">
        <f>B38</f>
        <v>宗地面积</v>
      </c>
      <c r="R38" s="705" t="s">
        <v>14</v>
      </c>
      <c r="S38" s="706" t="e">
        <f t="shared" si="10"/>
        <v>#N/A</v>
      </c>
      <c r="T38" s="705" t="s">
        <v>14</v>
      </c>
      <c r="U38" s="706" t="e">
        <f t="shared" si="11"/>
        <v>#N/A</v>
      </c>
      <c r="V38" s="705" t="s">
        <v>14</v>
      </c>
      <c r="W38" s="706" t="e">
        <f t="shared" si="12"/>
        <v>#N/A</v>
      </c>
      <c r="X38" s="1354"/>
      <c r="Y38" s="372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26"/>
      <c r="Q39" s="1351" t="str">
        <f t="shared" ref="Q39:Q45" si="14">B39</f>
        <v>宗地形状</v>
      </c>
      <c r="R39" s="705" t="s">
        <v>14</v>
      </c>
      <c r="S39" s="706">
        <f t="shared" si="10"/>
        <v>100</v>
      </c>
      <c r="T39" s="705" t="s">
        <v>14</v>
      </c>
      <c r="U39" s="706">
        <f t="shared" si="11"/>
        <v>100</v>
      </c>
      <c r="V39" s="705" t="s">
        <v>14</v>
      </c>
      <c r="W39" s="706">
        <f t="shared" si="12"/>
        <v>100</v>
      </c>
      <c r="X39" s="1354"/>
      <c r="Y39" s="372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26"/>
      <c r="Q40" s="1351" t="str">
        <f t="shared" si="14"/>
        <v>临街宽度及深度</v>
      </c>
      <c r="R40" s="705" t="s">
        <v>14</v>
      </c>
      <c r="S40" s="706">
        <f t="shared" si="10"/>
        <v>100</v>
      </c>
      <c r="T40" s="705" t="s">
        <v>14</v>
      </c>
      <c r="U40" s="706">
        <f t="shared" si="11"/>
        <v>100</v>
      </c>
      <c r="V40" s="705" t="s">
        <v>14</v>
      </c>
      <c r="W40" s="706">
        <f t="shared" si="12"/>
        <v>100</v>
      </c>
      <c r="X40" s="1354"/>
      <c r="Y40" s="372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26"/>
      <c r="Q41" s="1351"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26" t="s">
        <v>1696</v>
      </c>
      <c r="Q42" s="1351" t="str">
        <f t="shared" si="14"/>
        <v>工程地质条件</v>
      </c>
      <c r="R42" s="705" t="s">
        <v>14</v>
      </c>
      <c r="S42" s="706">
        <f t="shared" si="10"/>
        <v>100</v>
      </c>
      <c r="T42" s="705" t="s">
        <v>14</v>
      </c>
      <c r="U42" s="706">
        <f t="shared" si="11"/>
        <v>100</v>
      </c>
      <c r="V42" s="705" t="s">
        <v>14</v>
      </c>
      <c r="W42" s="706">
        <f t="shared" si="12"/>
        <v>100</v>
      </c>
      <c r="X42" s="1354"/>
      <c r="Y42" s="372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6"/>
      <c r="Q43" s="1351">
        <f t="shared" si="14"/>
        <v>111</v>
      </c>
      <c r="R43" s="705" t="s">
        <v>14</v>
      </c>
      <c r="S43" s="706">
        <f t="shared" si="10"/>
        <v>100</v>
      </c>
      <c r="T43" s="705" t="s">
        <v>14</v>
      </c>
      <c r="U43" s="706">
        <f t="shared" si="11"/>
        <v>100</v>
      </c>
      <c r="V43" s="705" t="s">
        <v>14</v>
      </c>
      <c r="W43" s="706">
        <f t="shared" si="12"/>
        <v>100</v>
      </c>
      <c r="X43" s="1354"/>
      <c r="Y43" s="372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6"/>
      <c r="Q44" s="1351">
        <f t="shared" si="14"/>
        <v>111</v>
      </c>
      <c r="R44" s="705" t="s">
        <v>14</v>
      </c>
      <c r="S44" s="706">
        <f t="shared" si="10"/>
        <v>100</v>
      </c>
      <c r="T44" s="705" t="s">
        <v>14</v>
      </c>
      <c r="U44" s="706">
        <f t="shared" si="11"/>
        <v>100</v>
      </c>
      <c r="V44" s="705" t="s">
        <v>14</v>
      </c>
      <c r="W44" s="706">
        <f t="shared" si="12"/>
        <v>100</v>
      </c>
      <c r="X44" s="1354"/>
      <c r="Y44" s="372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6"/>
      <c r="Q45" s="1351">
        <f t="shared" si="14"/>
        <v>111</v>
      </c>
      <c r="R45" s="708" t="s">
        <v>14</v>
      </c>
      <c r="S45" s="709">
        <f t="shared" si="10"/>
        <v>100</v>
      </c>
      <c r="T45" s="708" t="s">
        <v>14</v>
      </c>
      <c r="U45" s="709">
        <f t="shared" si="11"/>
        <v>100</v>
      </c>
      <c r="V45" s="708" t="s">
        <v>14</v>
      </c>
      <c r="W45" s="709">
        <f t="shared" si="12"/>
        <v>100</v>
      </c>
      <c r="X45" s="710"/>
      <c r="Y45" s="3726"/>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1"/>
      <c r="M46" s="2722"/>
      <c r="N46" s="2713"/>
      <c r="O46" s="2722"/>
      <c r="P46" s="3719" t="str">
        <f>A46</f>
        <v>成交单价</v>
      </c>
      <c r="Q46" s="3719"/>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1"/>
      <c r="M47" s="2722"/>
      <c r="N47" s="2722"/>
      <c r="O47" s="2722"/>
      <c r="P47" s="3719" t="str">
        <f>A47</f>
        <v>比较价值（元/平方米）</v>
      </c>
      <c r="Q47" s="3719"/>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16" t="str">
        <f>A48</f>
        <v>估价对象XX用房的比较价值（楼面单价，元/平方米）</v>
      </c>
      <c r="Q48" s="3717"/>
      <c r="R48" s="3748" t="e">
        <f>ROUND(IF(D47="简单平均",AVERAGE(R47:W47),R47*F47+T47*H47+V47*J47),0)</f>
        <v>#DIV/0!</v>
      </c>
      <c r="S48" s="3748"/>
      <c r="T48" s="3748"/>
      <c r="U48" s="3748"/>
      <c r="V48" s="3748"/>
      <c r="W48" s="374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02" t="s">
        <v>1887</v>
      </c>
      <c r="H55" s="3749"/>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74.91</v>
      </c>
      <c r="F56" s="885" t="e">
        <f t="shared" ref="F56:F64" si="15">ROUND(B56*E56/10000,0)</f>
        <v>#DIV/0!</v>
      </c>
      <c r="G56" s="3701"/>
      <c r="H56" s="3719"/>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一级</v>
      </c>
      <c r="I60" s="890">
        <f>SUMIF(修正!A57:A68,H60,修正!E57:E68)</f>
        <v>0.3</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一级</v>
      </c>
      <c r="I61" s="890">
        <f>SUMIF(修正!A57:A68,H61,修正!F57:F68)</f>
        <v>0.3</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一级</v>
      </c>
      <c r="I64" s="892">
        <f>SUMIF(修正!A57:A68,H64,修正!G57:G68)</f>
        <v>0.2</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74.91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685"/>
      <c r="AC5" s="3685"/>
    </row>
    <row r="6" spans="1:29" ht="15.75" thickBot="1">
      <c r="A6" s="360"/>
      <c r="B6" s="361"/>
      <c r="C6" s="3750" t="s">
        <v>1919</v>
      </c>
      <c r="D6" s="3751"/>
      <c r="E6" s="3752" t="s">
        <v>1919</v>
      </c>
      <c r="F6" s="3753"/>
      <c r="G6" s="3750" t="s">
        <v>1919</v>
      </c>
      <c r="H6" s="3751"/>
      <c r="I6" s="3750" t="s">
        <v>1919</v>
      </c>
      <c r="J6" s="3751"/>
      <c r="K6" s="559" t="s">
        <v>1678</v>
      </c>
      <c r="L6" s="2712"/>
      <c r="M6" s="2713"/>
      <c r="N6" s="2713"/>
      <c r="O6" s="27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7" t="s">
        <v>1683</v>
      </c>
      <c r="Q8" s="3688"/>
      <c r="R8" s="701" t="s">
        <v>14</v>
      </c>
      <c r="S8" s="702">
        <f t="shared" si="0"/>
        <v>0</v>
      </c>
      <c r="T8" s="701" t="s">
        <v>14</v>
      </c>
      <c r="U8" s="702">
        <f t="shared" si="1"/>
        <v>0</v>
      </c>
      <c r="V8" s="701" t="s">
        <v>14</v>
      </c>
      <c r="W8" s="702">
        <f t="shared" si="2"/>
        <v>0</v>
      </c>
      <c r="X8" s="703"/>
      <c r="Y8" s="3687"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19"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6"/>
      <c r="M10" s="2717"/>
      <c r="N10" s="2717"/>
      <c r="O10" s="2770"/>
      <c r="P10" s="3719"/>
      <c r="Q10" s="1342" t="str">
        <f t="shared" si="6"/>
        <v>土地使用年限（年）</v>
      </c>
      <c r="R10" s="701" t="s">
        <v>14</v>
      </c>
      <c r="S10" s="702">
        <f t="shared" si="0"/>
        <v>141</v>
      </c>
      <c r="T10" s="701" t="s">
        <v>14</v>
      </c>
      <c r="U10" s="702">
        <f t="shared" si="1"/>
        <v>141</v>
      </c>
      <c r="V10" s="701" t="s">
        <v>14</v>
      </c>
      <c r="W10" s="702">
        <f t="shared" si="2"/>
        <v>141</v>
      </c>
      <c r="X10" s="703"/>
      <c r="Y10" s="3612"/>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9"/>
      <c r="Q11" s="1342"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9"/>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9"/>
      <c r="Q14" s="1342">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22"/>
      <c r="Q16" s="1351"/>
      <c r="R16" s="705"/>
      <c r="S16" s="706"/>
      <c r="T16" s="705"/>
      <c r="U16" s="706"/>
      <c r="V16" s="705"/>
      <c r="W16" s="706"/>
      <c r="X16" s="1354"/>
      <c r="Y16" s="372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22"/>
      <c r="Q18" s="1351"/>
      <c r="R18" s="705"/>
      <c r="S18" s="706"/>
      <c r="T18" s="705"/>
      <c r="U18" s="706"/>
      <c r="V18" s="705"/>
      <c r="W18" s="706"/>
      <c r="X18" s="1354"/>
      <c r="Y18" s="372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2"/>
      <c r="Q19" s="1351" t="str">
        <f t="shared" ref="Q19:Q33" si="8">B19</f>
        <v>区域土地利用方向</v>
      </c>
      <c r="R19" s="705" t="s">
        <v>14</v>
      </c>
      <c r="S19" s="706">
        <f>F19</f>
        <v>100</v>
      </c>
      <c r="T19" s="705" t="s">
        <v>14</v>
      </c>
      <c r="U19" s="706">
        <f>H19</f>
        <v>100</v>
      </c>
      <c r="V19" s="705" t="s">
        <v>14</v>
      </c>
      <c r="W19" s="706">
        <f>J19</f>
        <v>100</v>
      </c>
      <c r="X19" s="1354"/>
      <c r="Y19" s="372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722"/>
      <c r="Q20" s="1351"/>
      <c r="R20" s="705"/>
      <c r="S20" s="706"/>
      <c r="T20" s="705"/>
      <c r="U20" s="706"/>
      <c r="V20" s="705"/>
      <c r="W20" s="706"/>
      <c r="X20" s="1354"/>
      <c r="Y20" s="372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2"/>
      <c r="Q21" s="1351" t="str">
        <f t="shared" si="8"/>
        <v>环境状况</v>
      </c>
      <c r="R21" s="705" t="s">
        <v>14</v>
      </c>
      <c r="S21" s="706">
        <f>F21</f>
        <v>100</v>
      </c>
      <c r="T21" s="705" t="s">
        <v>14</v>
      </c>
      <c r="U21" s="706">
        <f>H21</f>
        <v>100</v>
      </c>
      <c r="V21" s="705" t="s">
        <v>14</v>
      </c>
      <c r="W21" s="706">
        <f>J21</f>
        <v>100</v>
      </c>
      <c r="X21" s="1354"/>
      <c r="Y21" s="372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22"/>
      <c r="Q22" s="1351"/>
      <c r="R22" s="705"/>
      <c r="S22" s="706"/>
      <c r="T22" s="705"/>
      <c r="U22" s="706"/>
      <c r="V22" s="705"/>
      <c r="W22" s="706"/>
      <c r="X22" s="1354"/>
      <c r="Y22" s="372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2"/>
      <c r="Q23" s="1342" t="str">
        <f t="shared" si="8"/>
        <v>公共配套设施</v>
      </c>
      <c r="R23" s="701" t="s">
        <v>14</v>
      </c>
      <c r="S23" s="702">
        <f>F23</f>
        <v>100</v>
      </c>
      <c r="T23" s="701" t="s">
        <v>14</v>
      </c>
      <c r="U23" s="702">
        <f>H23</f>
        <v>100</v>
      </c>
      <c r="V23" s="701" t="s">
        <v>14</v>
      </c>
      <c r="W23" s="702">
        <f>J23</f>
        <v>100</v>
      </c>
      <c r="X23" s="703"/>
      <c r="Y23" s="372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22"/>
      <c r="Q24" s="1342"/>
      <c r="R24" s="701"/>
      <c r="S24" s="702"/>
      <c r="T24" s="701"/>
      <c r="U24" s="702"/>
      <c r="V24" s="701"/>
      <c r="W24" s="702"/>
      <c r="X24" s="703"/>
      <c r="Y24" s="372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2"/>
      <c r="Q25" s="1342"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22"/>
      <c r="Q26" s="1342"/>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2"/>
      <c r="Q28" s="1351" t="str">
        <f t="shared" si="8"/>
        <v>毗邻道路的类型与等级</v>
      </c>
      <c r="R28" s="705" t="s">
        <v>14</v>
      </c>
      <c r="S28" s="706">
        <f t="shared" si="10"/>
        <v>100</v>
      </c>
      <c r="T28" s="705" t="s">
        <v>14</v>
      </c>
      <c r="U28" s="706">
        <f t="shared" si="11"/>
        <v>100</v>
      </c>
      <c r="V28" s="705" t="s">
        <v>14</v>
      </c>
      <c r="W28" s="706">
        <f t="shared" si="12"/>
        <v>100</v>
      </c>
      <c r="X28" s="1354"/>
      <c r="Y28" s="372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22"/>
      <c r="Q29" s="1351"/>
      <c r="R29" s="705"/>
      <c r="S29" s="706"/>
      <c r="T29" s="705"/>
      <c r="U29" s="706"/>
      <c r="V29" s="705"/>
      <c r="W29" s="706"/>
      <c r="X29" s="1354"/>
      <c r="Y29" s="372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2"/>
      <c r="Q30" s="1351" t="str">
        <f t="shared" si="8"/>
        <v>土地级别</v>
      </c>
      <c r="R30" s="705" t="s">
        <v>14</v>
      </c>
      <c r="S30" s="706">
        <f t="shared" si="10"/>
        <v>100</v>
      </c>
      <c r="T30" s="705" t="s">
        <v>14</v>
      </c>
      <c r="U30" s="706">
        <f t="shared" si="11"/>
        <v>100</v>
      </c>
      <c r="V30" s="705" t="s">
        <v>14</v>
      </c>
      <c r="W30" s="706">
        <f t="shared" si="12"/>
        <v>100</v>
      </c>
      <c r="X30" s="1354"/>
      <c r="Y30" s="372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2"/>
      <c r="Q31" s="1351">
        <f t="shared" si="8"/>
        <v>111</v>
      </c>
      <c r="R31" s="705" t="s">
        <v>14</v>
      </c>
      <c r="S31" s="706">
        <f t="shared" si="10"/>
        <v>100</v>
      </c>
      <c r="T31" s="705" t="s">
        <v>14</v>
      </c>
      <c r="U31" s="706">
        <f t="shared" si="11"/>
        <v>100</v>
      </c>
      <c r="V31" s="705" t="s">
        <v>14</v>
      </c>
      <c r="W31" s="706">
        <f t="shared" si="12"/>
        <v>100</v>
      </c>
      <c r="X31" s="1354"/>
      <c r="Y31" s="372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5" t="s">
        <v>1696</v>
      </c>
      <c r="Q32" s="1351">
        <f t="shared" si="8"/>
        <v>111</v>
      </c>
      <c r="R32" s="705" t="s">
        <v>14</v>
      </c>
      <c r="S32" s="706">
        <f t="shared" si="10"/>
        <v>100</v>
      </c>
      <c r="T32" s="705" t="s">
        <v>14</v>
      </c>
      <c r="U32" s="706">
        <f t="shared" si="11"/>
        <v>100</v>
      </c>
      <c r="V32" s="705" t="s">
        <v>14</v>
      </c>
      <c r="W32" s="706">
        <f t="shared" si="12"/>
        <v>100</v>
      </c>
      <c r="X32" s="1354"/>
      <c r="Y32" s="372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6"/>
      <c r="Q33" s="1351">
        <f t="shared" si="8"/>
        <v>111</v>
      </c>
      <c r="R33" s="708" t="s">
        <v>14</v>
      </c>
      <c r="S33" s="709">
        <f t="shared" si="10"/>
        <v>100</v>
      </c>
      <c r="T33" s="708" t="s">
        <v>14</v>
      </c>
      <c r="U33" s="709">
        <f t="shared" si="11"/>
        <v>100</v>
      </c>
      <c r="V33" s="708" t="s">
        <v>14</v>
      </c>
      <c r="W33" s="709">
        <f t="shared" si="12"/>
        <v>100</v>
      </c>
      <c r="X33" s="710"/>
      <c r="Y33" s="372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6"/>
      <c r="Q34" s="1351" t="str">
        <f>B34</f>
        <v>宗地面积</v>
      </c>
      <c r="R34" s="705" t="s">
        <v>14</v>
      </c>
      <c r="S34" s="706" t="e">
        <f t="shared" si="10"/>
        <v>#N/A</v>
      </c>
      <c r="T34" s="705" t="s">
        <v>14</v>
      </c>
      <c r="U34" s="706" t="e">
        <f t="shared" si="11"/>
        <v>#N/A</v>
      </c>
      <c r="V34" s="705" t="s">
        <v>14</v>
      </c>
      <c r="W34" s="706" t="e">
        <f t="shared" si="12"/>
        <v>#N/A</v>
      </c>
      <c r="X34" s="1354"/>
      <c r="Y34" s="372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26"/>
      <c r="Q35" s="1351" t="str">
        <f t="shared" ref="Q35:Q40" si="14">B35</f>
        <v>宗地形状</v>
      </c>
      <c r="R35" s="705" t="s">
        <v>14</v>
      </c>
      <c r="S35" s="706">
        <f t="shared" si="10"/>
        <v>100</v>
      </c>
      <c r="T35" s="705" t="s">
        <v>14</v>
      </c>
      <c r="U35" s="706">
        <f t="shared" si="11"/>
        <v>100</v>
      </c>
      <c r="V35" s="705" t="s">
        <v>14</v>
      </c>
      <c r="W35" s="706">
        <f t="shared" si="12"/>
        <v>100</v>
      </c>
      <c r="X35" s="1354"/>
      <c r="Y35" s="372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26"/>
      <c r="Q36" s="1351"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26" t="s">
        <v>1696</v>
      </c>
      <c r="Q37" s="1351" t="str">
        <f t="shared" si="14"/>
        <v>工程地质条件</v>
      </c>
      <c r="R37" s="705" t="s">
        <v>14</v>
      </c>
      <c r="S37" s="706">
        <f t="shared" si="10"/>
        <v>100</v>
      </c>
      <c r="T37" s="705" t="s">
        <v>14</v>
      </c>
      <c r="U37" s="706">
        <f t="shared" si="11"/>
        <v>100</v>
      </c>
      <c r="V37" s="705" t="s">
        <v>14</v>
      </c>
      <c r="W37" s="706">
        <f t="shared" si="12"/>
        <v>100</v>
      </c>
      <c r="X37" s="1354"/>
      <c r="Y37" s="372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6"/>
      <c r="Q38" s="1351">
        <f t="shared" si="14"/>
        <v>111</v>
      </c>
      <c r="R38" s="705" t="s">
        <v>14</v>
      </c>
      <c r="S38" s="706">
        <f t="shared" si="10"/>
        <v>100</v>
      </c>
      <c r="T38" s="705" t="s">
        <v>14</v>
      </c>
      <c r="U38" s="706">
        <f t="shared" si="11"/>
        <v>100</v>
      </c>
      <c r="V38" s="705" t="s">
        <v>14</v>
      </c>
      <c r="W38" s="706">
        <f t="shared" si="12"/>
        <v>100</v>
      </c>
      <c r="X38" s="1354"/>
      <c r="Y38" s="372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6"/>
      <c r="Q39" s="1351">
        <f t="shared" si="14"/>
        <v>111</v>
      </c>
      <c r="R39" s="705" t="s">
        <v>14</v>
      </c>
      <c r="S39" s="706">
        <f t="shared" si="10"/>
        <v>100</v>
      </c>
      <c r="T39" s="705" t="s">
        <v>14</v>
      </c>
      <c r="U39" s="706">
        <f t="shared" si="11"/>
        <v>100</v>
      </c>
      <c r="V39" s="705" t="s">
        <v>14</v>
      </c>
      <c r="W39" s="706">
        <f t="shared" si="12"/>
        <v>100</v>
      </c>
      <c r="X39" s="1354"/>
      <c r="Y39" s="372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6"/>
      <c r="Q40" s="1351">
        <f t="shared" si="14"/>
        <v>111</v>
      </c>
      <c r="R40" s="708" t="s">
        <v>14</v>
      </c>
      <c r="S40" s="709">
        <f t="shared" si="10"/>
        <v>100</v>
      </c>
      <c r="T40" s="708" t="s">
        <v>14</v>
      </c>
      <c r="U40" s="709">
        <f t="shared" si="11"/>
        <v>100</v>
      </c>
      <c r="V40" s="708" t="s">
        <v>14</v>
      </c>
      <c r="W40" s="709">
        <f t="shared" si="12"/>
        <v>100</v>
      </c>
      <c r="X40" s="710"/>
      <c r="Y40" s="372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1"/>
      <c r="M41" s="2713"/>
      <c r="N41" s="2713"/>
      <c r="O41" s="2722"/>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719" t="str">
        <f>A42</f>
        <v>比较价值（元/平方米）</v>
      </c>
      <c r="Q42" s="3719"/>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16" t="str">
        <f>A43</f>
        <v>估价对象XX用房的比较价值（楼面单价，元/平方米）</v>
      </c>
      <c r="Q43" s="3717"/>
      <c r="R43" s="3748" t="e">
        <f>ROUND(IF(D42="简单平均",AVERAGE(R42:W42),R42*F42+T42*H42+V42*J42),0)</f>
        <v>#DIV/0!</v>
      </c>
      <c r="S43" s="3748"/>
      <c r="T43" s="3748"/>
      <c r="U43" s="3748"/>
      <c r="V43" s="3748"/>
      <c r="W43" s="374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02" t="s">
        <v>1887</v>
      </c>
      <c r="H50" s="3749"/>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74.91</v>
      </c>
      <c r="F51" s="639" t="e">
        <f t="shared" ref="F51:F60" si="15">ROUND(B51*E51/10000,0)</f>
        <v>#DIV/0!</v>
      </c>
      <c r="G51" s="3701"/>
      <c r="H51" s="3719"/>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一级</v>
      </c>
      <c r="I56" s="772">
        <f>SUMIF(修正!A57:A68,H56,修正!E57:E68)</f>
        <v>0.3</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一级</v>
      </c>
      <c r="I57" s="772">
        <f>SUMIF(修正!A57:A68,H57,修正!F57:F68)</f>
        <v>0.3</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一级</v>
      </c>
      <c r="I60" s="772">
        <f>SUMIF(修正!A57:A68,H60,修正!G57:G68)</f>
        <v>0.2</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6.9</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757" t="s">
        <v>2084</v>
      </c>
      <c r="D1" s="3758"/>
      <c r="E1" s="3758"/>
      <c r="F1" s="3758"/>
      <c r="G1" s="3758"/>
      <c r="H1" s="3758"/>
      <c r="I1" s="3758"/>
      <c r="J1" s="3758"/>
      <c r="K1" s="3758"/>
      <c r="L1" s="3758"/>
      <c r="M1" s="3758"/>
      <c r="N1" s="3758"/>
      <c r="O1" s="3758"/>
      <c r="P1" s="3758"/>
      <c r="Q1" s="3758"/>
      <c r="R1" s="3758"/>
      <c r="S1" s="3759"/>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599">
        <f ca="1">SUMIF(B6:B13,"&lt;&gt;#ref!",B6:B13)</f>
        <v>183</v>
      </c>
      <c r="C2" s="2144" t="s">
        <v>2074</v>
      </c>
      <c r="D2" s="2144" t="s">
        <v>2075</v>
      </c>
      <c r="E2" s="2609">
        <f ca="1">SUMIF(E6:E13,"&lt;&gt;#ref!",E6:E13)</f>
        <v>74.91</v>
      </c>
      <c r="F2" s="2790"/>
      <c r="G2" s="2790"/>
      <c r="H2" s="2790"/>
      <c r="I2" s="2790"/>
      <c r="J2" s="2790"/>
      <c r="K2" s="2790"/>
      <c r="L2" s="2790"/>
      <c r="M2" s="2790"/>
      <c r="N2" s="2790"/>
      <c r="O2" s="2790"/>
      <c r="P2" s="2790"/>
    </row>
    <row r="3" spans="1:16" ht="15.75">
      <c r="A3" s="2144" t="s">
        <v>2076</v>
      </c>
      <c r="B3" s="2599">
        <f ca="1">ROUND(B2*10000/E2,0)</f>
        <v>24429</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5"/>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183</v>
      </c>
      <c r="C6" s="2144" t="s">
        <v>2074</v>
      </c>
      <c r="D6" s="2790"/>
      <c r="E6" s="2609">
        <f ca="1">SUMIF(INDIRECT("'"&amp;A6&amp;"'"&amp;"!C:C"),"建筑面积",INDIRECT("'"&amp;A6&amp;"'"&amp;"!D:D"))</f>
        <v>74.91</v>
      </c>
      <c r="F6" s="2790"/>
      <c r="G6" s="2790"/>
      <c r="H6" s="2790"/>
      <c r="I6" s="2790"/>
      <c r="J6" s="2790"/>
      <c r="K6" s="2790"/>
      <c r="L6" s="2790"/>
      <c r="M6" s="2790"/>
      <c r="N6" s="2790"/>
      <c r="O6" s="2790"/>
      <c r="P6" s="2790"/>
    </row>
    <row r="7" spans="1:16" ht="15.75">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7" t="s">
        <v>2606</v>
      </c>
      <c r="B20" s="3760" t="s">
        <v>2627</v>
      </c>
      <c r="C20" s="3100" t="s">
        <v>2438</v>
      </c>
      <c r="D20" s="3101"/>
      <c r="E20" s="3102">
        <v>1</v>
      </c>
      <c r="F20" s="3103" t="s">
        <v>2439</v>
      </c>
      <c r="G20" s="3103"/>
    </row>
    <row r="21" spans="1:13" ht="19.5" customHeight="1">
      <c r="A21" s="3768"/>
      <c r="B21" s="3761"/>
      <c r="C21" s="3104" t="s">
        <v>2440</v>
      </c>
      <c r="D21" s="3105"/>
      <c r="E21" s="3106">
        <v>1</v>
      </c>
      <c r="F21" s="3103" t="s">
        <v>2441</v>
      </c>
      <c r="G21" s="3103"/>
    </row>
    <row r="22" spans="1:13" ht="19.5" customHeight="1">
      <c r="A22" s="3768"/>
      <c r="B22" s="3761"/>
      <c r="C22" s="3104" t="s">
        <v>2442</v>
      </c>
      <c r="D22" s="3105"/>
      <c r="E22" s="3106">
        <v>0.9</v>
      </c>
      <c r="F22" s="3103" t="s">
        <v>2443</v>
      </c>
      <c r="G22" s="3103"/>
    </row>
    <row r="23" spans="1:13" ht="19.5" customHeight="1">
      <c r="A23" s="3768"/>
      <c r="B23" s="3761"/>
      <c r="C23" s="3104" t="s">
        <v>2444</v>
      </c>
      <c r="D23" s="3105"/>
      <c r="E23" s="3106">
        <v>0.9</v>
      </c>
      <c r="F23" s="3103" t="s">
        <v>2445</v>
      </c>
      <c r="G23" s="3103"/>
    </row>
    <row r="24" spans="1:13" ht="19.5" customHeight="1">
      <c r="A24" s="3768"/>
      <c r="B24" s="3761"/>
      <c r="C24" s="3104" t="s">
        <v>2446</v>
      </c>
      <c r="D24" s="3105"/>
      <c r="E24" s="3106">
        <v>0.8</v>
      </c>
      <c r="F24" s="3103" t="s">
        <v>2447</v>
      </c>
      <c r="G24" s="3103"/>
    </row>
    <row r="25" spans="1:13" ht="19.5" customHeight="1" thickBot="1">
      <c r="A25" s="3769"/>
      <c r="B25" s="3762"/>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63" t="s">
        <v>2630</v>
      </c>
      <c r="B27" s="3760" t="s">
        <v>2611</v>
      </c>
      <c r="C27" s="3100" t="s">
        <v>2451</v>
      </c>
      <c r="D27" s="3101"/>
      <c r="E27" s="3102">
        <v>1</v>
      </c>
      <c r="F27" s="3103" t="s">
        <v>2452</v>
      </c>
      <c r="G27" s="3103"/>
    </row>
    <row r="28" spans="1:13" ht="19.5" customHeight="1">
      <c r="A28" s="3764"/>
      <c r="B28" s="3761"/>
      <c r="C28" s="3104" t="s">
        <v>2453</v>
      </c>
      <c r="D28" s="3105"/>
      <c r="E28" s="3106">
        <v>1</v>
      </c>
      <c r="F28" s="3103" t="s">
        <v>2454</v>
      </c>
      <c r="G28" s="3103"/>
    </row>
    <row r="29" spans="1:13" ht="19.5" customHeight="1">
      <c r="A29" s="3764"/>
      <c r="B29" s="3761"/>
      <c r="C29" s="3104" t="s">
        <v>2455</v>
      </c>
      <c r="D29" s="3105"/>
      <c r="E29" s="3106">
        <v>0.8</v>
      </c>
      <c r="F29" s="3103" t="s">
        <v>2456</v>
      </c>
      <c r="G29" s="3103"/>
    </row>
    <row r="30" spans="1:13" ht="19.5" customHeight="1">
      <c r="A30" s="3764"/>
      <c r="B30" s="3761"/>
      <c r="C30" s="3104" t="s">
        <v>2457</v>
      </c>
      <c r="D30" s="3105"/>
      <c r="E30" s="3106">
        <v>0.8</v>
      </c>
      <c r="F30" s="3103" t="s">
        <v>2458</v>
      </c>
      <c r="G30" s="3103"/>
    </row>
    <row r="31" spans="1:13" ht="19.5" customHeight="1">
      <c r="A31" s="3764"/>
      <c r="B31" s="3761"/>
      <c r="C31" s="3104" t="s">
        <v>2459</v>
      </c>
      <c r="D31" s="3105"/>
      <c r="E31" s="3106">
        <v>0.8</v>
      </c>
      <c r="F31" s="3103" t="s">
        <v>2460</v>
      </c>
      <c r="G31" s="3103"/>
    </row>
    <row r="32" spans="1:13" ht="19.5" customHeight="1">
      <c r="A32" s="3764"/>
      <c r="B32" s="3761"/>
      <c r="C32" s="3104" t="s">
        <v>2461</v>
      </c>
      <c r="D32" s="3105"/>
      <c r="E32" s="3106">
        <v>0.7</v>
      </c>
      <c r="F32" s="3103" t="s">
        <v>2462</v>
      </c>
      <c r="G32" s="3103"/>
    </row>
    <row r="33" spans="1:7" ht="19.5" customHeight="1">
      <c r="A33" s="3764"/>
      <c r="B33" s="3761"/>
      <c r="C33" s="3104" t="s">
        <v>2463</v>
      </c>
      <c r="D33" s="3105"/>
      <c r="E33" s="3106">
        <v>0.8</v>
      </c>
      <c r="F33" s="3103" t="s">
        <v>2464</v>
      </c>
      <c r="G33" s="3103"/>
    </row>
    <row r="34" spans="1:7" ht="19.5" customHeight="1">
      <c r="A34" s="3764"/>
      <c r="B34" s="3761"/>
      <c r="C34" s="3104" t="s">
        <v>2465</v>
      </c>
      <c r="D34" s="3105"/>
      <c r="E34" s="3106">
        <v>0.6</v>
      </c>
      <c r="F34" s="3103" t="s">
        <v>2466</v>
      </c>
      <c r="G34" s="3103"/>
    </row>
    <row r="35" spans="1:7" ht="19.5" customHeight="1">
      <c r="A35" s="3764"/>
      <c r="B35" s="3761"/>
      <c r="C35" s="3104" t="s">
        <v>2467</v>
      </c>
      <c r="D35" s="3105"/>
      <c r="E35" s="3106">
        <v>0.2</v>
      </c>
      <c r="F35" s="3103" t="s">
        <v>2468</v>
      </c>
      <c r="G35" s="3103"/>
    </row>
    <row r="36" spans="1:7" ht="19.5" customHeight="1">
      <c r="A36" s="3764"/>
      <c r="B36" s="3761"/>
      <c r="C36" s="3104" t="s">
        <v>2469</v>
      </c>
      <c r="D36" s="3105"/>
      <c r="E36" s="3106">
        <v>0.2</v>
      </c>
      <c r="F36" s="3103" t="s">
        <v>2470</v>
      </c>
      <c r="G36" s="3103"/>
    </row>
    <row r="37" spans="1:7" ht="19.5" customHeight="1">
      <c r="A37" s="3764"/>
      <c r="B37" s="3766" t="s">
        <v>2631</v>
      </c>
      <c r="C37" s="3104" t="s">
        <v>2471</v>
      </c>
      <c r="D37" s="3105"/>
      <c r="E37" s="3106">
        <v>0.6</v>
      </c>
      <c r="F37" s="3103" t="s">
        <v>2472</v>
      </c>
      <c r="G37" s="3103"/>
    </row>
    <row r="38" spans="1:7" ht="19.5" customHeight="1">
      <c r="A38" s="3764"/>
      <c r="B38" s="3761"/>
      <c r="C38" s="3104" t="s">
        <v>2473</v>
      </c>
      <c r="D38" s="3105"/>
      <c r="E38" s="3106">
        <v>0.6</v>
      </c>
      <c r="F38" s="3103" t="s">
        <v>2474</v>
      </c>
      <c r="G38" s="3103"/>
    </row>
    <row r="39" spans="1:7" ht="19.5" customHeight="1" thickBot="1">
      <c r="A39" s="3765"/>
      <c r="B39" s="3762"/>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7" t="s">
        <v>2609</v>
      </c>
      <c r="B41" s="3760" t="s">
        <v>2633</v>
      </c>
      <c r="C41" s="3100" t="s">
        <v>2478</v>
      </c>
      <c r="D41" s="3101"/>
      <c r="E41" s="3102">
        <v>1</v>
      </c>
      <c r="F41" s="3103" t="s">
        <v>2479</v>
      </c>
      <c r="G41" s="3103"/>
    </row>
    <row r="42" spans="1:7" ht="19.5" customHeight="1">
      <c r="A42" s="3768"/>
      <c r="B42" s="3761"/>
      <c r="C42" s="3104" t="s">
        <v>2480</v>
      </c>
      <c r="D42" s="3105"/>
      <c r="E42" s="3106">
        <v>1</v>
      </c>
      <c r="F42" s="3103" t="s">
        <v>2481</v>
      </c>
      <c r="G42" s="3103"/>
    </row>
    <row r="43" spans="1:7" ht="19.5" customHeight="1">
      <c r="A43" s="3768"/>
      <c r="B43" s="3770"/>
      <c r="C43" s="3104" t="s">
        <v>2482</v>
      </c>
      <c r="D43" s="3105"/>
      <c r="E43" s="3106">
        <v>1.5</v>
      </c>
      <c r="F43" s="3103" t="s">
        <v>2483</v>
      </c>
      <c r="G43" s="3103"/>
    </row>
    <row r="44" spans="1:7" ht="19.5" customHeight="1">
      <c r="A44" s="3768"/>
      <c r="B44" s="3115" t="s">
        <v>2634</v>
      </c>
      <c r="C44" s="3104" t="s">
        <v>2635</v>
      </c>
      <c r="D44" s="3105"/>
      <c r="E44" s="3106">
        <v>2</v>
      </c>
      <c r="F44" s="3103" t="s">
        <v>2484</v>
      </c>
      <c r="G44" s="3103"/>
    </row>
    <row r="45" spans="1:7" ht="19.5" customHeight="1">
      <c r="A45" s="3768"/>
      <c r="B45" s="3766" t="s">
        <v>2636</v>
      </c>
      <c r="C45" s="3104" t="s">
        <v>2485</v>
      </c>
      <c r="D45" s="3105"/>
      <c r="E45" s="3106">
        <v>1</v>
      </c>
      <c r="F45" s="3103" t="s">
        <v>2486</v>
      </c>
      <c r="G45" s="3103"/>
    </row>
    <row r="46" spans="1:7" ht="19.5" customHeight="1">
      <c r="A46" s="3768"/>
      <c r="B46" s="3761"/>
      <c r="C46" s="3104" t="s">
        <v>2487</v>
      </c>
      <c r="D46" s="3105"/>
      <c r="E46" s="3106">
        <v>1</v>
      </c>
      <c r="F46" s="3103" t="s">
        <v>2488</v>
      </c>
      <c r="G46" s="3103"/>
    </row>
    <row r="47" spans="1:7" ht="19.5" customHeight="1">
      <c r="A47" s="3768"/>
      <c r="B47" s="3761"/>
      <c r="C47" s="3104" t="s">
        <v>2489</v>
      </c>
      <c r="D47" s="3105"/>
      <c r="E47" s="3106">
        <v>1</v>
      </c>
      <c r="F47" s="3103" t="s">
        <v>2490</v>
      </c>
      <c r="G47" s="3103"/>
    </row>
    <row r="48" spans="1:7" ht="19.5" customHeight="1">
      <c r="A48" s="3768"/>
      <c r="B48" s="3761"/>
      <c r="C48" s="3104" t="s">
        <v>2491</v>
      </c>
      <c r="D48" s="3105"/>
      <c r="E48" s="3106">
        <v>1</v>
      </c>
      <c r="F48" s="3103" t="s">
        <v>2492</v>
      </c>
      <c r="G48" s="3103"/>
    </row>
    <row r="49" spans="1:7" ht="19.5" customHeight="1">
      <c r="A49" s="3768"/>
      <c r="B49" s="3761"/>
      <c r="C49" s="3104" t="s">
        <v>2493</v>
      </c>
      <c r="D49" s="3105"/>
      <c r="E49" s="3106">
        <v>1</v>
      </c>
      <c r="F49" s="3103" t="s">
        <v>2494</v>
      </c>
      <c r="G49" s="3103"/>
    </row>
    <row r="50" spans="1:7" ht="19.5" customHeight="1">
      <c r="A50" s="3768"/>
      <c r="B50" s="3761"/>
      <c r="C50" s="3104" t="s">
        <v>2495</v>
      </c>
      <c r="D50" s="3105"/>
      <c r="E50" s="3106">
        <v>1</v>
      </c>
      <c r="F50" s="3103" t="s">
        <v>2496</v>
      </c>
      <c r="G50" s="3103"/>
    </row>
    <row r="51" spans="1:7" ht="19.5" customHeight="1" thickBot="1">
      <c r="A51" s="3769"/>
      <c r="B51" s="3762"/>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6" t="s">
        <v>2650</v>
      </c>
      <c r="C73" s="3089" t="s">
        <v>2651</v>
      </c>
      <c r="D73" s="3089" t="s">
        <v>2652</v>
      </c>
      <c r="E73" s="3115">
        <v>0.2</v>
      </c>
      <c r="F73" s="3115">
        <v>25</v>
      </c>
    </row>
    <row r="74" spans="1:7" ht="24">
      <c r="A74" s="3115">
        <v>2</v>
      </c>
      <c r="B74" s="3761"/>
      <c r="C74" s="3089" t="s">
        <v>2653</v>
      </c>
      <c r="D74" s="3089" t="s">
        <v>2654</v>
      </c>
      <c r="E74" s="3115">
        <v>0.2</v>
      </c>
      <c r="F74" s="3115">
        <v>25</v>
      </c>
    </row>
    <row r="75" spans="1:7" ht="24">
      <c r="A75" s="3115">
        <v>3</v>
      </c>
      <c r="B75" s="3761"/>
      <c r="C75" s="3089" t="s">
        <v>2655</v>
      </c>
      <c r="D75" s="3089" t="s">
        <v>2656</v>
      </c>
      <c r="E75" s="3115">
        <v>0.2</v>
      </c>
      <c r="F75" s="3115">
        <v>25</v>
      </c>
    </row>
    <row r="76" spans="1:7" ht="13.5">
      <c r="A76" s="3115">
        <v>4</v>
      </c>
      <c r="B76" s="3761"/>
      <c r="C76" s="3089" t="s">
        <v>2657</v>
      </c>
      <c r="D76" s="3089" t="s">
        <v>2658</v>
      </c>
      <c r="E76" s="3115">
        <v>0.15</v>
      </c>
      <c r="F76" s="3115">
        <v>20</v>
      </c>
    </row>
    <row r="77" spans="1:7" ht="24">
      <c r="A77" s="3115">
        <v>5</v>
      </c>
      <c r="B77" s="3761"/>
      <c r="C77" s="3089" t="s">
        <v>2659</v>
      </c>
      <c r="D77" s="3089" t="s">
        <v>2660</v>
      </c>
      <c r="E77" s="3115">
        <v>0.15</v>
      </c>
      <c r="F77" s="3115">
        <v>20</v>
      </c>
    </row>
    <row r="78" spans="1:7" ht="24">
      <c r="A78" s="3115">
        <v>6</v>
      </c>
      <c r="B78" s="3761"/>
      <c r="C78" s="3089" t="s">
        <v>2661</v>
      </c>
      <c r="D78" s="3089" t="s">
        <v>2662</v>
      </c>
      <c r="E78" s="3115">
        <v>0.15</v>
      </c>
      <c r="F78" s="3115">
        <v>20</v>
      </c>
    </row>
    <row r="79" spans="1:7" ht="24">
      <c r="A79" s="3115">
        <v>7</v>
      </c>
      <c r="B79" s="3761"/>
      <c r="C79" s="3089" t="s">
        <v>2663</v>
      </c>
      <c r="D79" s="3089" t="s">
        <v>2664</v>
      </c>
      <c r="E79" s="3115">
        <v>0.15</v>
      </c>
      <c r="F79" s="3115">
        <v>20</v>
      </c>
    </row>
    <row r="80" spans="1:7" ht="24">
      <c r="A80" s="3115">
        <v>8</v>
      </c>
      <c r="B80" s="3761"/>
      <c r="C80" s="3089" t="s">
        <v>2665</v>
      </c>
      <c r="D80" s="3089" t="s">
        <v>2666</v>
      </c>
      <c r="E80" s="3115">
        <v>0.1</v>
      </c>
      <c r="F80" s="3115">
        <v>15</v>
      </c>
    </row>
    <row r="81" spans="1:6" ht="24">
      <c r="A81" s="3115">
        <v>9</v>
      </c>
      <c r="B81" s="3761"/>
      <c r="C81" s="3089" t="s">
        <v>2667</v>
      </c>
      <c r="D81" s="3089" t="s">
        <v>2668</v>
      </c>
      <c r="E81" s="3115">
        <v>0.1</v>
      </c>
      <c r="F81" s="3115">
        <v>15</v>
      </c>
    </row>
    <row r="82" spans="1:6" ht="24">
      <c r="A82" s="3115">
        <v>10</v>
      </c>
      <c r="B82" s="3761"/>
      <c r="C82" s="3089" t="s">
        <v>2669</v>
      </c>
      <c r="D82" s="3089" t="s">
        <v>2670</v>
      </c>
      <c r="E82" s="3115">
        <v>0.1</v>
      </c>
      <c r="F82" s="3115">
        <v>15</v>
      </c>
    </row>
    <row r="83" spans="1:6" ht="24">
      <c r="A83" s="3115">
        <v>11</v>
      </c>
      <c r="B83" s="3761"/>
      <c r="C83" s="3089" t="s">
        <v>2671</v>
      </c>
      <c r="D83" s="3089" t="s">
        <v>2672</v>
      </c>
      <c r="E83" s="3115">
        <v>0.1</v>
      </c>
      <c r="F83" s="3115">
        <v>15</v>
      </c>
    </row>
    <row r="84" spans="1:6" ht="24">
      <c r="A84" s="3115">
        <v>12</v>
      </c>
      <c r="B84" s="3761"/>
      <c r="C84" s="3089" t="s">
        <v>2673</v>
      </c>
      <c r="D84" s="3089" t="s">
        <v>2674</v>
      </c>
      <c r="E84" s="3115">
        <v>0.1</v>
      </c>
      <c r="F84" s="3115">
        <v>15</v>
      </c>
    </row>
    <row r="85" spans="1:6" ht="13.5">
      <c r="A85" s="3115">
        <v>13</v>
      </c>
      <c r="B85" s="3761"/>
      <c r="C85" s="3089" t="s">
        <v>2675</v>
      </c>
      <c r="D85" s="3089" t="s">
        <v>2676</v>
      </c>
      <c r="E85" s="3115">
        <v>0.1</v>
      </c>
      <c r="F85" s="3115">
        <v>15</v>
      </c>
    </row>
    <row r="86" spans="1:6" ht="13.5">
      <c r="A86" s="3115">
        <v>14</v>
      </c>
      <c r="B86" s="3761"/>
      <c r="C86" s="3089" t="s">
        <v>2677</v>
      </c>
      <c r="D86" s="3089" t="s">
        <v>2678</v>
      </c>
      <c r="E86" s="3115">
        <v>0.1</v>
      </c>
      <c r="F86" s="3115">
        <v>15</v>
      </c>
    </row>
    <row r="87" spans="1:6" ht="13.5">
      <c r="A87" s="3115">
        <v>15</v>
      </c>
      <c r="B87" s="3761"/>
      <c r="C87" s="3089" t="s">
        <v>2679</v>
      </c>
      <c r="D87" s="3089" t="s">
        <v>2680</v>
      </c>
      <c r="E87" s="3115">
        <v>0.1</v>
      </c>
      <c r="F87" s="3115">
        <v>15</v>
      </c>
    </row>
    <row r="88" spans="1:6" ht="24">
      <c r="A88" s="3115">
        <v>16</v>
      </c>
      <c r="B88" s="3761"/>
      <c r="C88" s="3089" t="s">
        <v>2681</v>
      </c>
      <c r="D88" s="3089" t="s">
        <v>2682</v>
      </c>
      <c r="E88" s="3115">
        <v>0.1</v>
      </c>
      <c r="F88" s="3115">
        <v>15</v>
      </c>
    </row>
    <row r="89" spans="1:6" ht="24">
      <c r="A89" s="3115">
        <v>17</v>
      </c>
      <c r="B89" s="3770"/>
      <c r="C89" s="3089" t="s">
        <v>2683</v>
      </c>
      <c r="D89" s="3089" t="s">
        <v>2684</v>
      </c>
      <c r="E89" s="3115">
        <v>0.1</v>
      </c>
      <c r="F89" s="3115">
        <v>15</v>
      </c>
    </row>
    <row r="90" spans="1:6" ht="13.5">
      <c r="A90" s="3115">
        <v>18</v>
      </c>
      <c r="B90" s="3766" t="s">
        <v>2685</v>
      </c>
      <c r="C90" s="3089" t="s">
        <v>2686</v>
      </c>
      <c r="D90" s="3089" t="s">
        <v>2687</v>
      </c>
      <c r="E90" s="3115">
        <v>0.2</v>
      </c>
      <c r="F90" s="3115">
        <v>25</v>
      </c>
    </row>
    <row r="91" spans="1:6" ht="24">
      <c r="A91" s="3115">
        <v>19</v>
      </c>
      <c r="B91" s="3761"/>
      <c r="C91" s="3089" t="s">
        <v>2688</v>
      </c>
      <c r="D91" s="3089" t="s">
        <v>2689</v>
      </c>
      <c r="E91" s="3115">
        <v>0.2</v>
      </c>
      <c r="F91" s="3115">
        <v>25</v>
      </c>
    </row>
    <row r="92" spans="1:6" ht="13.5">
      <c r="A92" s="3115">
        <v>20</v>
      </c>
      <c r="B92" s="3761"/>
      <c r="C92" s="3089" t="s">
        <v>2690</v>
      </c>
      <c r="D92" s="3089" t="s">
        <v>2691</v>
      </c>
      <c r="E92" s="3115">
        <v>0.15</v>
      </c>
      <c r="F92" s="3115">
        <v>20</v>
      </c>
    </row>
    <row r="93" spans="1:6" ht="13.5">
      <c r="A93" s="3115">
        <v>21</v>
      </c>
      <c r="B93" s="3761"/>
      <c r="C93" s="3089" t="s">
        <v>2692</v>
      </c>
      <c r="D93" s="3089" t="s">
        <v>2693</v>
      </c>
      <c r="E93" s="3115">
        <v>0.15</v>
      </c>
      <c r="F93" s="3115">
        <v>20</v>
      </c>
    </row>
    <row r="94" spans="1:6" ht="13.5">
      <c r="A94" s="3115">
        <v>22</v>
      </c>
      <c r="B94" s="3761"/>
      <c r="C94" s="3089" t="s">
        <v>2694</v>
      </c>
      <c r="D94" s="3089" t="s">
        <v>2695</v>
      </c>
      <c r="E94" s="3115">
        <v>0.15</v>
      </c>
      <c r="F94" s="3115">
        <v>20</v>
      </c>
    </row>
    <row r="95" spans="1:6" ht="36">
      <c r="A95" s="3115">
        <v>23</v>
      </c>
      <c r="B95" s="3761"/>
      <c r="C95" s="3089" t="s">
        <v>2696</v>
      </c>
      <c r="D95" s="3089" t="s">
        <v>2697</v>
      </c>
      <c r="E95" s="3115">
        <v>0.15</v>
      </c>
      <c r="F95" s="3115">
        <v>20</v>
      </c>
    </row>
    <row r="96" spans="1:6" ht="13.5">
      <c r="A96" s="3115">
        <v>24</v>
      </c>
      <c r="B96" s="3761"/>
      <c r="C96" s="3089" t="s">
        <v>2698</v>
      </c>
      <c r="D96" s="3089" t="s">
        <v>2699</v>
      </c>
      <c r="E96" s="3115">
        <v>0.1</v>
      </c>
      <c r="F96" s="3115">
        <v>15</v>
      </c>
    </row>
    <row r="97" spans="1:6" ht="13.5">
      <c r="A97" s="3115">
        <v>25</v>
      </c>
      <c r="B97" s="3761"/>
      <c r="C97" s="3089" t="s">
        <v>2700</v>
      </c>
      <c r="D97" s="3089" t="s">
        <v>2701</v>
      </c>
      <c r="E97" s="3115">
        <v>0.1</v>
      </c>
      <c r="F97" s="3115">
        <v>15</v>
      </c>
    </row>
    <row r="98" spans="1:6" ht="24">
      <c r="A98" s="3115">
        <v>26</v>
      </c>
      <c r="B98" s="3761"/>
      <c r="C98" s="3089" t="s">
        <v>2702</v>
      </c>
      <c r="D98" s="3089" t="s">
        <v>2703</v>
      </c>
      <c r="E98" s="3115">
        <v>0.1</v>
      </c>
      <c r="F98" s="3115">
        <v>15</v>
      </c>
    </row>
    <row r="99" spans="1:6" ht="24">
      <c r="A99" s="3115">
        <v>27</v>
      </c>
      <c r="B99" s="3761"/>
      <c r="C99" s="3089" t="s">
        <v>2704</v>
      </c>
      <c r="D99" s="3089" t="s">
        <v>2705</v>
      </c>
      <c r="E99" s="3115">
        <v>0.1</v>
      </c>
      <c r="F99" s="3115">
        <v>15</v>
      </c>
    </row>
    <row r="100" spans="1:6" ht="13.5">
      <c r="A100" s="3115">
        <v>28</v>
      </c>
      <c r="B100" s="3761"/>
      <c r="C100" s="3089" t="s">
        <v>2706</v>
      </c>
      <c r="D100" s="3089" t="s">
        <v>2707</v>
      </c>
      <c r="E100" s="3115">
        <v>0.1</v>
      </c>
      <c r="F100" s="3115">
        <v>15</v>
      </c>
    </row>
    <row r="101" spans="1:6" ht="13.5">
      <c r="A101" s="3115">
        <v>29</v>
      </c>
      <c r="B101" s="3761"/>
      <c r="C101" s="3089" t="s">
        <v>2708</v>
      </c>
      <c r="D101" s="3089" t="s">
        <v>2709</v>
      </c>
      <c r="E101" s="3115">
        <v>0.1</v>
      </c>
      <c r="F101" s="3115">
        <v>15</v>
      </c>
    </row>
    <row r="102" spans="1:6" ht="13.5">
      <c r="A102" s="3115">
        <v>30</v>
      </c>
      <c r="B102" s="3761"/>
      <c r="C102" s="3089" t="s">
        <v>2710</v>
      </c>
      <c r="D102" s="3089" t="s">
        <v>2711</v>
      </c>
      <c r="E102" s="3115">
        <v>0.1</v>
      </c>
      <c r="F102" s="3115">
        <v>15</v>
      </c>
    </row>
    <row r="103" spans="1:6" ht="24">
      <c r="A103" s="3115">
        <v>31</v>
      </c>
      <c r="B103" s="3761"/>
      <c r="C103" s="3089" t="s">
        <v>2712</v>
      </c>
      <c r="D103" s="3089" t="s">
        <v>2713</v>
      </c>
      <c r="E103" s="3115">
        <v>0.1</v>
      </c>
      <c r="F103" s="3115">
        <v>15</v>
      </c>
    </row>
    <row r="104" spans="1:6" ht="24">
      <c r="A104" s="3115">
        <v>32</v>
      </c>
      <c r="B104" s="3761"/>
      <c r="C104" s="3089" t="s">
        <v>2714</v>
      </c>
      <c r="D104" s="3089" t="s">
        <v>2715</v>
      </c>
      <c r="E104" s="3115">
        <v>0.1</v>
      </c>
      <c r="F104" s="3115">
        <v>15</v>
      </c>
    </row>
    <row r="105" spans="1:6" ht="24">
      <c r="A105" s="3115">
        <v>33</v>
      </c>
      <c r="B105" s="3761"/>
      <c r="C105" s="3089" t="s">
        <v>2716</v>
      </c>
      <c r="D105" s="3089" t="s">
        <v>2717</v>
      </c>
      <c r="E105" s="3115">
        <v>0.1</v>
      </c>
      <c r="F105" s="3115">
        <v>15</v>
      </c>
    </row>
    <row r="106" spans="1:6" ht="24">
      <c r="A106" s="3115">
        <v>34</v>
      </c>
      <c r="B106" s="3770"/>
      <c r="C106" s="3089" t="s">
        <v>2718</v>
      </c>
      <c r="D106" s="3089" t="s">
        <v>2719</v>
      </c>
      <c r="E106" s="3115">
        <v>0.1</v>
      </c>
      <c r="F106" s="3115">
        <v>15</v>
      </c>
    </row>
    <row r="107" spans="1:6" ht="24">
      <c r="A107" s="3115">
        <v>35</v>
      </c>
      <c r="B107" s="3766" t="s">
        <v>2720</v>
      </c>
      <c r="C107" s="3115" t="s">
        <v>2721</v>
      </c>
      <c r="D107" s="3089" t="s">
        <v>2722</v>
      </c>
      <c r="E107" s="3115">
        <v>0.15</v>
      </c>
      <c r="F107" s="3115">
        <v>20</v>
      </c>
    </row>
    <row r="108" spans="1:6" ht="13.5">
      <c r="A108" s="3115">
        <v>36</v>
      </c>
      <c r="B108" s="3761"/>
      <c r="C108" s="3115" t="s">
        <v>2723</v>
      </c>
      <c r="D108" s="3089" t="s">
        <v>2724</v>
      </c>
      <c r="E108" s="3115">
        <v>0.15</v>
      </c>
      <c r="F108" s="3115">
        <v>20</v>
      </c>
    </row>
    <row r="109" spans="1:6" ht="13.5">
      <c r="A109" s="3115">
        <v>37</v>
      </c>
      <c r="B109" s="3761"/>
      <c r="C109" s="3115" t="s">
        <v>2725</v>
      </c>
      <c r="D109" s="3089" t="s">
        <v>2726</v>
      </c>
      <c r="E109" s="3115">
        <v>0.15</v>
      </c>
      <c r="F109" s="3115">
        <v>20</v>
      </c>
    </row>
    <row r="110" spans="1:6" ht="13.5">
      <c r="A110" s="3115">
        <v>38</v>
      </c>
      <c r="B110" s="3761"/>
      <c r="C110" s="3115" t="s">
        <v>2727</v>
      </c>
      <c r="D110" s="3089" t="s">
        <v>2728</v>
      </c>
      <c r="E110" s="3115">
        <v>0.1</v>
      </c>
      <c r="F110" s="3115">
        <v>15</v>
      </c>
    </row>
    <row r="111" spans="1:6" ht="24">
      <c r="A111" s="3115">
        <v>39</v>
      </c>
      <c r="B111" s="3761"/>
      <c r="C111" s="3115" t="s">
        <v>2729</v>
      </c>
      <c r="D111" s="3089" t="s">
        <v>2730</v>
      </c>
      <c r="E111" s="3115">
        <v>0.1</v>
      </c>
      <c r="F111" s="3115">
        <v>15</v>
      </c>
    </row>
    <row r="112" spans="1:6" ht="24">
      <c r="A112" s="3115">
        <v>40</v>
      </c>
      <c r="B112" s="3770"/>
      <c r="C112" s="3115" t="s">
        <v>2731</v>
      </c>
      <c r="D112" s="3089" t="s">
        <v>2732</v>
      </c>
      <c r="E112" s="3115">
        <v>0.1</v>
      </c>
      <c r="F112" s="3115">
        <v>15</v>
      </c>
    </row>
    <row r="113" spans="1:6" ht="13.5">
      <c r="A113" s="3115">
        <v>41</v>
      </c>
      <c r="B113" s="3771" t="s">
        <v>2733</v>
      </c>
      <c r="C113" s="3115" t="s">
        <v>2734</v>
      </c>
      <c r="D113" s="3089" t="s">
        <v>2735</v>
      </c>
      <c r="E113" s="3115">
        <v>0.1</v>
      </c>
      <c r="F113" s="3115">
        <v>15</v>
      </c>
    </row>
    <row r="114" spans="1:6" ht="13.5">
      <c r="A114" s="3115">
        <v>42</v>
      </c>
      <c r="B114" s="3771"/>
      <c r="C114" s="3115" t="s">
        <v>2736</v>
      </c>
      <c r="D114" s="3089" t="s">
        <v>2737</v>
      </c>
      <c r="E114" s="3115">
        <v>0.1</v>
      </c>
      <c r="F114" s="3115">
        <v>15</v>
      </c>
    </row>
    <row r="115" spans="1:6" ht="24">
      <c r="A115" s="3115">
        <v>43</v>
      </c>
      <c r="B115" s="3771"/>
      <c r="C115" s="3115" t="s">
        <v>2738</v>
      </c>
      <c r="D115" s="3089" t="s">
        <v>2739</v>
      </c>
      <c r="E115" s="3115">
        <v>0.1</v>
      </c>
      <c r="F115" s="3115">
        <v>15</v>
      </c>
    </row>
    <row r="116" spans="1:6" ht="13.5">
      <c r="A116" s="3115">
        <v>44</v>
      </c>
      <c r="B116" s="3766" t="s">
        <v>2740</v>
      </c>
      <c r="C116" s="3115" t="s">
        <v>2741</v>
      </c>
      <c r="D116" s="3089" t="s">
        <v>2742</v>
      </c>
      <c r="E116" s="3115">
        <v>0.1</v>
      </c>
      <c r="F116" s="3115">
        <v>15</v>
      </c>
    </row>
    <row r="117" spans="1:6" ht="24">
      <c r="A117" s="3115">
        <v>45</v>
      </c>
      <c r="B117" s="3770"/>
      <c r="C117" s="3089" t="s">
        <v>2743</v>
      </c>
      <c r="D117" s="3089" t="s">
        <v>2744</v>
      </c>
      <c r="E117" s="3115">
        <v>0.1</v>
      </c>
      <c r="F117" s="3115">
        <v>15</v>
      </c>
    </row>
    <row r="118" spans="1:6" ht="24">
      <c r="A118" s="3115">
        <v>46</v>
      </c>
      <c r="B118" s="3766" t="s">
        <v>2745</v>
      </c>
      <c r="C118" s="3115" t="s">
        <v>2746</v>
      </c>
      <c r="D118" s="3089" t="s">
        <v>2747</v>
      </c>
      <c r="E118" s="3115">
        <v>0.1</v>
      </c>
      <c r="F118" s="3115">
        <v>15</v>
      </c>
    </row>
    <row r="119" spans="1:6" ht="24">
      <c r="A119" s="3115">
        <v>47</v>
      </c>
      <c r="B119" s="3770"/>
      <c r="C119" s="3115" t="s">
        <v>2748</v>
      </c>
      <c r="D119" s="3089" t="s">
        <v>2749</v>
      </c>
      <c r="E119" s="3115">
        <v>0.1</v>
      </c>
      <c r="F119" s="3115">
        <v>15</v>
      </c>
    </row>
    <row r="120" spans="1:6" ht="13.5">
      <c r="A120" s="3115">
        <v>48</v>
      </c>
      <c r="B120" s="3766" t="s">
        <v>2750</v>
      </c>
      <c r="C120" s="3115" t="s">
        <v>2751</v>
      </c>
      <c r="D120" s="3089" t="s">
        <v>2752</v>
      </c>
      <c r="E120" s="3115">
        <v>0.1</v>
      </c>
      <c r="F120" s="3115">
        <v>15</v>
      </c>
    </row>
    <row r="121" spans="1:6" ht="13.5">
      <c r="A121" s="3115">
        <v>49</v>
      </c>
      <c r="B121" s="3770"/>
      <c r="C121" s="3115" t="s">
        <v>2753</v>
      </c>
      <c r="D121" s="3089" t="s">
        <v>2754</v>
      </c>
      <c r="E121" s="3115">
        <v>0.1</v>
      </c>
      <c r="F121" s="3115">
        <v>15</v>
      </c>
    </row>
    <row r="122" spans="1:6" ht="24">
      <c r="A122" s="3115">
        <v>50</v>
      </c>
      <c r="B122" s="3771" t="s">
        <v>2755</v>
      </c>
      <c r="C122" s="3115" t="s">
        <v>2756</v>
      </c>
      <c r="D122" s="3089" t="s">
        <v>2757</v>
      </c>
      <c r="E122" s="3115">
        <v>0.1</v>
      </c>
      <c r="F122" s="3115">
        <v>15</v>
      </c>
    </row>
    <row r="123" spans="1:6" ht="24">
      <c r="A123" s="3115">
        <v>51</v>
      </c>
      <c r="B123" s="3771"/>
      <c r="C123" s="3115" t="s">
        <v>2758</v>
      </c>
      <c r="D123" s="3089" t="s">
        <v>2759</v>
      </c>
      <c r="E123" s="3115">
        <v>0.1</v>
      </c>
      <c r="F123" s="3115">
        <v>15</v>
      </c>
    </row>
    <row r="124" spans="1:6" ht="24">
      <c r="A124" s="3115">
        <v>52</v>
      </c>
      <c r="B124" s="3771" t="s">
        <v>2760</v>
      </c>
      <c r="C124" s="3115" t="s">
        <v>2761</v>
      </c>
      <c r="D124" s="3089" t="s">
        <v>2762</v>
      </c>
      <c r="E124" s="3115">
        <v>0.1</v>
      </c>
      <c r="F124" s="3115">
        <v>15</v>
      </c>
    </row>
    <row r="125" spans="1:6" ht="24">
      <c r="A125" s="3115">
        <v>53</v>
      </c>
      <c r="B125" s="3771"/>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71" t="s">
        <v>2768</v>
      </c>
      <c r="C127" s="3115" t="s">
        <v>2769</v>
      </c>
      <c r="D127" s="3089" t="s">
        <v>2770</v>
      </c>
      <c r="E127" s="3115">
        <v>0.1</v>
      </c>
      <c r="F127" s="3115">
        <v>15</v>
      </c>
    </row>
    <row r="128" spans="1:6" ht="13.5">
      <c r="A128" s="3115">
        <v>56</v>
      </c>
      <c r="B128" s="3771"/>
      <c r="C128" s="3115" t="s">
        <v>2771</v>
      </c>
      <c r="D128" s="3089" t="s">
        <v>2772</v>
      </c>
      <c r="E128" s="3115">
        <v>0.1</v>
      </c>
      <c r="F128" s="3115">
        <v>15</v>
      </c>
    </row>
    <row r="129" spans="1:6" ht="24">
      <c r="A129" s="3115">
        <v>57</v>
      </c>
      <c r="B129" s="3771"/>
      <c r="C129" s="3115" t="s">
        <v>2773</v>
      </c>
      <c r="D129" s="3089" t="s">
        <v>2774</v>
      </c>
      <c r="E129" s="3115">
        <v>0.1</v>
      </c>
      <c r="F129" s="3115">
        <v>15</v>
      </c>
    </row>
    <row r="130" spans="1:6" ht="24">
      <c r="A130" s="3115">
        <v>58</v>
      </c>
      <c r="B130" s="3771" t="s">
        <v>2775</v>
      </c>
      <c r="C130" s="3115" t="s">
        <v>2776</v>
      </c>
      <c r="D130" s="3089" t="s">
        <v>2777</v>
      </c>
      <c r="E130" s="3115">
        <v>0.1</v>
      </c>
      <c r="F130" s="3115">
        <v>15</v>
      </c>
    </row>
    <row r="131" spans="1:6" ht="13.5">
      <c r="A131" s="3115">
        <v>59</v>
      </c>
      <c r="B131" s="3771"/>
      <c r="C131" s="3115" t="s">
        <v>2778</v>
      </c>
      <c r="D131" s="3089" t="s">
        <v>2779</v>
      </c>
      <c r="E131" s="3115">
        <v>0.1</v>
      </c>
      <c r="F131" s="3115">
        <v>15</v>
      </c>
    </row>
    <row r="132" spans="1:6" ht="13.5">
      <c r="A132" s="3115">
        <v>60</v>
      </c>
      <c r="B132" s="3766" t="s">
        <v>2780</v>
      </c>
      <c r="C132" s="3115" t="s">
        <v>2781</v>
      </c>
      <c r="D132" s="3089" t="s">
        <v>2782</v>
      </c>
      <c r="E132" s="3115">
        <v>0.1</v>
      </c>
      <c r="F132" s="3115">
        <v>15</v>
      </c>
    </row>
    <row r="133" spans="1:6" ht="13.5">
      <c r="A133" s="3115">
        <v>61</v>
      </c>
      <c r="B133" s="3770"/>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71" t="s">
        <v>2788</v>
      </c>
      <c r="C135" s="3115" t="s">
        <v>2789</v>
      </c>
      <c r="D135" s="3089" t="s">
        <v>2790</v>
      </c>
      <c r="E135" s="3115">
        <v>0.1</v>
      </c>
      <c r="F135" s="3115">
        <v>15</v>
      </c>
    </row>
    <row r="136" spans="1:6" ht="13.5">
      <c r="A136" s="3115">
        <v>64</v>
      </c>
      <c r="B136" s="3771"/>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28136</v>
      </c>
      <c r="C2" s="2" t="s">
        <v>106</v>
      </c>
      <c r="D2" s="199"/>
      <c r="E2" s="199"/>
      <c r="F2" s="199"/>
      <c r="G2" s="199"/>
    </row>
    <row r="3" spans="1:7" s="200" customFormat="1" ht="18" customHeight="1" thickBot="1">
      <c r="A3" s="203" t="s">
        <v>58</v>
      </c>
      <c r="B3" s="204">
        <f ca="1">ROUND(B2*10000/'数据-汇总表'!E3,0)</f>
        <v>3755974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v>
      </c>
      <c r="D10" s="844">
        <f>'数据-汇总表'!E6</f>
        <v>74.91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74.91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3153</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3153</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30</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v>
      </c>
      <c r="D37" s="217">
        <f>'数据-汇总表'!E3</f>
        <v>74.91</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36" t="s">
        <v>94</v>
      </c>
    </row>
    <row r="43" spans="1:7" ht="13.5" customHeight="1">
      <c r="A43" s="779" t="s">
        <v>347</v>
      </c>
      <c r="B43" s="215" t="s">
        <v>426</v>
      </c>
      <c r="C43" s="238">
        <f ca="1">ROUND(IF('数据-取费表'!B22&lt;=1,C39*F22*'数据-取费表'!B21/2,C39*(POWER((1+F22),'数据-取费表'!B21/2)-1)),0)</f>
        <v>0</v>
      </c>
      <c r="D43" s="238"/>
      <c r="E43" s="238"/>
      <c r="F43" s="239"/>
      <c r="G43" s="3637"/>
    </row>
    <row r="44" spans="1:7" ht="13.5" customHeight="1">
      <c r="A44" s="779" t="s">
        <v>348</v>
      </c>
      <c r="B44" s="215" t="s">
        <v>428</v>
      </c>
      <c r="C44" s="238">
        <f ca="1">ROUND(IF('数据-取费表'!B22&lt;=1,C40*F22*'数据-取费表'!B21/2,C40*(POWER((1+F22),'数据-取费表'!B21/2)-1)),4)</f>
        <v>8.0000000000000004E-4</v>
      </c>
      <c r="D44" s="238"/>
      <c r="E44" s="238"/>
      <c r="F44" s="239"/>
      <c r="G44" s="3638"/>
    </row>
    <row r="45" spans="1:7" s="214" customFormat="1" ht="13.5" customHeight="1">
      <c r="A45" s="776" t="s">
        <v>341</v>
      </c>
      <c r="B45" s="244" t="s">
        <v>85</v>
      </c>
      <c r="C45" s="245">
        <f>C46</f>
        <v>5</v>
      </c>
      <c r="D45" s="235">
        <f>C47</f>
        <v>3.0000000000000001E-3</v>
      </c>
      <c r="E45" s="236" t="s">
        <v>102</v>
      </c>
      <c r="F45" s="246"/>
      <c r="G45" s="247" t="s">
        <v>434</v>
      </c>
    </row>
    <row r="46" spans="1:7" s="214" customFormat="1" ht="13.5" customHeight="1">
      <c r="A46" s="779" t="s">
        <v>349</v>
      </c>
      <c r="B46" s="248" t="s">
        <v>427</v>
      </c>
      <c r="C46" s="249">
        <f>ROUND((C33+C39)*F27,0)</f>
        <v>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42</v>
      </c>
      <c r="D49" s="232"/>
      <c r="E49" s="232"/>
      <c r="F49" s="264"/>
      <c r="G49" s="234" t="s">
        <v>435</v>
      </c>
    </row>
    <row r="50" spans="1:7" s="258" customFormat="1" ht="24">
      <c r="A50" s="776" t="s">
        <v>344</v>
      </c>
      <c r="B50" s="210" t="s">
        <v>97</v>
      </c>
      <c r="C50" s="232"/>
      <c r="D50" s="232"/>
      <c r="E50" s="232"/>
      <c r="F50" s="264">
        <f>IF('数据-取费表'!B24=0,'数据-取费表'!N16,1)</f>
        <v>0.68400000000000005</v>
      </c>
      <c r="G50" s="247" t="s">
        <v>98</v>
      </c>
    </row>
    <row r="51" spans="1:7" ht="16.5" customHeight="1">
      <c r="A51" s="776" t="s">
        <v>345</v>
      </c>
      <c r="B51" s="210" t="s">
        <v>105</v>
      </c>
      <c r="C51" s="232">
        <f ca="1">ROUND(C49*F50,0)</f>
        <v>29</v>
      </c>
      <c r="D51" s="232"/>
      <c r="E51" s="232"/>
      <c r="F51" s="264"/>
      <c r="G51" s="234" t="s">
        <v>37</v>
      </c>
    </row>
    <row r="52" spans="1:7" s="208" customFormat="1" ht="16.5" thickBot="1">
      <c r="A52" s="265" t="s">
        <v>38</v>
      </c>
      <c r="B52" s="266"/>
      <c r="C52" s="267">
        <f ca="1">C31+C51</f>
        <v>28136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201</v>
      </c>
      <c r="E5" s="1490"/>
    </row>
    <row r="6" spans="1:5" ht="15.75">
      <c r="A6" s="1490"/>
      <c r="B6" s="3455"/>
      <c r="C6" s="1493" t="s">
        <v>911</v>
      </c>
      <c r="D6" s="849" t="str">
        <f ca="1">NUMBERSTRING(INT(D5*10000),2)&amp;"元整"</f>
        <v>贰佰零壹万元整</v>
      </c>
      <c r="E6" s="1490"/>
    </row>
    <row r="7" spans="1:5" ht="15.75">
      <c r="A7" s="1490"/>
      <c r="B7" s="3460"/>
      <c r="C7" s="1494" t="s">
        <v>912</v>
      </c>
      <c r="D7" s="850">
        <f ca="1">结果表!H102</f>
        <v>26813</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201</v>
      </c>
      <c r="E13" s="1490"/>
    </row>
    <row r="14" spans="1:5" ht="15.75">
      <c r="A14" s="1490"/>
      <c r="B14" s="3455"/>
      <c r="C14" s="1493" t="s">
        <v>911</v>
      </c>
      <c r="D14" s="849" t="str">
        <f ca="1">NUMBERSTRING(INT(D13*10000),2)&amp;"元整"</f>
        <v>贰佰零壹万元整</v>
      </c>
      <c r="E14" s="1490"/>
    </row>
    <row r="15" spans="1:5" ht="15">
      <c r="A15" s="1490"/>
      <c r="B15" s="3460"/>
      <c r="C15" s="1494" t="s">
        <v>921</v>
      </c>
      <c r="D15" s="858">
        <f ca="1">结果表!H108</f>
        <v>26813</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4" t="s">
        <v>2842</v>
      </c>
      <c r="B1" s="3774"/>
      <c r="C1" s="3774"/>
      <c r="D1" s="3774"/>
      <c r="E1" s="3774"/>
      <c r="F1" s="3774"/>
      <c r="G1" s="3775"/>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2"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3"/>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6" t="s">
        <v>3184</v>
      </c>
      <c r="B1" s="3776"/>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7" t="s">
        <v>3235</v>
      </c>
      <c r="B1" s="3777"/>
      <c r="C1" s="3777"/>
      <c r="D1" s="3777"/>
      <c r="E1" s="3777"/>
      <c r="F1" s="3778"/>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44993</v>
      </c>
      <c r="B1" s="3207" t="s">
        <v>2841</v>
      </c>
      <c r="C1" s="3208"/>
      <c r="D1" s="3208"/>
      <c r="E1" s="3208"/>
      <c r="F1" s="3208"/>
      <c r="G1" s="3208"/>
      <c r="H1" s="3208"/>
      <c r="I1" s="3208"/>
      <c r="J1" s="3162"/>
      <c r="K1" s="3208" t="s">
        <v>454</v>
      </c>
      <c r="L1" s="3208"/>
      <c r="M1" s="3208"/>
      <c r="N1" s="3208"/>
      <c r="O1" s="3208"/>
      <c r="P1" s="3208"/>
      <c r="Q1" s="3162"/>
      <c r="R1" s="3779" t="s">
        <v>456</v>
      </c>
      <c r="S1" s="3780"/>
      <c r="T1" s="3780"/>
      <c r="U1" s="3780"/>
      <c r="V1" s="3780"/>
      <c r="W1" s="3780"/>
      <c r="X1" s="3162"/>
      <c r="Y1" s="3779" t="s">
        <v>457</v>
      </c>
      <c r="Z1" s="3780"/>
      <c r="AA1" s="3780"/>
      <c r="AB1" s="3780"/>
      <c r="AC1" s="3780"/>
      <c r="AD1" s="3780"/>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3373</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3374</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3372</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3367</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3358</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79" t="s">
        <v>2829</v>
      </c>
      <c r="S21" s="3780"/>
      <c r="T21" s="3780"/>
      <c r="U21" s="3780"/>
      <c r="V21" s="3780"/>
      <c r="W21" s="3780"/>
      <c r="X21" s="3162"/>
      <c r="Y21" s="3779" t="s">
        <v>2830</v>
      </c>
      <c r="Z21" s="3780"/>
      <c r="AA21" s="3780"/>
      <c r="AB21" s="3780"/>
      <c r="AC21" s="3780"/>
      <c r="AD21" s="3780"/>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3373</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3374</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3372</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3368</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3358</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44993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2309</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O62" sqref="O6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3" t="s">
        <v>925</v>
      </c>
      <c r="E3" s="853" t="s">
        <v>931</v>
      </c>
      <c r="F3" s="853" t="s">
        <v>925</v>
      </c>
      <c r="G3" s="853" t="s">
        <v>926</v>
      </c>
      <c r="H3" s="853" t="s">
        <v>925</v>
      </c>
      <c r="I3" s="853" t="s">
        <v>926</v>
      </c>
    </row>
    <row r="4" spans="1:9" ht="30">
      <c r="A4" s="1504" t="str">
        <f>项目基本情况!S2</f>
        <v>北京市东城区灯市口大街33号4层427房地产</v>
      </c>
      <c r="B4" s="853">
        <f>项目基本情况!C17</f>
        <v>74.91</v>
      </c>
      <c r="C4" s="853">
        <f>项目基本情况!C18</f>
        <v>6.9</v>
      </c>
      <c r="D4" s="853" t="e">
        <f ca="1">结果表!D118</f>
        <v>#REF!</v>
      </c>
      <c r="E4" s="853" t="e">
        <f ca="1">结果表!E118</f>
        <v>#REF!</v>
      </c>
      <c r="F4" s="853" t="e">
        <f ca="1">结果表!F118</f>
        <v>#REF!</v>
      </c>
      <c r="G4" s="853" t="e">
        <f ca="1">结果表!G118</f>
        <v>#REF!</v>
      </c>
      <c r="H4" s="853">
        <f ca="1">结果表!H118</f>
        <v>201</v>
      </c>
      <c r="I4" s="853">
        <f ca="1">结果表!I118</f>
        <v>26813</v>
      </c>
    </row>
    <row r="5" spans="1:9" ht="30" customHeight="1">
      <c r="A5" s="3466" t="s">
        <v>927</v>
      </c>
      <c r="B5" s="3466"/>
      <c r="C5" s="3466"/>
      <c r="D5" s="3466" t="e">
        <f ca="1">结果表!D119</f>
        <v>#REF!</v>
      </c>
      <c r="E5" s="3466"/>
      <c r="F5" s="3466" t="e">
        <f ca="1">结果表!F119</f>
        <v>#REF!</v>
      </c>
      <c r="G5" s="3466"/>
      <c r="H5" s="3466" t="str">
        <f ca="1">结果表!H119</f>
        <v>贰佰零壹万元整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201</v>
      </c>
      <c r="E8" s="3467"/>
      <c r="F8" s="3467"/>
      <c r="G8" s="3467"/>
      <c r="H8" s="3467"/>
      <c r="I8" s="3467"/>
    </row>
    <row r="9" spans="1:9" ht="15">
      <c r="A9" s="3466" t="s">
        <v>927</v>
      </c>
      <c r="B9" s="3466"/>
      <c r="C9" s="3466"/>
      <c r="D9" s="3466" t="str">
        <f ca="1">结果表!D123</f>
        <v>贰佰零壹万元整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3" t="s">
        <v>949</v>
      </c>
      <c r="B1" s="3473"/>
      <c r="C1" s="3473"/>
      <c r="D1" s="3473"/>
    </row>
    <row r="2" spans="1:4" ht="18">
      <c r="A2" s="3474" t="s">
        <v>933</v>
      </c>
      <c r="B2" s="3474"/>
      <c r="C2" s="3474"/>
      <c r="D2" s="3474"/>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474" t="s">
        <v>939</v>
      </c>
      <c r="B6" s="3474"/>
      <c r="C6" s="3474"/>
      <c r="D6" s="347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2"/>
      <c r="E18" s="3492" t="s">
        <v>2162</v>
      </c>
      <c r="F18" s="3491"/>
      <c r="G18" s="349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2023-03-08T07:49:51Z</dcterms:modified>
</cp:coreProperties>
</file>